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9.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0.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0"/>
  <workbookPr filterPrivacy="1" defaultThemeVersion="166925"/>
  <xr:revisionPtr revIDLastSave="0" documentId="13_ncr:1_{02F1D82B-2EE2-FF44-983E-470DB2821B0A}" xr6:coauthVersionLast="45" xr6:coauthVersionMax="45" xr10:uidLastSave="{00000000-0000-0000-0000-000000000000}"/>
  <bookViews>
    <workbookView xWindow="0" yWindow="460" windowWidth="28800" windowHeight="16120" tabRatio="873" firstSheet="1" activeTab="1" xr2:uid="{00000000-000D-0000-FFFF-FFFF00000000}"/>
  </bookViews>
  <sheets>
    <sheet name="Front Page" sheetId="25" r:id="rId1"/>
    <sheet name="1. Reference materials" sheetId="18" r:id="rId2"/>
    <sheet name="2. Error Calculation" sheetId="17" r:id="rId3"/>
    <sheet name="3. Fe-Sulfide Lib. and Assoc." sheetId="34" r:id="rId4"/>
    <sheet name="4. Mineralogy wt.%" sheetId="13" r:id="rId5"/>
    <sheet name="5. Grain Size Distribution" sheetId="19" r:id="rId6"/>
    <sheet name="6. Sample A Conf. Intervals" sheetId="21" r:id="rId7"/>
    <sheet name="7. Sample B Conf. Intervals" sheetId="27" r:id="rId8"/>
    <sheet name="8. Sample C Conf. Intervals" sheetId="31" r:id="rId9"/>
    <sheet name="9. Sample D Conf. Intervals" sheetId="32" r:id="rId10"/>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 i="17" l="1"/>
  <c r="B8" i="17"/>
  <c r="D30" i="17" l="1"/>
  <c r="D29" i="17"/>
  <c r="D99" i="17" l="1"/>
  <c r="D93" i="17"/>
  <c r="D87" i="17"/>
  <c r="C99" i="17"/>
  <c r="C93" i="17"/>
  <c r="C87" i="17"/>
  <c r="D81" i="17"/>
  <c r="C81" i="17"/>
  <c r="D76" i="17"/>
  <c r="D77" i="17"/>
  <c r="D78" i="17"/>
  <c r="D79" i="17"/>
  <c r="D80" i="17"/>
  <c r="D82" i="17"/>
  <c r="D83" i="17"/>
  <c r="D84" i="17"/>
  <c r="D85" i="17"/>
  <c r="D86" i="17"/>
  <c r="D88" i="17"/>
  <c r="D89" i="17"/>
  <c r="D90" i="17"/>
  <c r="D91" i="17"/>
  <c r="D92" i="17"/>
  <c r="D94" i="17"/>
  <c r="D95" i="17"/>
  <c r="D96" i="17"/>
  <c r="D97" i="17"/>
  <c r="D98" i="17"/>
  <c r="C95" i="17"/>
  <c r="C96" i="17"/>
  <c r="C97" i="17"/>
  <c r="C98" i="17"/>
  <c r="E98" i="17" s="1"/>
  <c r="P80" i="17" s="1"/>
  <c r="C94" i="17"/>
  <c r="C92" i="17"/>
  <c r="C89" i="17"/>
  <c r="C90" i="17"/>
  <c r="C91" i="17"/>
  <c r="C88" i="17"/>
  <c r="C83" i="17"/>
  <c r="C84" i="17"/>
  <c r="C85" i="17"/>
  <c r="C86" i="17"/>
  <c r="E86" i="17" s="1"/>
  <c r="C82" i="17"/>
  <c r="C77" i="17"/>
  <c r="C78" i="17"/>
  <c r="C79" i="17"/>
  <c r="C80" i="17"/>
  <c r="C76" i="17"/>
  <c r="AQ29" i="34"/>
  <c r="AQ28" i="34"/>
  <c r="AQ27" i="34"/>
  <c r="AQ26" i="34"/>
  <c r="AQ25" i="34"/>
  <c r="AQ30" i="34"/>
  <c r="AQ24" i="34"/>
  <c r="AQ22" i="34"/>
  <c r="AQ21" i="34"/>
  <c r="AQ20" i="34"/>
  <c r="AQ19" i="34"/>
  <c r="AQ18" i="34"/>
  <c r="AQ23" i="34"/>
  <c r="AQ17" i="34"/>
  <c r="AQ15" i="34"/>
  <c r="AQ16" i="34"/>
  <c r="AQ14" i="34"/>
  <c r="AQ13" i="34"/>
  <c r="AQ12" i="34"/>
  <c r="AQ11" i="34"/>
  <c r="AQ10" i="34"/>
  <c r="AS8" i="34"/>
  <c r="AR8" i="34"/>
  <c r="AQ8" i="34"/>
  <c r="AQ9" i="34"/>
  <c r="AQ7" i="34"/>
  <c r="AQ6" i="34"/>
  <c r="AQ5" i="34"/>
  <c r="AQ4" i="34"/>
  <c r="AQ3" i="34"/>
  <c r="E97" i="17"/>
  <c r="P79" i="17" s="1"/>
  <c r="E84" i="17"/>
  <c r="F84" i="17" l="1"/>
  <c r="L78" i="17"/>
  <c r="F86" i="17"/>
  <c r="L80" i="17"/>
  <c r="E79" i="17"/>
  <c r="E87" i="17"/>
  <c r="E89" i="17"/>
  <c r="E81" i="17"/>
  <c r="E99" i="17"/>
  <c r="E93" i="17"/>
  <c r="E95" i="17"/>
  <c r="P77" i="17" s="1"/>
  <c r="E96" i="17"/>
  <c r="E91" i="17"/>
  <c r="E83" i="17"/>
  <c r="E88" i="17"/>
  <c r="E92" i="17"/>
  <c r="E78" i="17"/>
  <c r="E85" i="17"/>
  <c r="E76" i="17"/>
  <c r="E90" i="17"/>
  <c r="E80" i="17"/>
  <c r="E77" i="17"/>
  <c r="E82" i="17"/>
  <c r="E94" i="17"/>
  <c r="G84" i="17"/>
  <c r="M78" i="17" s="1"/>
  <c r="G86" i="17"/>
  <c r="M80" i="17" s="1"/>
  <c r="F95" i="17"/>
  <c r="G95" i="17" s="1"/>
  <c r="Q77" i="17" s="1"/>
  <c r="F97" i="17"/>
  <c r="G97" i="17" s="1"/>
  <c r="Q79" i="17" s="1"/>
  <c r="F98" i="17"/>
  <c r="G98" i="17" s="1"/>
  <c r="Q80" i="17" s="1"/>
  <c r="F94" i="17" l="1"/>
  <c r="G94" i="17" s="1"/>
  <c r="Q76" i="17" s="1"/>
  <c r="P76" i="17"/>
  <c r="F90" i="17"/>
  <c r="G90" i="17" s="1"/>
  <c r="O78" i="17" s="1"/>
  <c r="N78" i="17"/>
  <c r="F92" i="17"/>
  <c r="N80" i="17"/>
  <c r="F96" i="17"/>
  <c r="G96" i="17" s="1"/>
  <c r="Q78" i="17" s="1"/>
  <c r="P78" i="17"/>
  <c r="F81" i="17"/>
  <c r="J81" i="17"/>
  <c r="F82" i="17"/>
  <c r="L76" i="17"/>
  <c r="F76" i="17"/>
  <c r="J76" i="17"/>
  <c r="F88" i="17"/>
  <c r="N76" i="17"/>
  <c r="F89" i="17"/>
  <c r="N77" i="17"/>
  <c r="F77" i="17"/>
  <c r="G77" i="17" s="1"/>
  <c r="K77" i="17" s="1"/>
  <c r="J77" i="17"/>
  <c r="F85" i="17"/>
  <c r="L79" i="17"/>
  <c r="F83" i="17"/>
  <c r="G83" i="17" s="1"/>
  <c r="M77" i="17" s="1"/>
  <c r="L77" i="17"/>
  <c r="F93" i="17"/>
  <c r="G93" i="17" s="1"/>
  <c r="O81" i="17" s="1"/>
  <c r="N81" i="17"/>
  <c r="F87" i="17"/>
  <c r="L81" i="17"/>
  <c r="F80" i="17"/>
  <c r="G80" i="17" s="1"/>
  <c r="K80" i="17" s="1"/>
  <c r="J80" i="17"/>
  <c r="F78" i="17"/>
  <c r="G78" i="17" s="1"/>
  <c r="K78" i="17" s="1"/>
  <c r="J78" i="17"/>
  <c r="F91" i="17"/>
  <c r="G91" i="17" s="1"/>
  <c r="O79" i="17" s="1"/>
  <c r="N79" i="17"/>
  <c r="F99" i="17"/>
  <c r="G99" i="17" s="1"/>
  <c r="Q81" i="17" s="1"/>
  <c r="P81" i="17"/>
  <c r="F79" i="17"/>
  <c r="G79" i="17" s="1"/>
  <c r="K79" i="17" s="1"/>
  <c r="J79" i="17"/>
  <c r="G89" i="17"/>
  <c r="O77" i="17" s="1"/>
  <c r="G87" i="17"/>
  <c r="M81" i="17" s="1"/>
  <c r="G81" i="17"/>
  <c r="K81" i="17" s="1"/>
  <c r="G92" i="17"/>
  <c r="O80" i="17" s="1"/>
  <c r="G76" i="17"/>
  <c r="K76" i="17" s="1"/>
  <c r="G88" i="17"/>
  <c r="O76" i="17" s="1"/>
  <c r="G85" i="17"/>
  <c r="M79" i="17" s="1"/>
  <c r="G82" i="17"/>
  <c r="M76" i="17" s="1"/>
  <c r="O10" i="17"/>
  <c r="O9" i="17"/>
  <c r="O8" i="17"/>
  <c r="O7" i="17"/>
  <c r="O6" i="17"/>
  <c r="O5" i="17"/>
  <c r="O4" i="17"/>
  <c r="O3" i="17"/>
  <c r="N10" i="17"/>
  <c r="N9" i="17"/>
  <c r="N8" i="17"/>
  <c r="N7" i="17"/>
  <c r="N6" i="17"/>
  <c r="N5" i="17"/>
  <c r="N4" i="17"/>
  <c r="N3" i="17"/>
  <c r="T34" i="17"/>
  <c r="D69" i="17"/>
  <c r="B69" i="17"/>
  <c r="B68" i="17"/>
  <c r="B67" i="17"/>
  <c r="B66" i="17"/>
  <c r="D61" i="17"/>
  <c r="B61" i="17"/>
  <c r="B60" i="17"/>
  <c r="B59" i="17"/>
  <c r="B58" i="17"/>
  <c r="B9" i="17"/>
  <c r="B7" i="17"/>
  <c r="F6" i="17"/>
  <c r="H6" i="17" s="1"/>
  <c r="B6" i="17"/>
  <c r="F5" i="17"/>
  <c r="H5" i="17" s="1"/>
  <c r="B5" i="17"/>
  <c r="F4" i="17"/>
  <c r="H4" i="17" s="1"/>
  <c r="F3" i="17"/>
  <c r="H3" i="17" s="1"/>
  <c r="R49" i="17"/>
  <c r="R44" i="17"/>
  <c r="R39" i="17"/>
  <c r="R34" i="17"/>
  <c r="F53" i="17"/>
  <c r="F52" i="17"/>
  <c r="F51" i="17"/>
  <c r="F50" i="17"/>
  <c r="F49" i="17"/>
  <c r="F48" i="17"/>
  <c r="F47" i="17"/>
  <c r="F46" i="17"/>
  <c r="F45" i="17"/>
  <c r="F44" i="17"/>
  <c r="F43" i="17"/>
  <c r="F42" i="17"/>
  <c r="F41" i="17"/>
  <c r="F40" i="17"/>
  <c r="F39" i="17"/>
  <c r="F38" i="17"/>
  <c r="F37" i="17"/>
  <c r="F36" i="17"/>
  <c r="F35" i="17"/>
  <c r="F34" i="17"/>
  <c r="E53" i="17"/>
  <c r="E52" i="17"/>
  <c r="E51" i="17"/>
  <c r="E50" i="17"/>
  <c r="E49" i="17"/>
  <c r="E48" i="17"/>
  <c r="E47" i="17"/>
  <c r="E46" i="17"/>
  <c r="E45" i="17"/>
  <c r="E44" i="17"/>
  <c r="E43" i="17"/>
  <c r="E42" i="17"/>
  <c r="E41" i="17"/>
  <c r="E40" i="17"/>
  <c r="E39" i="17"/>
  <c r="E38" i="17"/>
  <c r="E37" i="17"/>
  <c r="E36" i="17"/>
  <c r="E35" i="17"/>
  <c r="E34" i="17" l="1"/>
  <c r="Q44" i="17" l="1"/>
  <c r="Q39" i="17"/>
  <c r="Q34" i="17"/>
  <c r="C34" i="17" s="1"/>
  <c r="C40" i="17" l="1"/>
  <c r="C39" i="17"/>
  <c r="C46" i="17"/>
  <c r="C41" i="17"/>
  <c r="C45" i="17"/>
  <c r="C47" i="17"/>
  <c r="C44" i="17"/>
  <c r="C48" i="17"/>
  <c r="C43" i="17"/>
  <c r="C42" i="17"/>
  <c r="H27" i="17" l="1"/>
  <c r="I27" i="17" l="1"/>
  <c r="F92" i="32"/>
  <c r="H92" i="32" s="1"/>
  <c r="D92" i="32"/>
  <c r="B92" i="32"/>
  <c r="F91" i="32"/>
  <c r="D91" i="32"/>
  <c r="B91" i="32"/>
  <c r="F90" i="32"/>
  <c r="D90" i="32"/>
  <c r="B90" i="32"/>
  <c r="F89" i="32"/>
  <c r="D89" i="32"/>
  <c r="B89" i="32"/>
  <c r="F88" i="32"/>
  <c r="D88" i="32"/>
  <c r="B88" i="32"/>
  <c r="F87" i="32"/>
  <c r="D87" i="32"/>
  <c r="B87" i="32"/>
  <c r="F86" i="32"/>
  <c r="D86" i="32"/>
  <c r="B86" i="32"/>
  <c r="F85" i="32"/>
  <c r="D85" i="32"/>
  <c r="B85" i="32"/>
  <c r="F84" i="32"/>
  <c r="D84" i="32"/>
  <c r="B84" i="32"/>
  <c r="F83" i="32"/>
  <c r="D83" i="32"/>
  <c r="B83" i="32"/>
  <c r="F82" i="32"/>
  <c r="D82" i="32"/>
  <c r="B82" i="32"/>
  <c r="F81" i="32"/>
  <c r="G82" i="32" s="1"/>
  <c r="D81" i="32"/>
  <c r="E82" i="32" s="1"/>
  <c r="F80" i="32"/>
  <c r="D80" i="32"/>
  <c r="B80" i="32"/>
  <c r="F79" i="32"/>
  <c r="D79" i="32"/>
  <c r="B79" i="32"/>
  <c r="F78" i="32"/>
  <c r="D78" i="32"/>
  <c r="B78" i="32"/>
  <c r="F77" i="32"/>
  <c r="D77" i="32"/>
  <c r="B77" i="32"/>
  <c r="F76" i="32"/>
  <c r="D76" i="32"/>
  <c r="B76" i="32"/>
  <c r="F75" i="32"/>
  <c r="D75" i="32"/>
  <c r="B75" i="32"/>
  <c r="F74" i="32"/>
  <c r="H74" i="32" s="1"/>
  <c r="D74" i="32"/>
  <c r="B74" i="32"/>
  <c r="F73" i="32"/>
  <c r="D73" i="32"/>
  <c r="B73" i="32"/>
  <c r="F72" i="32"/>
  <c r="D72" i="32"/>
  <c r="B72" i="32"/>
  <c r="F71" i="32"/>
  <c r="D71" i="32"/>
  <c r="B71" i="32"/>
  <c r="F70" i="32"/>
  <c r="D70" i="32"/>
  <c r="B70" i="32"/>
  <c r="F69" i="32"/>
  <c r="G70" i="32" s="1"/>
  <c r="D69" i="32"/>
  <c r="E70" i="32" s="1"/>
  <c r="H68" i="32"/>
  <c r="F68" i="32"/>
  <c r="D68" i="32"/>
  <c r="B68" i="32"/>
  <c r="F67" i="32"/>
  <c r="D67" i="32"/>
  <c r="B67" i="32"/>
  <c r="F66" i="32"/>
  <c r="D66" i="32"/>
  <c r="B66" i="32"/>
  <c r="F65" i="32"/>
  <c r="D65" i="32"/>
  <c r="B65" i="32"/>
  <c r="F64" i="32"/>
  <c r="D64" i="32"/>
  <c r="B64" i="32"/>
  <c r="F63" i="32"/>
  <c r="D63" i="32"/>
  <c r="B63" i="32"/>
  <c r="F62" i="32"/>
  <c r="D62" i="32"/>
  <c r="B62" i="32"/>
  <c r="F61" i="32"/>
  <c r="D61" i="32"/>
  <c r="B61" i="32"/>
  <c r="F60" i="32"/>
  <c r="D60" i="32"/>
  <c r="B60" i="32"/>
  <c r="F59" i="32"/>
  <c r="D59" i="32"/>
  <c r="B59" i="32"/>
  <c r="F58" i="32"/>
  <c r="D58" i="32"/>
  <c r="B58" i="32"/>
  <c r="F57" i="32"/>
  <c r="G58" i="32" s="1"/>
  <c r="D57" i="32"/>
  <c r="E58" i="32" s="1"/>
  <c r="F56" i="32"/>
  <c r="H56" i="32" s="1"/>
  <c r="D56" i="32"/>
  <c r="B56" i="32"/>
  <c r="F55" i="32"/>
  <c r="D55" i="32"/>
  <c r="B55" i="32"/>
  <c r="F54" i="32"/>
  <c r="D54" i="32"/>
  <c r="B54" i="32"/>
  <c r="F53" i="32"/>
  <c r="D53" i="32"/>
  <c r="B53" i="32"/>
  <c r="F52" i="32"/>
  <c r="D52" i="32"/>
  <c r="B52" i="32"/>
  <c r="F51" i="32"/>
  <c r="D51" i="32"/>
  <c r="B51" i="32"/>
  <c r="F50" i="32"/>
  <c r="D50" i="32"/>
  <c r="B50" i="32"/>
  <c r="F49" i="32"/>
  <c r="D49" i="32"/>
  <c r="B49" i="32"/>
  <c r="F48" i="32"/>
  <c r="D48" i="32"/>
  <c r="B48" i="32"/>
  <c r="F47" i="32"/>
  <c r="D47" i="32"/>
  <c r="B47" i="32"/>
  <c r="F46" i="32"/>
  <c r="D46" i="32"/>
  <c r="B46" i="32"/>
  <c r="F45" i="32"/>
  <c r="G46" i="32" s="1"/>
  <c r="D45" i="32"/>
  <c r="E46" i="32" s="1"/>
  <c r="F44" i="32"/>
  <c r="H44" i="32" s="1"/>
  <c r="D44" i="32"/>
  <c r="B44" i="32"/>
  <c r="F43" i="32"/>
  <c r="H43" i="32" s="1"/>
  <c r="D43" i="32"/>
  <c r="B43" i="32"/>
  <c r="F42" i="32"/>
  <c r="D42" i="32"/>
  <c r="B42" i="32"/>
  <c r="F41" i="32"/>
  <c r="H41" i="32" s="1"/>
  <c r="D41" i="32"/>
  <c r="B41" i="32"/>
  <c r="F40" i="32"/>
  <c r="D40" i="32"/>
  <c r="B40" i="32"/>
  <c r="F39" i="32"/>
  <c r="D39" i="32"/>
  <c r="B39" i="32"/>
  <c r="F38" i="32"/>
  <c r="D38" i="32"/>
  <c r="B38" i="32"/>
  <c r="F37" i="32"/>
  <c r="D37" i="32"/>
  <c r="B37" i="32"/>
  <c r="F36" i="32"/>
  <c r="D36" i="32"/>
  <c r="B36" i="32"/>
  <c r="F35" i="32"/>
  <c r="D35" i="32"/>
  <c r="B35" i="32"/>
  <c r="F34" i="32"/>
  <c r="D34" i="32"/>
  <c r="B34" i="32"/>
  <c r="F33" i="32"/>
  <c r="G34" i="32" s="1"/>
  <c r="D33" i="32"/>
  <c r="E34" i="32" s="1"/>
  <c r="F92" i="31"/>
  <c r="H92" i="31" s="1"/>
  <c r="D92" i="31"/>
  <c r="B92" i="31"/>
  <c r="H91" i="31"/>
  <c r="F91" i="31"/>
  <c r="D91" i="31"/>
  <c r="B91" i="31"/>
  <c r="F90" i="31"/>
  <c r="H90" i="31" s="1"/>
  <c r="D90" i="31"/>
  <c r="B90" i="31"/>
  <c r="F89" i="31"/>
  <c r="D89" i="31"/>
  <c r="B89" i="31"/>
  <c r="F88" i="31"/>
  <c r="D88" i="31"/>
  <c r="B88" i="31"/>
  <c r="F87" i="31"/>
  <c r="D87" i="31"/>
  <c r="B87" i="31"/>
  <c r="F86" i="31"/>
  <c r="D86" i="31"/>
  <c r="B86" i="31"/>
  <c r="F85" i="31"/>
  <c r="D85" i="31"/>
  <c r="B85" i="31"/>
  <c r="F84" i="31"/>
  <c r="D84" i="31"/>
  <c r="B84" i="31"/>
  <c r="F83" i="31"/>
  <c r="D83" i="31"/>
  <c r="B83" i="31"/>
  <c r="F82" i="31"/>
  <c r="D82" i="31"/>
  <c r="B82" i="31"/>
  <c r="F81" i="31"/>
  <c r="G82" i="31" s="1"/>
  <c r="D81" i="31"/>
  <c r="E82" i="31" s="1"/>
  <c r="H80" i="31"/>
  <c r="F80" i="31"/>
  <c r="D80" i="31"/>
  <c r="B80" i="31"/>
  <c r="F79" i="31"/>
  <c r="D79" i="31"/>
  <c r="B79" i="31"/>
  <c r="F78" i="31"/>
  <c r="D78" i="31"/>
  <c r="B78" i="31"/>
  <c r="F77" i="31"/>
  <c r="D77" i="31"/>
  <c r="B77" i="31"/>
  <c r="F76" i="31"/>
  <c r="D76" i="31"/>
  <c r="B76" i="31"/>
  <c r="F75" i="31"/>
  <c r="D75" i="31"/>
  <c r="B75" i="31"/>
  <c r="F74" i="31"/>
  <c r="H72" i="31" s="1"/>
  <c r="D74" i="31"/>
  <c r="B74" i="31"/>
  <c r="F73" i="31"/>
  <c r="D73" i="31"/>
  <c r="B73" i="31"/>
  <c r="F72" i="31"/>
  <c r="D72" i="31"/>
  <c r="B72" i="31"/>
  <c r="F71" i="31"/>
  <c r="D71" i="31"/>
  <c r="B71" i="31"/>
  <c r="F70" i="31"/>
  <c r="D70" i="31"/>
  <c r="B70" i="31"/>
  <c r="F69" i="31"/>
  <c r="G70" i="31" s="1"/>
  <c r="D69" i="31"/>
  <c r="E70" i="31" s="1"/>
  <c r="H68" i="31"/>
  <c r="F68" i="31"/>
  <c r="D68" i="31"/>
  <c r="B68" i="31"/>
  <c r="F67" i="31"/>
  <c r="D67" i="31"/>
  <c r="B67" i="31"/>
  <c r="H66" i="31"/>
  <c r="F66" i="31"/>
  <c r="D66" i="31"/>
  <c r="B66" i="31"/>
  <c r="F65" i="31"/>
  <c r="D65" i="31"/>
  <c r="B65" i="31"/>
  <c r="F64" i="31"/>
  <c r="D64" i="31"/>
  <c r="B64" i="31"/>
  <c r="F63" i="31"/>
  <c r="D63" i="31"/>
  <c r="B63" i="31"/>
  <c r="F62" i="31"/>
  <c r="D62" i="31"/>
  <c r="B62" i="31"/>
  <c r="F61" i="31"/>
  <c r="D61" i="31"/>
  <c r="B61" i="31"/>
  <c r="F60" i="31"/>
  <c r="D60" i="31"/>
  <c r="B60" i="31"/>
  <c r="F59" i="31"/>
  <c r="D59" i="31"/>
  <c r="B59" i="31"/>
  <c r="F58" i="31"/>
  <c r="D58" i="31"/>
  <c r="B58" i="31"/>
  <c r="F57" i="31"/>
  <c r="G58" i="31" s="1"/>
  <c r="G59" i="31" s="1"/>
  <c r="D57" i="31"/>
  <c r="E58" i="31" s="1"/>
  <c r="F56" i="31"/>
  <c r="D56" i="31"/>
  <c r="B56" i="31"/>
  <c r="F55" i="31"/>
  <c r="D55" i="31"/>
  <c r="B55" i="31"/>
  <c r="F54" i="31"/>
  <c r="H54" i="31" s="1"/>
  <c r="D54" i="31"/>
  <c r="B54" i="31"/>
  <c r="F53" i="31"/>
  <c r="H50" i="31" s="1"/>
  <c r="D53" i="31"/>
  <c r="B53" i="31"/>
  <c r="F52" i="31"/>
  <c r="D52" i="31"/>
  <c r="B52" i="31"/>
  <c r="F51" i="31"/>
  <c r="D51" i="31"/>
  <c r="B51" i="31"/>
  <c r="F50" i="31"/>
  <c r="D50" i="31"/>
  <c r="B50" i="31"/>
  <c r="F49" i="31"/>
  <c r="D49" i="31"/>
  <c r="B49" i="31"/>
  <c r="F48" i="31"/>
  <c r="D48" i="31"/>
  <c r="B48" i="31"/>
  <c r="F47" i="31"/>
  <c r="D47" i="31"/>
  <c r="B47" i="31"/>
  <c r="F46" i="31"/>
  <c r="D46" i="31"/>
  <c r="B46" i="31"/>
  <c r="F45" i="31"/>
  <c r="G46" i="31" s="1"/>
  <c r="G47" i="31" s="1"/>
  <c r="D45" i="31"/>
  <c r="E46" i="31" s="1"/>
  <c r="F44" i="31"/>
  <c r="H44" i="31" s="1"/>
  <c r="D44" i="31"/>
  <c r="B44" i="31"/>
  <c r="F43" i="31"/>
  <c r="H43" i="31" s="1"/>
  <c r="D43" i="31"/>
  <c r="B43" i="31"/>
  <c r="F42" i="31"/>
  <c r="H42" i="31" s="1"/>
  <c r="D42" i="31"/>
  <c r="B42" i="31"/>
  <c r="H41" i="31"/>
  <c r="F41" i="31"/>
  <c r="D41" i="31"/>
  <c r="B41" i="31"/>
  <c r="F40" i="31"/>
  <c r="H40" i="31" s="1"/>
  <c r="D40" i="31"/>
  <c r="B40" i="31"/>
  <c r="F39" i="31"/>
  <c r="H35" i="31" s="1"/>
  <c r="D39" i="31"/>
  <c r="B39" i="31"/>
  <c r="F38" i="31"/>
  <c r="D38" i="31"/>
  <c r="B38" i="31"/>
  <c r="F37" i="31"/>
  <c r="D37" i="31"/>
  <c r="B37" i="31"/>
  <c r="F36" i="31"/>
  <c r="D36" i="31"/>
  <c r="B36" i="31"/>
  <c r="F35" i="31"/>
  <c r="D35" i="31"/>
  <c r="B35" i="31"/>
  <c r="F34" i="31"/>
  <c r="D34" i="31"/>
  <c r="B34" i="31"/>
  <c r="F33" i="31"/>
  <c r="G34" i="31" s="1"/>
  <c r="G35" i="31" s="1"/>
  <c r="D33" i="31"/>
  <c r="E34" i="31" s="1"/>
  <c r="K92" i="27"/>
  <c r="L92" i="27"/>
  <c r="K83" i="27"/>
  <c r="L83" i="27"/>
  <c r="K84" i="27"/>
  <c r="L84" i="27"/>
  <c r="K85" i="27"/>
  <c r="L85" i="27"/>
  <c r="K86" i="27"/>
  <c r="L86" i="27"/>
  <c r="K87" i="27"/>
  <c r="L87" i="27"/>
  <c r="K88" i="27"/>
  <c r="L88" i="27"/>
  <c r="K89" i="27"/>
  <c r="L89" i="27"/>
  <c r="K90" i="27"/>
  <c r="L90" i="27"/>
  <c r="K91" i="27"/>
  <c r="L91" i="27"/>
  <c r="K80" i="27"/>
  <c r="L80" i="27"/>
  <c r="K71" i="27"/>
  <c r="L71" i="27"/>
  <c r="K72" i="27"/>
  <c r="L72" i="27"/>
  <c r="K73" i="27"/>
  <c r="L73" i="27"/>
  <c r="K74" i="27"/>
  <c r="L74" i="27"/>
  <c r="K75" i="27"/>
  <c r="L75" i="27"/>
  <c r="K76" i="27"/>
  <c r="L76" i="27"/>
  <c r="K77" i="27"/>
  <c r="L77" i="27"/>
  <c r="K78" i="27"/>
  <c r="L78" i="27"/>
  <c r="K79" i="27"/>
  <c r="L79" i="27"/>
  <c r="K59" i="27"/>
  <c r="L59" i="27"/>
  <c r="K60" i="27"/>
  <c r="L60" i="27"/>
  <c r="K61" i="27"/>
  <c r="L61" i="27"/>
  <c r="K62" i="27"/>
  <c r="L62" i="27"/>
  <c r="K63" i="27"/>
  <c r="L63" i="27"/>
  <c r="K64" i="27"/>
  <c r="L64" i="27"/>
  <c r="K65" i="27"/>
  <c r="L65" i="27"/>
  <c r="K66" i="27"/>
  <c r="L66" i="27"/>
  <c r="K67" i="27"/>
  <c r="L67" i="27"/>
  <c r="K68" i="27"/>
  <c r="L68" i="27"/>
  <c r="K47" i="27"/>
  <c r="L47" i="27"/>
  <c r="K48" i="27"/>
  <c r="L48" i="27"/>
  <c r="K49" i="27"/>
  <c r="L49" i="27"/>
  <c r="K50" i="27"/>
  <c r="L50" i="27"/>
  <c r="K51" i="27"/>
  <c r="L51" i="27"/>
  <c r="K52" i="27"/>
  <c r="L52" i="27"/>
  <c r="K53" i="27"/>
  <c r="L53" i="27"/>
  <c r="L54" i="27"/>
  <c r="L55" i="27"/>
  <c r="K35" i="27"/>
  <c r="L35" i="27"/>
  <c r="K36" i="27"/>
  <c r="L36" i="27"/>
  <c r="K37" i="27"/>
  <c r="L37" i="27"/>
  <c r="K38" i="27"/>
  <c r="L38" i="27"/>
  <c r="K39" i="27"/>
  <c r="L39" i="27"/>
  <c r="K40" i="27"/>
  <c r="L40" i="27"/>
  <c r="L41" i="27"/>
  <c r="L42" i="27"/>
  <c r="K43" i="27"/>
  <c r="L43" i="27"/>
  <c r="K83" i="21"/>
  <c r="L83" i="21"/>
  <c r="K84" i="21"/>
  <c r="L84" i="21"/>
  <c r="K85" i="21"/>
  <c r="L85" i="21"/>
  <c r="K86" i="21"/>
  <c r="L86" i="21"/>
  <c r="K87" i="21"/>
  <c r="L87" i="21"/>
  <c r="K88" i="21"/>
  <c r="L88" i="21"/>
  <c r="K89" i="21"/>
  <c r="L89" i="21"/>
  <c r="K90" i="21"/>
  <c r="L90" i="21"/>
  <c r="K91" i="21"/>
  <c r="L91" i="21"/>
  <c r="K92" i="21"/>
  <c r="L92" i="21"/>
  <c r="K71" i="21"/>
  <c r="L71" i="21"/>
  <c r="K72" i="21"/>
  <c r="L72" i="21"/>
  <c r="K73" i="21"/>
  <c r="L73" i="21"/>
  <c r="K74" i="21"/>
  <c r="L74" i="21"/>
  <c r="K75" i="21"/>
  <c r="L75" i="21"/>
  <c r="K76" i="21"/>
  <c r="L76" i="21"/>
  <c r="K77" i="21"/>
  <c r="L77" i="21"/>
  <c r="K78" i="21"/>
  <c r="L78" i="21"/>
  <c r="K79" i="21"/>
  <c r="L79" i="21"/>
  <c r="K59" i="21"/>
  <c r="L59" i="21"/>
  <c r="K60" i="21"/>
  <c r="L60" i="21"/>
  <c r="K61" i="21"/>
  <c r="L61" i="21"/>
  <c r="K62" i="21"/>
  <c r="L62" i="21"/>
  <c r="K63" i="21"/>
  <c r="L63" i="21"/>
  <c r="K64" i="21"/>
  <c r="L64" i="21"/>
  <c r="K65" i="21"/>
  <c r="L65" i="21"/>
  <c r="K66" i="21"/>
  <c r="L66" i="21"/>
  <c r="K67" i="21"/>
  <c r="L67" i="21"/>
  <c r="K58" i="21"/>
  <c r="K47" i="21"/>
  <c r="L47" i="21"/>
  <c r="K48" i="21"/>
  <c r="L48" i="21"/>
  <c r="K49" i="21"/>
  <c r="L49" i="21"/>
  <c r="K50" i="21"/>
  <c r="L50" i="21"/>
  <c r="K51" i="21"/>
  <c r="L51" i="21"/>
  <c r="K52" i="21"/>
  <c r="L52" i="21"/>
  <c r="K53" i="21"/>
  <c r="L53" i="21"/>
  <c r="K54" i="21"/>
  <c r="L54" i="21"/>
  <c r="K55" i="21"/>
  <c r="L55" i="21"/>
  <c r="K35" i="21"/>
  <c r="L35" i="21"/>
  <c r="K36" i="21"/>
  <c r="L36" i="21"/>
  <c r="K37" i="21"/>
  <c r="L37" i="21"/>
  <c r="K38" i="21"/>
  <c r="L38" i="21"/>
  <c r="K39" i="21"/>
  <c r="L39" i="21"/>
  <c r="K40" i="21"/>
  <c r="L40" i="21"/>
  <c r="K41" i="21"/>
  <c r="L41" i="21"/>
  <c r="K42" i="21"/>
  <c r="L42" i="21"/>
  <c r="K43" i="21"/>
  <c r="L43" i="21"/>
  <c r="K44" i="27"/>
  <c r="L44" i="27"/>
  <c r="G37" i="27"/>
  <c r="G34" i="27"/>
  <c r="F92" i="27"/>
  <c r="H92" i="27" s="1"/>
  <c r="D92" i="27"/>
  <c r="B92" i="27"/>
  <c r="H91" i="27"/>
  <c r="F91" i="27"/>
  <c r="D91" i="27"/>
  <c r="B91" i="27"/>
  <c r="F90" i="27"/>
  <c r="H90" i="27" s="1"/>
  <c r="D90" i="27"/>
  <c r="B90" i="27"/>
  <c r="F89" i="27"/>
  <c r="D89" i="27"/>
  <c r="B89" i="27"/>
  <c r="F88" i="27"/>
  <c r="D88" i="27"/>
  <c r="B88" i="27"/>
  <c r="F87" i="27"/>
  <c r="D87" i="27"/>
  <c r="B87" i="27"/>
  <c r="F86" i="27"/>
  <c r="H86" i="27" s="1"/>
  <c r="D86" i="27"/>
  <c r="B86" i="27"/>
  <c r="F85" i="27"/>
  <c r="D85" i="27"/>
  <c r="B85" i="27"/>
  <c r="F84" i="27"/>
  <c r="D84" i="27"/>
  <c r="B84" i="27"/>
  <c r="F83" i="27"/>
  <c r="D83" i="27"/>
  <c r="B83" i="27"/>
  <c r="F82" i="27"/>
  <c r="G83" i="27" s="1"/>
  <c r="G84" i="27" s="1"/>
  <c r="G85" i="27" s="1"/>
  <c r="G86" i="27" s="1"/>
  <c r="G87" i="27" s="1"/>
  <c r="G88" i="27" s="1"/>
  <c r="G89" i="27" s="1"/>
  <c r="G90" i="27" s="1"/>
  <c r="G91" i="27" s="1"/>
  <c r="G92" i="27" s="1"/>
  <c r="D82" i="27"/>
  <c r="B82" i="27"/>
  <c r="F81" i="27"/>
  <c r="G82" i="27" s="1"/>
  <c r="D81" i="27"/>
  <c r="E82" i="27" s="1"/>
  <c r="H80" i="27"/>
  <c r="F80" i="27"/>
  <c r="D80" i="27"/>
  <c r="B80" i="27"/>
  <c r="F79" i="27"/>
  <c r="H79" i="27" s="1"/>
  <c r="D79" i="27"/>
  <c r="B79" i="27"/>
  <c r="F78" i="27"/>
  <c r="H78" i="27" s="1"/>
  <c r="D78" i="27"/>
  <c r="B78" i="27"/>
  <c r="F77" i="27"/>
  <c r="D77" i="27"/>
  <c r="B77" i="27"/>
  <c r="F76" i="27"/>
  <c r="D76" i="27"/>
  <c r="B76" i="27"/>
  <c r="F75" i="27"/>
  <c r="D75" i="27"/>
  <c r="B75" i="27"/>
  <c r="F74" i="27"/>
  <c r="H74" i="27" s="1"/>
  <c r="D74" i="27"/>
  <c r="B74" i="27"/>
  <c r="F73" i="27"/>
  <c r="D73" i="27"/>
  <c r="B73" i="27"/>
  <c r="F72" i="27"/>
  <c r="D72" i="27"/>
  <c r="B72" i="27"/>
  <c r="F71" i="27"/>
  <c r="D71" i="27"/>
  <c r="B71" i="27"/>
  <c r="F70" i="27"/>
  <c r="D70" i="27"/>
  <c r="B70" i="27"/>
  <c r="F69" i="27"/>
  <c r="G70" i="27" s="1"/>
  <c r="D69" i="27"/>
  <c r="E70" i="27" s="1"/>
  <c r="F68" i="27"/>
  <c r="H68" i="27" s="1"/>
  <c r="D68" i="27"/>
  <c r="B68" i="27"/>
  <c r="F67" i="27"/>
  <c r="H67" i="27" s="1"/>
  <c r="D67" i="27"/>
  <c r="B67" i="27"/>
  <c r="F66" i="27"/>
  <c r="D66" i="27"/>
  <c r="B66" i="27"/>
  <c r="F65" i="27"/>
  <c r="D65" i="27"/>
  <c r="B65" i="27"/>
  <c r="F64" i="27"/>
  <c r="D64" i="27"/>
  <c r="B64" i="27"/>
  <c r="F63" i="27"/>
  <c r="D63" i="27"/>
  <c r="B63" i="27"/>
  <c r="F62" i="27"/>
  <c r="D62" i="27"/>
  <c r="B62" i="27"/>
  <c r="F61" i="27"/>
  <c r="D61" i="27"/>
  <c r="B61" i="27"/>
  <c r="F60" i="27"/>
  <c r="D60" i="27"/>
  <c r="B60" i="27"/>
  <c r="F59" i="27"/>
  <c r="D59" i="27"/>
  <c r="B59" i="27"/>
  <c r="F58" i="27"/>
  <c r="D58" i="27"/>
  <c r="B58" i="27"/>
  <c r="F57" i="27"/>
  <c r="G58" i="27" s="1"/>
  <c r="D57" i="27"/>
  <c r="E58" i="27" s="1"/>
  <c r="F56" i="27"/>
  <c r="H56" i="27" s="1"/>
  <c r="D56" i="27"/>
  <c r="B56" i="27"/>
  <c r="F55" i="27"/>
  <c r="D55" i="27"/>
  <c r="B55" i="27"/>
  <c r="F54" i="27"/>
  <c r="D54" i="27"/>
  <c r="B54" i="27"/>
  <c r="F53" i="27"/>
  <c r="D53" i="27"/>
  <c r="B53" i="27"/>
  <c r="F52" i="27"/>
  <c r="D52" i="27"/>
  <c r="B52" i="27"/>
  <c r="F51" i="27"/>
  <c r="D51" i="27"/>
  <c r="B51" i="27"/>
  <c r="F50" i="27"/>
  <c r="D50" i="27"/>
  <c r="B50" i="27"/>
  <c r="F49" i="27"/>
  <c r="D49" i="27"/>
  <c r="B49" i="27"/>
  <c r="F48" i="27"/>
  <c r="D48" i="27"/>
  <c r="B48" i="27"/>
  <c r="F47" i="27"/>
  <c r="D47" i="27"/>
  <c r="B47" i="27"/>
  <c r="F46" i="27"/>
  <c r="D46" i="27"/>
  <c r="B46" i="27"/>
  <c r="F45" i="27"/>
  <c r="G46" i="27" s="1"/>
  <c r="G47" i="27" s="1"/>
  <c r="G48" i="27" s="1"/>
  <c r="D45" i="27"/>
  <c r="E46" i="27" s="1"/>
  <c r="F44" i="27"/>
  <c r="H44" i="27" s="1"/>
  <c r="D44" i="27"/>
  <c r="B44" i="27"/>
  <c r="F43" i="27"/>
  <c r="H43" i="27" s="1"/>
  <c r="D43" i="27"/>
  <c r="B43" i="27"/>
  <c r="F42" i="27"/>
  <c r="D42" i="27"/>
  <c r="B42" i="27"/>
  <c r="F41" i="27"/>
  <c r="D41" i="27"/>
  <c r="B41" i="27"/>
  <c r="F40" i="27"/>
  <c r="D40" i="27"/>
  <c r="B40" i="27"/>
  <c r="F39" i="27"/>
  <c r="D39" i="27"/>
  <c r="B39" i="27"/>
  <c r="F38" i="27"/>
  <c r="D38" i="27"/>
  <c r="B38" i="27"/>
  <c r="F37" i="27"/>
  <c r="D37" i="27"/>
  <c r="B37" i="27"/>
  <c r="F36" i="27"/>
  <c r="D36" i="27"/>
  <c r="B36" i="27"/>
  <c r="F35" i="27"/>
  <c r="D35" i="27"/>
  <c r="B35" i="27"/>
  <c r="F34" i="27"/>
  <c r="D34" i="27"/>
  <c r="B34" i="27"/>
  <c r="F33" i="27"/>
  <c r="D33" i="27"/>
  <c r="E34" i="27" s="1"/>
  <c r="I92" i="21"/>
  <c r="J92" i="21" s="1"/>
  <c r="I91" i="21"/>
  <c r="J91" i="21" s="1"/>
  <c r="I90" i="21"/>
  <c r="J90" i="21" s="1"/>
  <c r="I89" i="21"/>
  <c r="J89" i="21" s="1"/>
  <c r="I88" i="21"/>
  <c r="J88" i="21" s="1"/>
  <c r="I87" i="21"/>
  <c r="J87" i="21" s="1"/>
  <c r="I86" i="21"/>
  <c r="J86" i="21" s="1"/>
  <c r="I85" i="21"/>
  <c r="J85" i="21" s="1"/>
  <c r="I84" i="21"/>
  <c r="J84" i="21" s="1"/>
  <c r="I83" i="21"/>
  <c r="J83" i="21" s="1"/>
  <c r="I82" i="21"/>
  <c r="J82" i="21" s="1"/>
  <c r="I80" i="21"/>
  <c r="J80" i="21" s="1"/>
  <c r="I79" i="21"/>
  <c r="J79" i="21" s="1"/>
  <c r="I78" i="21"/>
  <c r="J78" i="21" s="1"/>
  <c r="I77" i="21"/>
  <c r="J77" i="21" s="1"/>
  <c r="I76" i="21"/>
  <c r="J76" i="21" s="1"/>
  <c r="I75" i="21"/>
  <c r="J75" i="21" s="1"/>
  <c r="I74" i="21"/>
  <c r="J74" i="21" s="1"/>
  <c r="I73" i="21"/>
  <c r="J73" i="21" s="1"/>
  <c r="I72" i="21"/>
  <c r="J72" i="21" s="1"/>
  <c r="I71" i="21"/>
  <c r="J71" i="21" s="1"/>
  <c r="I70" i="21"/>
  <c r="J70" i="21" s="1"/>
  <c r="I68" i="21"/>
  <c r="J68" i="21" s="1"/>
  <c r="I67" i="21"/>
  <c r="J67" i="21" s="1"/>
  <c r="I66" i="21"/>
  <c r="J66" i="21" s="1"/>
  <c r="I65" i="21"/>
  <c r="J65" i="21" s="1"/>
  <c r="I64" i="21"/>
  <c r="J64" i="21" s="1"/>
  <c r="I63" i="21"/>
  <c r="J63" i="21" s="1"/>
  <c r="I62" i="21"/>
  <c r="J62" i="21" s="1"/>
  <c r="I61" i="21"/>
  <c r="J61" i="21" s="1"/>
  <c r="I60" i="21"/>
  <c r="J60" i="21" s="1"/>
  <c r="I59" i="21"/>
  <c r="J59" i="21" s="1"/>
  <c r="I58" i="21"/>
  <c r="J58" i="21" s="1"/>
  <c r="I56" i="21"/>
  <c r="J56" i="21" s="1"/>
  <c r="I55" i="21"/>
  <c r="J55" i="21" s="1"/>
  <c r="I54" i="21"/>
  <c r="J54" i="21" s="1"/>
  <c r="I53" i="21"/>
  <c r="J53" i="21" s="1"/>
  <c r="I52" i="21"/>
  <c r="J52" i="21" s="1"/>
  <c r="I51" i="21"/>
  <c r="J51" i="21" s="1"/>
  <c r="I50" i="21"/>
  <c r="J50" i="21" s="1"/>
  <c r="I49" i="21"/>
  <c r="J49" i="21" s="1"/>
  <c r="I48" i="21"/>
  <c r="J48" i="21" s="1"/>
  <c r="I47" i="21"/>
  <c r="J47" i="21" s="1"/>
  <c r="I46" i="21"/>
  <c r="J46" i="21" s="1"/>
  <c r="E82" i="21"/>
  <c r="E83" i="21" s="1"/>
  <c r="E84" i="21" s="1"/>
  <c r="E85" i="21" s="1"/>
  <c r="E86" i="21" s="1"/>
  <c r="E87" i="21" s="1"/>
  <c r="E88" i="21" s="1"/>
  <c r="E89" i="21" s="1"/>
  <c r="E90" i="21" s="1"/>
  <c r="E91" i="21" s="1"/>
  <c r="E92" i="21" s="1"/>
  <c r="E70" i="21"/>
  <c r="E71" i="21" s="1"/>
  <c r="E72" i="21" s="1"/>
  <c r="E73" i="21" s="1"/>
  <c r="E74" i="21" s="1"/>
  <c r="E75" i="21" s="1"/>
  <c r="E76" i="21" s="1"/>
  <c r="E77" i="21" s="1"/>
  <c r="E78" i="21" s="1"/>
  <c r="E79" i="21" s="1"/>
  <c r="E80" i="21" s="1"/>
  <c r="E58" i="21"/>
  <c r="E59" i="21" s="1"/>
  <c r="E60" i="21" s="1"/>
  <c r="E61" i="21" s="1"/>
  <c r="E62" i="21" s="1"/>
  <c r="E63" i="21" s="1"/>
  <c r="E64" i="21" s="1"/>
  <c r="E65" i="21" s="1"/>
  <c r="E66" i="21" s="1"/>
  <c r="E67" i="21" s="1"/>
  <c r="E68" i="21" s="1"/>
  <c r="E47" i="21"/>
  <c r="E48" i="21" s="1"/>
  <c r="E49" i="21" s="1"/>
  <c r="E50" i="21" s="1"/>
  <c r="E51" i="21" s="1"/>
  <c r="E52" i="21" s="1"/>
  <c r="E53" i="21" s="1"/>
  <c r="E54" i="21" s="1"/>
  <c r="E55" i="21" s="1"/>
  <c r="E56" i="21" s="1"/>
  <c r="E46" i="21"/>
  <c r="K44" i="21"/>
  <c r="L44" i="21"/>
  <c r="L34" i="21"/>
  <c r="K34" i="21"/>
  <c r="J34" i="21"/>
  <c r="I34" i="21"/>
  <c r="I44" i="21"/>
  <c r="J44" i="21" s="1"/>
  <c r="I43" i="21"/>
  <c r="J43" i="21" s="1"/>
  <c r="I42" i="21"/>
  <c r="J42" i="21" s="1"/>
  <c r="I41" i="21"/>
  <c r="J41" i="21" s="1"/>
  <c r="I40" i="21"/>
  <c r="J40" i="21" s="1"/>
  <c r="I39" i="21"/>
  <c r="J39" i="21" s="1"/>
  <c r="I38" i="21"/>
  <c r="J38" i="21" s="1"/>
  <c r="I37" i="21"/>
  <c r="J37" i="21" s="1"/>
  <c r="I36" i="21"/>
  <c r="J36" i="21" s="1"/>
  <c r="I35" i="21"/>
  <c r="J35" i="21" s="1"/>
  <c r="E35" i="21"/>
  <c r="E36" i="21" s="1"/>
  <c r="E37" i="21" s="1"/>
  <c r="E38" i="21" s="1"/>
  <c r="E39" i="21" s="1"/>
  <c r="E40" i="21" s="1"/>
  <c r="E41" i="21" s="1"/>
  <c r="E42" i="21" s="1"/>
  <c r="E43" i="21" s="1"/>
  <c r="E44" i="21" s="1"/>
  <c r="E34" i="21"/>
  <c r="B92" i="21"/>
  <c r="B91" i="21"/>
  <c r="B90" i="21"/>
  <c r="B89" i="21"/>
  <c r="B88" i="21"/>
  <c r="B87" i="21"/>
  <c r="B86" i="21"/>
  <c r="B85" i="21"/>
  <c r="B84" i="21"/>
  <c r="B83" i="21"/>
  <c r="B82" i="21"/>
  <c r="B80" i="21"/>
  <c r="B79" i="21"/>
  <c r="B78" i="21"/>
  <c r="B77" i="21"/>
  <c r="B76" i="21"/>
  <c r="B75" i="21"/>
  <c r="B74" i="21"/>
  <c r="B73" i="21"/>
  <c r="B72" i="21"/>
  <c r="B71" i="21"/>
  <c r="B70" i="21"/>
  <c r="B68" i="21"/>
  <c r="B67" i="21"/>
  <c r="B66" i="21"/>
  <c r="B65" i="21"/>
  <c r="B64" i="21"/>
  <c r="B63" i="21"/>
  <c r="B62" i="21"/>
  <c r="B61" i="21"/>
  <c r="B60" i="21"/>
  <c r="B59" i="21"/>
  <c r="B58" i="21"/>
  <c r="B56" i="21"/>
  <c r="B55" i="21"/>
  <c r="B54" i="21"/>
  <c r="B53" i="21"/>
  <c r="B52" i="21"/>
  <c r="B51" i="21"/>
  <c r="B50" i="21"/>
  <c r="B49" i="21"/>
  <c r="B48" i="21"/>
  <c r="B47" i="21"/>
  <c r="B46" i="21"/>
  <c r="B44" i="21"/>
  <c r="B43" i="21"/>
  <c r="B35" i="21"/>
  <c r="B36" i="21"/>
  <c r="B37" i="21"/>
  <c r="B38" i="21"/>
  <c r="B39" i="21"/>
  <c r="B40" i="21"/>
  <c r="B41" i="21"/>
  <c r="B42" i="21"/>
  <c r="B34" i="21"/>
  <c r="D34" i="21"/>
  <c r="H35" i="32" l="1"/>
  <c r="H66" i="32"/>
  <c r="H82" i="32"/>
  <c r="I82" i="32" s="1"/>
  <c r="J82" i="32" s="1"/>
  <c r="K82" i="32" s="1"/>
  <c r="H76" i="32"/>
  <c r="H37" i="32"/>
  <c r="H50" i="32"/>
  <c r="H54" i="32"/>
  <c r="H78" i="32"/>
  <c r="H64" i="32"/>
  <c r="H72" i="32"/>
  <c r="H84" i="32"/>
  <c r="H39" i="32"/>
  <c r="H60" i="32"/>
  <c r="G71" i="32"/>
  <c r="H80" i="32"/>
  <c r="H86" i="32"/>
  <c r="H90" i="32"/>
  <c r="H52" i="32"/>
  <c r="H70" i="32"/>
  <c r="G35" i="32"/>
  <c r="G36" i="32" s="1"/>
  <c r="G37" i="32" s="1"/>
  <c r="G38" i="32" s="1"/>
  <c r="G39" i="32" s="1"/>
  <c r="G40" i="32" s="1"/>
  <c r="G41" i="32" s="1"/>
  <c r="G42" i="32" s="1"/>
  <c r="G43" i="32" s="1"/>
  <c r="G44" i="32" s="1"/>
  <c r="H47" i="32"/>
  <c r="H58" i="32"/>
  <c r="H62" i="32"/>
  <c r="H88" i="32"/>
  <c r="E35" i="32"/>
  <c r="E47" i="32"/>
  <c r="G47" i="32"/>
  <c r="E71" i="32"/>
  <c r="I70" i="32"/>
  <c r="J70" i="32" s="1"/>
  <c r="L70" i="32" s="1"/>
  <c r="G72" i="32"/>
  <c r="G73" i="32" s="1"/>
  <c r="G74" i="32" s="1"/>
  <c r="G75" i="32" s="1"/>
  <c r="G76" i="32" s="1"/>
  <c r="G77" i="32" s="1"/>
  <c r="G78" i="32" s="1"/>
  <c r="G79" i="32" s="1"/>
  <c r="G80" i="32" s="1"/>
  <c r="H34" i="32"/>
  <c r="I34" i="32" s="1"/>
  <c r="J34" i="32" s="1"/>
  <c r="H36" i="32"/>
  <c r="H38" i="32"/>
  <c r="H40" i="32"/>
  <c r="H42" i="32"/>
  <c r="H46" i="32"/>
  <c r="I46" i="32" s="1"/>
  <c r="J46" i="32" s="1"/>
  <c r="G48" i="32"/>
  <c r="G49" i="32" s="1"/>
  <c r="G50" i="32" s="1"/>
  <c r="G51" i="32" s="1"/>
  <c r="G52" i="32" s="1"/>
  <c r="G53" i="32" s="1"/>
  <c r="G54" i="32" s="1"/>
  <c r="G55" i="32" s="1"/>
  <c r="G56" i="32" s="1"/>
  <c r="H48" i="32"/>
  <c r="E83" i="32"/>
  <c r="G83" i="32"/>
  <c r="G84" i="32" s="1"/>
  <c r="G85" i="32" s="1"/>
  <c r="G86" i="32" s="1"/>
  <c r="G87" i="32" s="1"/>
  <c r="G88" i="32" s="1"/>
  <c r="G89" i="32" s="1"/>
  <c r="G90" i="32" s="1"/>
  <c r="G91" i="32" s="1"/>
  <c r="G92" i="32" s="1"/>
  <c r="E59" i="32"/>
  <c r="I58" i="32"/>
  <c r="J58" i="32" s="1"/>
  <c r="L58" i="32" s="1"/>
  <c r="G59" i="32"/>
  <c r="G60" i="32" s="1"/>
  <c r="G61" i="32" s="1"/>
  <c r="G62" i="32" s="1"/>
  <c r="G63" i="32" s="1"/>
  <c r="G64" i="32" s="1"/>
  <c r="G65" i="32" s="1"/>
  <c r="G66" i="32" s="1"/>
  <c r="G67" i="32" s="1"/>
  <c r="G68" i="32" s="1"/>
  <c r="H49" i="32"/>
  <c r="H51" i="32"/>
  <c r="H53" i="32"/>
  <c r="H55" i="32"/>
  <c r="H59" i="32"/>
  <c r="H61" i="32"/>
  <c r="H63" i="32"/>
  <c r="H65" i="32"/>
  <c r="H67" i="32"/>
  <c r="H71" i="32"/>
  <c r="H73" i="32"/>
  <c r="H75" i="32"/>
  <c r="H77" i="32"/>
  <c r="H79" i="32"/>
  <c r="H83" i="32"/>
  <c r="H85" i="32"/>
  <c r="H87" i="32"/>
  <c r="H89" i="32"/>
  <c r="H91" i="32"/>
  <c r="H60" i="31"/>
  <c r="H52" i="31"/>
  <c r="G83" i="31"/>
  <c r="H85" i="31"/>
  <c r="H74" i="31"/>
  <c r="H37" i="31"/>
  <c r="H62" i="31"/>
  <c r="H76" i="31"/>
  <c r="H70" i="31"/>
  <c r="I70" i="31" s="1"/>
  <c r="J70" i="31" s="1"/>
  <c r="L70" i="31" s="1"/>
  <c r="H87" i="31"/>
  <c r="H38" i="31"/>
  <c r="H39" i="31"/>
  <c r="H56" i="31"/>
  <c r="H64" i="31"/>
  <c r="G71" i="31"/>
  <c r="H78" i="31"/>
  <c r="H82" i="31"/>
  <c r="H88" i="31"/>
  <c r="H89" i="31"/>
  <c r="H36" i="31"/>
  <c r="H86" i="31"/>
  <c r="H34" i="31"/>
  <c r="H46" i="31"/>
  <c r="H58" i="31"/>
  <c r="H84" i="31"/>
  <c r="E71" i="31"/>
  <c r="E83" i="31"/>
  <c r="I82" i="31"/>
  <c r="J82" i="31" s="1"/>
  <c r="L82" i="31" s="1"/>
  <c r="G36" i="31"/>
  <c r="G37" i="31" s="1"/>
  <c r="G38" i="31" s="1"/>
  <c r="G39" i="31" s="1"/>
  <c r="G40" i="31" s="1"/>
  <c r="G41" i="31" s="1"/>
  <c r="G42" i="31" s="1"/>
  <c r="G43" i="31" s="1"/>
  <c r="G44" i="31" s="1"/>
  <c r="E59" i="31"/>
  <c r="I58" i="31"/>
  <c r="J58" i="31" s="1"/>
  <c r="L58" i="31" s="1"/>
  <c r="E35" i="31"/>
  <c r="I34" i="31"/>
  <c r="J34" i="31" s="1"/>
  <c r="K34" i="31" s="1"/>
  <c r="I46" i="31"/>
  <c r="J46" i="31" s="1"/>
  <c r="K46" i="31" s="1"/>
  <c r="E47" i="31"/>
  <c r="H51" i="31"/>
  <c r="H49" i="31"/>
  <c r="G84" i="31"/>
  <c r="G85" i="31" s="1"/>
  <c r="G86" i="31" s="1"/>
  <c r="G87" i="31" s="1"/>
  <c r="G88" i="31" s="1"/>
  <c r="G89" i="31" s="1"/>
  <c r="G90" i="31" s="1"/>
  <c r="G91" i="31" s="1"/>
  <c r="G92" i="31" s="1"/>
  <c r="G72" i="31"/>
  <c r="G73" i="31" s="1"/>
  <c r="G74" i="31" s="1"/>
  <c r="G75" i="31" s="1"/>
  <c r="G76" i="31" s="1"/>
  <c r="G77" i="31" s="1"/>
  <c r="G78" i="31" s="1"/>
  <c r="G79" i="31" s="1"/>
  <c r="G80" i="31" s="1"/>
  <c r="G48" i="31"/>
  <c r="G49" i="31" s="1"/>
  <c r="G50" i="31" s="1"/>
  <c r="G51" i="31" s="1"/>
  <c r="G52" i="31" s="1"/>
  <c r="G53" i="31" s="1"/>
  <c r="G54" i="31" s="1"/>
  <c r="G55" i="31" s="1"/>
  <c r="G56" i="31" s="1"/>
  <c r="H47" i="31"/>
  <c r="H48" i="31"/>
  <c r="G60" i="31"/>
  <c r="G61" i="31" s="1"/>
  <c r="G62" i="31" s="1"/>
  <c r="G63" i="31" s="1"/>
  <c r="G64" i="31" s="1"/>
  <c r="G65" i="31" s="1"/>
  <c r="G66" i="31" s="1"/>
  <c r="G67" i="31" s="1"/>
  <c r="G68" i="31" s="1"/>
  <c r="H53" i="31"/>
  <c r="H55" i="31"/>
  <c r="H59" i="31"/>
  <c r="H61" i="31"/>
  <c r="H63" i="31"/>
  <c r="H65" i="31"/>
  <c r="H67" i="31"/>
  <c r="H71" i="31"/>
  <c r="H73" i="31"/>
  <c r="H75" i="31"/>
  <c r="H77" i="31"/>
  <c r="H79" i="31"/>
  <c r="H83" i="31"/>
  <c r="H36" i="27"/>
  <c r="H47" i="27"/>
  <c r="H51" i="27"/>
  <c r="H55" i="27"/>
  <c r="H58" i="27"/>
  <c r="I58" i="27" s="1"/>
  <c r="J58" i="27" s="1"/>
  <c r="L58" i="27" s="1"/>
  <c r="H66" i="27"/>
  <c r="G71" i="27"/>
  <c r="G72" i="27" s="1"/>
  <c r="G73" i="27" s="1"/>
  <c r="G74" i="27" s="1"/>
  <c r="G75" i="27" s="1"/>
  <c r="G76" i="27" s="1"/>
  <c r="G77" i="27" s="1"/>
  <c r="G78" i="27" s="1"/>
  <c r="G79" i="27" s="1"/>
  <c r="G80" i="27" s="1"/>
  <c r="H89" i="27"/>
  <c r="H46" i="27"/>
  <c r="H84" i="27"/>
  <c r="H88" i="27"/>
  <c r="H34" i="27"/>
  <c r="I34" i="27" s="1"/>
  <c r="J34" i="27" s="1"/>
  <c r="L34" i="27" s="1"/>
  <c r="G49" i="27"/>
  <c r="G50" i="27" s="1"/>
  <c r="G51" i="27" s="1"/>
  <c r="G52" i="27" s="1"/>
  <c r="G53" i="27" s="1"/>
  <c r="G54" i="27" s="1"/>
  <c r="G55" i="27" s="1"/>
  <c r="G56" i="27" s="1"/>
  <c r="H60" i="27"/>
  <c r="H59" i="27"/>
  <c r="G35" i="27"/>
  <c r="G36" i="27" s="1"/>
  <c r="H37" i="27"/>
  <c r="H38" i="27"/>
  <c r="H42" i="27"/>
  <c r="H50" i="27"/>
  <c r="H54" i="27"/>
  <c r="G59" i="27"/>
  <c r="G60" i="27" s="1"/>
  <c r="G61" i="27" s="1"/>
  <c r="G62" i="27" s="1"/>
  <c r="G63" i="27" s="1"/>
  <c r="G64" i="27" s="1"/>
  <c r="G65" i="27" s="1"/>
  <c r="G66" i="27" s="1"/>
  <c r="G67" i="27" s="1"/>
  <c r="G68" i="27" s="1"/>
  <c r="H65" i="27"/>
  <c r="H73" i="27"/>
  <c r="H77" i="27"/>
  <c r="H87" i="27"/>
  <c r="H35" i="27"/>
  <c r="H41" i="27"/>
  <c r="H49" i="27"/>
  <c r="H53" i="27"/>
  <c r="H64" i="27"/>
  <c r="H72" i="27"/>
  <c r="H76" i="27"/>
  <c r="H83" i="27"/>
  <c r="H85" i="27"/>
  <c r="H40" i="27"/>
  <c r="H48" i="27"/>
  <c r="H52" i="27"/>
  <c r="H61" i="27"/>
  <c r="H62" i="27"/>
  <c r="H63" i="27"/>
  <c r="H70" i="27"/>
  <c r="H71" i="27"/>
  <c r="H75" i="27"/>
  <c r="H82" i="27"/>
  <c r="I82" i="27" s="1"/>
  <c r="J82" i="27" s="1"/>
  <c r="K82" i="27" s="1"/>
  <c r="E35" i="27"/>
  <c r="G38" i="27"/>
  <c r="G39" i="27" s="1"/>
  <c r="G40" i="27" s="1"/>
  <c r="G41" i="27" s="1"/>
  <c r="G42" i="27" s="1"/>
  <c r="G43" i="27" s="1"/>
  <c r="G44" i="27" s="1"/>
  <c r="E83" i="27"/>
  <c r="E59" i="27"/>
  <c r="E47" i="27"/>
  <c r="I46" i="27"/>
  <c r="J46" i="27" s="1"/>
  <c r="K46" i="27" s="1"/>
  <c r="H39" i="27"/>
  <c r="I70" i="27"/>
  <c r="J70" i="27" s="1"/>
  <c r="K70" i="27" s="1"/>
  <c r="E71" i="27"/>
  <c r="K82" i="21"/>
  <c r="L82" i="21"/>
  <c r="L70" i="21"/>
  <c r="K70" i="21"/>
  <c r="L80" i="21"/>
  <c r="K80" i="21"/>
  <c r="L58" i="21"/>
  <c r="L68" i="21"/>
  <c r="K68" i="21"/>
  <c r="K46" i="21"/>
  <c r="L46" i="21"/>
  <c r="L56" i="21"/>
  <c r="K56" i="21"/>
  <c r="T44" i="17"/>
  <c r="T49" i="17"/>
  <c r="T39" i="17"/>
  <c r="G53" i="17"/>
  <c r="G52" i="17"/>
  <c r="G51" i="17"/>
  <c r="G50" i="17"/>
  <c r="G49" i="17"/>
  <c r="G48" i="17"/>
  <c r="G47" i="17"/>
  <c r="G46" i="17"/>
  <c r="G45" i="17"/>
  <c r="G44" i="17"/>
  <c r="G43" i="17"/>
  <c r="G42" i="17"/>
  <c r="G41" i="17"/>
  <c r="G40" i="17"/>
  <c r="G39" i="17"/>
  <c r="G38" i="17"/>
  <c r="G37" i="17"/>
  <c r="G36" i="17"/>
  <c r="G35" i="17"/>
  <c r="G34" i="17"/>
  <c r="H34" i="17" s="1"/>
  <c r="C35" i="17"/>
  <c r="H35" i="17" l="1"/>
  <c r="K58" i="32"/>
  <c r="L46" i="32"/>
  <c r="K46" i="32"/>
  <c r="L34" i="32"/>
  <c r="K34" i="32"/>
  <c r="L82" i="32"/>
  <c r="K70" i="32"/>
  <c r="I71" i="32"/>
  <c r="J71" i="32" s="1"/>
  <c r="K71" i="32" s="1"/>
  <c r="E72" i="32"/>
  <c r="E48" i="32"/>
  <c r="I47" i="32"/>
  <c r="J47" i="32" s="1"/>
  <c r="L47" i="32" s="1"/>
  <c r="I59" i="32"/>
  <c r="J59" i="32" s="1"/>
  <c r="K59" i="32" s="1"/>
  <c r="E60" i="32"/>
  <c r="E36" i="32"/>
  <c r="I35" i="32"/>
  <c r="J35" i="32" s="1"/>
  <c r="K35" i="32" s="1"/>
  <c r="I83" i="32"/>
  <c r="J83" i="32" s="1"/>
  <c r="K83" i="32" s="1"/>
  <c r="E84" i="32"/>
  <c r="K58" i="31"/>
  <c r="K82" i="31"/>
  <c r="I35" i="31"/>
  <c r="J35" i="31" s="1"/>
  <c r="L35" i="31" s="1"/>
  <c r="E36" i="31"/>
  <c r="I59" i="31"/>
  <c r="J59" i="31" s="1"/>
  <c r="L59" i="31" s="1"/>
  <c r="E60" i="31"/>
  <c r="L46" i="31"/>
  <c r="L34" i="31"/>
  <c r="I83" i="31"/>
  <c r="J83" i="31" s="1"/>
  <c r="K83" i="31" s="1"/>
  <c r="E84" i="31"/>
  <c r="K70" i="31"/>
  <c r="I71" i="31"/>
  <c r="J71" i="31" s="1"/>
  <c r="K71" i="31" s="1"/>
  <c r="E72" i="31"/>
  <c r="I47" i="31"/>
  <c r="J47" i="31" s="1"/>
  <c r="K47" i="31" s="1"/>
  <c r="E48" i="31"/>
  <c r="L46" i="27"/>
  <c r="I83" i="27"/>
  <c r="J83" i="27" s="1"/>
  <c r="E84" i="27"/>
  <c r="E72" i="27"/>
  <c r="I71" i="27"/>
  <c r="J71" i="27" s="1"/>
  <c r="K58" i="27"/>
  <c r="L82" i="27"/>
  <c r="K34" i="27"/>
  <c r="I59" i="27"/>
  <c r="J59" i="27" s="1"/>
  <c r="E60" i="27"/>
  <c r="L70" i="27"/>
  <c r="E48" i="27"/>
  <c r="I47" i="27"/>
  <c r="J47" i="27" s="1"/>
  <c r="I35" i="27"/>
  <c r="J35" i="27" s="1"/>
  <c r="E36" i="27"/>
  <c r="H46" i="17"/>
  <c r="H48" i="17"/>
  <c r="L47" i="17"/>
  <c r="H44" i="17"/>
  <c r="C38" i="17"/>
  <c r="H38" i="17" s="1"/>
  <c r="C37" i="17"/>
  <c r="H37" i="17" s="1"/>
  <c r="L45" i="17"/>
  <c r="C36" i="17"/>
  <c r="H36" i="17" s="1"/>
  <c r="I34" i="17" l="1"/>
  <c r="L35" i="32"/>
  <c r="E85" i="32"/>
  <c r="I84" i="32"/>
  <c r="J84" i="32" s="1"/>
  <c r="L84" i="32" s="1"/>
  <c r="L83" i="32"/>
  <c r="L59" i="32"/>
  <c r="K47" i="32"/>
  <c r="L71" i="32"/>
  <c r="I36" i="32"/>
  <c r="J36" i="32" s="1"/>
  <c r="L36" i="32" s="1"/>
  <c r="E37" i="32"/>
  <c r="E49" i="32"/>
  <c r="I48" i="32"/>
  <c r="J48" i="32" s="1"/>
  <c r="L48" i="32" s="1"/>
  <c r="E61" i="32"/>
  <c r="I60" i="32"/>
  <c r="J60" i="32" s="1"/>
  <c r="L60" i="32" s="1"/>
  <c r="E73" i="32"/>
  <c r="I72" i="32"/>
  <c r="J72" i="32" s="1"/>
  <c r="L72" i="32" s="1"/>
  <c r="L71" i="31"/>
  <c r="K59" i="31"/>
  <c r="L47" i="31"/>
  <c r="K35" i="31"/>
  <c r="E49" i="31"/>
  <c r="I48" i="31"/>
  <c r="J48" i="31" s="1"/>
  <c r="K48" i="31" s="1"/>
  <c r="L83" i="31"/>
  <c r="E61" i="31"/>
  <c r="I60" i="31"/>
  <c r="J60" i="31" s="1"/>
  <c r="L60" i="31" s="1"/>
  <c r="E73" i="31"/>
  <c r="I72" i="31"/>
  <c r="J72" i="31" s="1"/>
  <c r="L72" i="31" s="1"/>
  <c r="E85" i="31"/>
  <c r="I84" i="31"/>
  <c r="J84" i="31" s="1"/>
  <c r="L84" i="31" s="1"/>
  <c r="I36" i="31"/>
  <c r="J36" i="31" s="1"/>
  <c r="K36" i="31" s="1"/>
  <c r="E37" i="31"/>
  <c r="E61" i="27"/>
  <c r="I60" i="27"/>
  <c r="J60" i="27" s="1"/>
  <c r="E85" i="27"/>
  <c r="I84" i="27"/>
  <c r="J84" i="27" s="1"/>
  <c r="I48" i="27"/>
  <c r="J48" i="27" s="1"/>
  <c r="E49" i="27"/>
  <c r="I72" i="27"/>
  <c r="J72" i="27" s="1"/>
  <c r="E73" i="27"/>
  <c r="E37" i="27"/>
  <c r="I36" i="27"/>
  <c r="J36" i="27" s="1"/>
  <c r="L44" i="17"/>
  <c r="L46" i="17"/>
  <c r="L34" i="17"/>
  <c r="L48" i="17"/>
  <c r="H45" i="17"/>
  <c r="H47" i="17"/>
  <c r="I44" i="17" l="1"/>
  <c r="K36" i="32"/>
  <c r="K60" i="32"/>
  <c r="E38" i="32"/>
  <c r="I37" i="32"/>
  <c r="J37" i="32" s="1"/>
  <c r="L37" i="32" s="1"/>
  <c r="K84" i="32"/>
  <c r="I73" i="32"/>
  <c r="J73" i="32" s="1"/>
  <c r="K73" i="32" s="1"/>
  <c r="L73" i="32"/>
  <c r="E74" i="32"/>
  <c r="I61" i="32"/>
  <c r="J61" i="32" s="1"/>
  <c r="K61" i="32" s="1"/>
  <c r="E62" i="32"/>
  <c r="I49" i="32"/>
  <c r="J49" i="32" s="1"/>
  <c r="K49" i="32" s="1"/>
  <c r="E50" i="32"/>
  <c r="I85" i="32"/>
  <c r="J85" i="32" s="1"/>
  <c r="K85" i="32" s="1"/>
  <c r="E86" i="32"/>
  <c r="K72" i="32"/>
  <c r="K48" i="32"/>
  <c r="I73" i="31"/>
  <c r="J73" i="31" s="1"/>
  <c r="L73" i="31" s="1"/>
  <c r="E74" i="31"/>
  <c r="I37" i="31"/>
  <c r="J37" i="31" s="1"/>
  <c r="L37" i="31" s="1"/>
  <c r="E38" i="31"/>
  <c r="K84" i="31"/>
  <c r="K72" i="31"/>
  <c r="K60" i="31"/>
  <c r="L48" i="31"/>
  <c r="I85" i="31"/>
  <c r="J85" i="31" s="1"/>
  <c r="L85" i="31" s="1"/>
  <c r="E86" i="31"/>
  <c r="L36" i="31"/>
  <c r="I61" i="31"/>
  <c r="J61" i="31" s="1"/>
  <c r="K61" i="31" s="1"/>
  <c r="L61" i="31"/>
  <c r="E62" i="31"/>
  <c r="I49" i="31"/>
  <c r="J49" i="31" s="1"/>
  <c r="K49" i="31" s="1"/>
  <c r="E50" i="31"/>
  <c r="E38" i="27"/>
  <c r="I37" i="27"/>
  <c r="J37" i="27" s="1"/>
  <c r="I85" i="27"/>
  <c r="J85" i="27" s="1"/>
  <c r="E86" i="27"/>
  <c r="I61" i="27"/>
  <c r="J61" i="27" s="1"/>
  <c r="E62" i="27"/>
  <c r="E74" i="27"/>
  <c r="I73" i="27"/>
  <c r="J73" i="27" s="1"/>
  <c r="E50" i="27"/>
  <c r="I49" i="27"/>
  <c r="J49" i="27" s="1"/>
  <c r="L85" i="32" l="1"/>
  <c r="L61" i="32"/>
  <c r="L49" i="32"/>
  <c r="I38" i="32"/>
  <c r="J38" i="32" s="1"/>
  <c r="K38" i="32" s="1"/>
  <c r="E39" i="32"/>
  <c r="E87" i="32"/>
  <c r="I86" i="32"/>
  <c r="J86" i="32" s="1"/>
  <c r="K86" i="32" s="1"/>
  <c r="L50" i="32"/>
  <c r="E51" i="32"/>
  <c r="I50" i="32"/>
  <c r="J50" i="32" s="1"/>
  <c r="K50" i="32" s="1"/>
  <c r="E63" i="32"/>
  <c r="I62" i="32"/>
  <c r="J62" i="32" s="1"/>
  <c r="K62" i="32" s="1"/>
  <c r="E75" i="32"/>
  <c r="I74" i="32"/>
  <c r="J74" i="32" s="1"/>
  <c r="K74" i="32" s="1"/>
  <c r="K37" i="31"/>
  <c r="K73" i="31"/>
  <c r="L49" i="31"/>
  <c r="E87" i="31"/>
  <c r="I86" i="31"/>
  <c r="J86" i="31" s="1"/>
  <c r="L86" i="31" s="1"/>
  <c r="I38" i="31"/>
  <c r="J38" i="31" s="1"/>
  <c r="L38" i="31" s="1"/>
  <c r="E39" i="31"/>
  <c r="E63" i="31"/>
  <c r="I62" i="31"/>
  <c r="J62" i="31" s="1"/>
  <c r="L62" i="31" s="1"/>
  <c r="K85" i="31"/>
  <c r="E75" i="31"/>
  <c r="I74" i="31"/>
  <c r="J74" i="31" s="1"/>
  <c r="L74" i="31" s="1"/>
  <c r="E51" i="31"/>
  <c r="I50" i="31"/>
  <c r="J50" i="31" s="1"/>
  <c r="L50" i="31" s="1"/>
  <c r="I50" i="27"/>
  <c r="J50" i="27" s="1"/>
  <c r="E51" i="27"/>
  <c r="I74" i="27"/>
  <c r="J74" i="27" s="1"/>
  <c r="E75" i="27"/>
  <c r="E39" i="27"/>
  <c r="I38" i="27"/>
  <c r="J38" i="27" s="1"/>
  <c r="E63" i="27"/>
  <c r="I62" i="27"/>
  <c r="J62" i="27" s="1"/>
  <c r="E87" i="27"/>
  <c r="I86" i="27"/>
  <c r="J86" i="27" s="1"/>
  <c r="L38" i="17"/>
  <c r="L37" i="17"/>
  <c r="L36" i="17"/>
  <c r="L35" i="17"/>
  <c r="L62" i="32" l="1"/>
  <c r="L74" i="32"/>
  <c r="L86" i="32"/>
  <c r="I63" i="32"/>
  <c r="J63" i="32" s="1"/>
  <c r="L63" i="32" s="1"/>
  <c r="E64" i="32"/>
  <c r="E40" i="32"/>
  <c r="I39" i="32"/>
  <c r="J39" i="32" s="1"/>
  <c r="K39" i="32" s="1"/>
  <c r="I51" i="32"/>
  <c r="J51" i="32" s="1"/>
  <c r="L51" i="32" s="1"/>
  <c r="E52" i="32"/>
  <c r="I87" i="32"/>
  <c r="J87" i="32" s="1"/>
  <c r="L87" i="32" s="1"/>
  <c r="E88" i="32"/>
  <c r="L38" i="32"/>
  <c r="I75" i="32"/>
  <c r="J75" i="32" s="1"/>
  <c r="K75" i="32" s="1"/>
  <c r="E76" i="32"/>
  <c r="K62" i="31"/>
  <c r="K86" i="31"/>
  <c r="K50" i="31"/>
  <c r="E40" i="31"/>
  <c r="I39" i="31"/>
  <c r="J39" i="31" s="1"/>
  <c r="L39" i="31" s="1"/>
  <c r="K74" i="31"/>
  <c r="K38" i="31"/>
  <c r="I51" i="31"/>
  <c r="J51" i="31" s="1"/>
  <c r="L51" i="31" s="1"/>
  <c r="E52" i="31"/>
  <c r="I63" i="31"/>
  <c r="J63" i="31" s="1"/>
  <c r="K63" i="31" s="1"/>
  <c r="E64" i="31"/>
  <c r="I87" i="31"/>
  <c r="J87" i="31" s="1"/>
  <c r="K87" i="31" s="1"/>
  <c r="E88" i="31"/>
  <c r="I75" i="31"/>
  <c r="J75" i="31" s="1"/>
  <c r="K75" i="31" s="1"/>
  <c r="E76" i="31"/>
  <c r="E40" i="27"/>
  <c r="I39" i="27"/>
  <c r="J39" i="27" s="1"/>
  <c r="E76" i="27"/>
  <c r="I75" i="27"/>
  <c r="J75" i="27" s="1"/>
  <c r="E52" i="27"/>
  <c r="I51" i="27"/>
  <c r="J51" i="27" s="1"/>
  <c r="I87" i="27"/>
  <c r="J87" i="27" s="1"/>
  <c r="E88" i="27"/>
  <c r="I63" i="27"/>
  <c r="J63" i="27" s="1"/>
  <c r="E64" i="27"/>
  <c r="L75" i="32" l="1"/>
  <c r="E77" i="32"/>
  <c r="I76" i="32"/>
  <c r="J76" i="32" s="1"/>
  <c r="L76" i="32" s="1"/>
  <c r="K87" i="32"/>
  <c r="K51" i="32"/>
  <c r="L39" i="32"/>
  <c r="K63" i="32"/>
  <c r="E89" i="32"/>
  <c r="I88" i="32"/>
  <c r="J88" i="32" s="1"/>
  <c r="L88" i="32" s="1"/>
  <c r="E53" i="32"/>
  <c r="I52" i="32"/>
  <c r="J52" i="32" s="1"/>
  <c r="L52" i="32" s="1"/>
  <c r="E65" i="32"/>
  <c r="I64" i="32"/>
  <c r="J64" i="32" s="1"/>
  <c r="L64" i="32" s="1"/>
  <c r="I40" i="32"/>
  <c r="J40" i="32" s="1"/>
  <c r="L40" i="32" s="1"/>
  <c r="E41" i="32"/>
  <c r="L87" i="31"/>
  <c r="L75" i="31"/>
  <c r="K51" i="31"/>
  <c r="L63" i="31"/>
  <c r="K39" i="31"/>
  <c r="E65" i="31"/>
  <c r="I64" i="31"/>
  <c r="J64" i="31" s="1"/>
  <c r="K64" i="31" s="1"/>
  <c r="E77" i="31"/>
  <c r="I76" i="31"/>
  <c r="J76" i="31" s="1"/>
  <c r="K76" i="31" s="1"/>
  <c r="E89" i="31"/>
  <c r="I88" i="31"/>
  <c r="J88" i="31" s="1"/>
  <c r="K88" i="31" s="1"/>
  <c r="E53" i="31"/>
  <c r="I52" i="31"/>
  <c r="J52" i="31" s="1"/>
  <c r="K52" i="31" s="1"/>
  <c r="E41" i="31"/>
  <c r="I40" i="31"/>
  <c r="J40" i="31" s="1"/>
  <c r="K40" i="31" s="1"/>
  <c r="E89" i="27"/>
  <c r="I88" i="27"/>
  <c r="J88" i="27" s="1"/>
  <c r="I64" i="27"/>
  <c r="J64" i="27" s="1"/>
  <c r="E65" i="27"/>
  <c r="E77" i="27"/>
  <c r="I76" i="27"/>
  <c r="J76" i="27" s="1"/>
  <c r="E41" i="27"/>
  <c r="I40" i="27"/>
  <c r="J40" i="27" s="1"/>
  <c r="E53" i="27"/>
  <c r="I52" i="27"/>
  <c r="J52" i="27" s="1"/>
  <c r="K40" i="32" l="1"/>
  <c r="E42" i="32"/>
  <c r="I41" i="32"/>
  <c r="J41" i="32" s="1"/>
  <c r="L41" i="32" s="1"/>
  <c r="K64" i="32"/>
  <c r="K52" i="32"/>
  <c r="K88" i="32"/>
  <c r="K76" i="32"/>
  <c r="I65" i="32"/>
  <c r="J65" i="32" s="1"/>
  <c r="K65" i="32" s="1"/>
  <c r="E66" i="32"/>
  <c r="I53" i="32"/>
  <c r="J53" i="32" s="1"/>
  <c r="K53" i="32" s="1"/>
  <c r="E54" i="32"/>
  <c r="I89" i="32"/>
  <c r="J89" i="32" s="1"/>
  <c r="K89" i="32" s="1"/>
  <c r="E90" i="32"/>
  <c r="I77" i="32"/>
  <c r="J77" i="32" s="1"/>
  <c r="K77" i="32" s="1"/>
  <c r="E78" i="32"/>
  <c r="L52" i="31"/>
  <c r="L76" i="31"/>
  <c r="L88" i="31"/>
  <c r="L64" i="31"/>
  <c r="L40" i="31"/>
  <c r="I41" i="31"/>
  <c r="J41" i="31" s="1"/>
  <c r="K41" i="31" s="1"/>
  <c r="E42" i="31"/>
  <c r="I53" i="31"/>
  <c r="J53" i="31" s="1"/>
  <c r="K53" i="31" s="1"/>
  <c r="E54" i="31"/>
  <c r="I89" i="31"/>
  <c r="J89" i="31" s="1"/>
  <c r="K89" i="31" s="1"/>
  <c r="E90" i="31"/>
  <c r="I77" i="31"/>
  <c r="J77" i="31" s="1"/>
  <c r="K77" i="31" s="1"/>
  <c r="E78" i="31"/>
  <c r="I65" i="31"/>
  <c r="J65" i="31" s="1"/>
  <c r="K65" i="31" s="1"/>
  <c r="E66" i="31"/>
  <c r="I53" i="27"/>
  <c r="J53" i="27" s="1"/>
  <c r="E54" i="27"/>
  <c r="E66" i="27"/>
  <c r="I65" i="27"/>
  <c r="J65" i="27" s="1"/>
  <c r="I77" i="27"/>
  <c r="J77" i="27" s="1"/>
  <c r="E78" i="27"/>
  <c r="E42" i="27"/>
  <c r="I41" i="27"/>
  <c r="J41" i="27" s="1"/>
  <c r="E90" i="27"/>
  <c r="I89" i="27"/>
  <c r="J89" i="27" s="1"/>
  <c r="E91" i="32" l="1"/>
  <c r="I90" i="32"/>
  <c r="J90" i="32" s="1"/>
  <c r="L90" i="32" s="1"/>
  <c r="E79" i="32"/>
  <c r="I78" i="32"/>
  <c r="J78" i="32" s="1"/>
  <c r="L78" i="32" s="1"/>
  <c r="E55" i="32"/>
  <c r="I54" i="32"/>
  <c r="J54" i="32" s="1"/>
  <c r="L54" i="32" s="1"/>
  <c r="E67" i="32"/>
  <c r="I66" i="32"/>
  <c r="J66" i="32" s="1"/>
  <c r="L66" i="32" s="1"/>
  <c r="L77" i="32"/>
  <c r="L89" i="32"/>
  <c r="L53" i="32"/>
  <c r="L65" i="32"/>
  <c r="K41" i="32"/>
  <c r="I42" i="32"/>
  <c r="J42" i="32" s="1"/>
  <c r="K42" i="32" s="1"/>
  <c r="E43" i="32"/>
  <c r="L89" i="31"/>
  <c r="L53" i="31"/>
  <c r="L77" i="31"/>
  <c r="L65" i="31"/>
  <c r="E67" i="31"/>
  <c r="I66" i="31"/>
  <c r="J66" i="31" s="1"/>
  <c r="L66" i="31" s="1"/>
  <c r="E91" i="31"/>
  <c r="I90" i="31"/>
  <c r="J90" i="31" s="1"/>
  <c r="L90" i="31" s="1"/>
  <c r="E79" i="31"/>
  <c r="I78" i="31"/>
  <c r="J78" i="31" s="1"/>
  <c r="L78" i="31" s="1"/>
  <c r="L41" i="31"/>
  <c r="I42" i="31"/>
  <c r="J42" i="31" s="1"/>
  <c r="K42" i="31" s="1"/>
  <c r="E43" i="31"/>
  <c r="E55" i="31"/>
  <c r="I54" i="31"/>
  <c r="J54" i="31" s="1"/>
  <c r="L54" i="31" s="1"/>
  <c r="E79" i="27"/>
  <c r="I78" i="27"/>
  <c r="J78" i="27" s="1"/>
  <c r="E55" i="27"/>
  <c r="I54" i="27"/>
  <c r="J54" i="27" s="1"/>
  <c r="E43" i="27"/>
  <c r="I42" i="27"/>
  <c r="J42" i="27" s="1"/>
  <c r="I90" i="27"/>
  <c r="J90" i="27" s="1"/>
  <c r="E91" i="27"/>
  <c r="I66" i="27"/>
  <c r="J66" i="27" s="1"/>
  <c r="E67" i="27"/>
  <c r="D38" i="21"/>
  <c r="L42" i="32" l="1"/>
  <c r="K78" i="32"/>
  <c r="K90" i="32"/>
  <c r="E44" i="32"/>
  <c r="I43" i="32"/>
  <c r="J43" i="32" s="1"/>
  <c r="L43" i="32" s="1"/>
  <c r="I67" i="32"/>
  <c r="J67" i="32" s="1"/>
  <c r="K67" i="32" s="1"/>
  <c r="E68" i="32"/>
  <c r="I55" i="32"/>
  <c r="J55" i="32" s="1"/>
  <c r="K55" i="32" s="1"/>
  <c r="E56" i="32"/>
  <c r="I79" i="32"/>
  <c r="J79" i="32" s="1"/>
  <c r="K79" i="32" s="1"/>
  <c r="E80" i="32"/>
  <c r="I91" i="32"/>
  <c r="J91" i="32" s="1"/>
  <c r="K91" i="32" s="1"/>
  <c r="E92" i="32"/>
  <c r="K54" i="31"/>
  <c r="K66" i="31"/>
  <c r="K78" i="31"/>
  <c r="K90" i="31"/>
  <c r="L42" i="31"/>
  <c r="I79" i="31"/>
  <c r="J79" i="31" s="1"/>
  <c r="L79" i="31" s="1"/>
  <c r="E80" i="31"/>
  <c r="I91" i="31"/>
  <c r="J91" i="31" s="1"/>
  <c r="L91" i="31" s="1"/>
  <c r="E92" i="31"/>
  <c r="I67" i="31"/>
  <c r="J67" i="31" s="1"/>
  <c r="L67" i="31" s="1"/>
  <c r="E68" i="31"/>
  <c r="I55" i="31"/>
  <c r="J55" i="31" s="1"/>
  <c r="L55" i="31" s="1"/>
  <c r="E56" i="31"/>
  <c r="I43" i="31"/>
  <c r="J43" i="31" s="1"/>
  <c r="L43" i="31" s="1"/>
  <c r="E44" i="31"/>
  <c r="E68" i="27"/>
  <c r="I67" i="27"/>
  <c r="J67" i="27" s="1"/>
  <c r="I55" i="27"/>
  <c r="J55" i="27" s="1"/>
  <c r="E56" i="27"/>
  <c r="I79" i="27"/>
  <c r="J79" i="27" s="1"/>
  <c r="E80" i="27"/>
  <c r="I43" i="27"/>
  <c r="J43" i="27" s="1"/>
  <c r="E44" i="27"/>
  <c r="E92" i="27"/>
  <c r="I91" i="27"/>
  <c r="J91" i="27" s="1"/>
  <c r="F34" i="21"/>
  <c r="F33" i="21"/>
  <c r="I92" i="32" l="1"/>
  <c r="J92" i="32" s="1"/>
  <c r="L92" i="32" s="1"/>
  <c r="I80" i="32"/>
  <c r="J80" i="32" s="1"/>
  <c r="K80" i="32" s="1"/>
  <c r="I56" i="32"/>
  <c r="J56" i="32" s="1"/>
  <c r="K56" i="32" s="1"/>
  <c r="I68" i="32"/>
  <c r="J68" i="32" s="1"/>
  <c r="L68" i="32" s="1"/>
  <c r="L91" i="32"/>
  <c r="L79" i="32"/>
  <c r="L55" i="32"/>
  <c r="L67" i="32"/>
  <c r="K43" i="32"/>
  <c r="I44" i="32"/>
  <c r="J44" i="32" s="1"/>
  <c r="L44" i="32" s="1"/>
  <c r="I56" i="31"/>
  <c r="J56" i="31" s="1"/>
  <c r="L56" i="31" s="1"/>
  <c r="I92" i="31"/>
  <c r="J92" i="31" s="1"/>
  <c r="K92" i="31" s="1"/>
  <c r="K79" i="31"/>
  <c r="I68" i="31"/>
  <c r="J68" i="31" s="1"/>
  <c r="K68" i="31" s="1"/>
  <c r="K91" i="31"/>
  <c r="I80" i="31"/>
  <c r="J80" i="31" s="1"/>
  <c r="K80" i="31" s="1"/>
  <c r="K43" i="31"/>
  <c r="K67" i="31"/>
  <c r="K55" i="31"/>
  <c r="I44" i="31"/>
  <c r="J44" i="31" s="1"/>
  <c r="L44" i="31" s="1"/>
  <c r="I44" i="27"/>
  <c r="J44" i="27" s="1"/>
  <c r="I56" i="27"/>
  <c r="J56" i="27" s="1"/>
  <c r="K56" i="27" s="1"/>
  <c r="I80" i="27"/>
  <c r="J80" i="27" s="1"/>
  <c r="I68" i="27"/>
  <c r="J68" i="27" s="1"/>
  <c r="I92" i="27"/>
  <c r="J92" i="27" s="1"/>
  <c r="G34" i="21"/>
  <c r="F92" i="21"/>
  <c r="H92" i="21" s="1"/>
  <c r="D92" i="21"/>
  <c r="F91" i="21"/>
  <c r="D91" i="21"/>
  <c r="F90" i="21"/>
  <c r="H90" i="21" s="1"/>
  <c r="D90" i="21"/>
  <c r="F89" i="21"/>
  <c r="D89" i="21"/>
  <c r="F88" i="21"/>
  <c r="D88" i="21"/>
  <c r="F87" i="21"/>
  <c r="D87" i="21"/>
  <c r="F86" i="21"/>
  <c r="H86" i="21" s="1"/>
  <c r="D86" i="21"/>
  <c r="F85" i="21"/>
  <c r="D85" i="21"/>
  <c r="F84" i="21"/>
  <c r="D84" i="21"/>
  <c r="F83" i="21"/>
  <c r="D83" i="21"/>
  <c r="F82" i="21"/>
  <c r="H82" i="21" s="1"/>
  <c r="D82" i="21"/>
  <c r="F81" i="21"/>
  <c r="G82" i="21" s="1"/>
  <c r="D81" i="21"/>
  <c r="F80" i="21"/>
  <c r="H80" i="21" s="1"/>
  <c r="D80" i="21"/>
  <c r="F79" i="21"/>
  <c r="D79" i="21"/>
  <c r="F78" i="21"/>
  <c r="H78" i="21" s="1"/>
  <c r="D78" i="21"/>
  <c r="F77" i="21"/>
  <c r="D77" i="21"/>
  <c r="F76" i="21"/>
  <c r="H76" i="21" s="1"/>
  <c r="D76" i="21"/>
  <c r="F75" i="21"/>
  <c r="D75" i="21"/>
  <c r="F74" i="21"/>
  <c r="D74" i="21"/>
  <c r="F73" i="21"/>
  <c r="D73" i="21"/>
  <c r="F72" i="21"/>
  <c r="D72" i="21"/>
  <c r="F71" i="21"/>
  <c r="D71" i="21"/>
  <c r="F70" i="21"/>
  <c r="G71" i="21" s="1"/>
  <c r="D70" i="21"/>
  <c r="F69" i="21"/>
  <c r="G70" i="21" s="1"/>
  <c r="D69" i="21"/>
  <c r="F68" i="21"/>
  <c r="H68" i="21" s="1"/>
  <c r="D68" i="21"/>
  <c r="F67" i="21"/>
  <c r="D67" i="21"/>
  <c r="F66" i="21"/>
  <c r="D66" i="21"/>
  <c r="F65" i="21"/>
  <c r="D65" i="21"/>
  <c r="F64" i="21"/>
  <c r="H63" i="21" s="1"/>
  <c r="D64" i="21"/>
  <c r="F63" i="21"/>
  <c r="D63" i="21"/>
  <c r="F62" i="21"/>
  <c r="D62" i="21"/>
  <c r="F61" i="21"/>
  <c r="D61" i="21"/>
  <c r="F60" i="21"/>
  <c r="H60" i="21" s="1"/>
  <c r="D60" i="21"/>
  <c r="F59" i="21"/>
  <c r="D59" i="21"/>
  <c r="F58" i="21"/>
  <c r="D58" i="21"/>
  <c r="F57" i="21"/>
  <c r="G58" i="21" s="1"/>
  <c r="D57" i="21"/>
  <c r="F56" i="21"/>
  <c r="H56" i="21" s="1"/>
  <c r="D56" i="21"/>
  <c r="F55" i="21"/>
  <c r="D55" i="21"/>
  <c r="F54" i="21"/>
  <c r="D54" i="21"/>
  <c r="F53" i="21"/>
  <c r="D53" i="21"/>
  <c r="F52" i="21"/>
  <c r="D52" i="21"/>
  <c r="F51" i="21"/>
  <c r="D51" i="21"/>
  <c r="F50" i="21"/>
  <c r="D50" i="21"/>
  <c r="F49" i="21"/>
  <c r="D49" i="21"/>
  <c r="F48" i="21"/>
  <c r="D48" i="21"/>
  <c r="F47" i="21"/>
  <c r="D47" i="21"/>
  <c r="F46" i="21"/>
  <c r="D46" i="21"/>
  <c r="F45" i="21"/>
  <c r="G46" i="21" s="1"/>
  <c r="D45" i="21"/>
  <c r="F44" i="21"/>
  <c r="H44" i="21" s="1"/>
  <c r="D44" i="21"/>
  <c r="F43" i="21"/>
  <c r="D43" i="21"/>
  <c r="F42" i="21"/>
  <c r="D42" i="21"/>
  <c r="F41" i="21"/>
  <c r="D41" i="21"/>
  <c r="F40" i="21"/>
  <c r="D40" i="21"/>
  <c r="F39" i="21"/>
  <c r="D39" i="21"/>
  <c r="F38" i="21"/>
  <c r="F37" i="21"/>
  <c r="D37" i="21"/>
  <c r="F36" i="21"/>
  <c r="D36" i="21"/>
  <c r="F35" i="21"/>
  <c r="D35" i="21"/>
  <c r="G35" i="21"/>
  <c r="D33" i="21"/>
  <c r="L56" i="32" l="1"/>
  <c r="K44" i="32"/>
  <c r="L80" i="32"/>
  <c r="K68" i="32"/>
  <c r="K92" i="32"/>
  <c r="K44" i="31"/>
  <c r="L92" i="31"/>
  <c r="L80" i="31"/>
  <c r="L68" i="31"/>
  <c r="K56" i="31"/>
  <c r="L56" i="27"/>
  <c r="H47" i="21"/>
  <c r="H55" i="21"/>
  <c r="H73" i="21"/>
  <c r="H77" i="21"/>
  <c r="H70" i="21"/>
  <c r="H85" i="21"/>
  <c r="H42" i="21"/>
  <c r="H52" i="21"/>
  <c r="H89" i="21"/>
  <c r="H91" i="21"/>
  <c r="G83" i="21"/>
  <c r="G84" i="21" s="1"/>
  <c r="G85" i="21" s="1"/>
  <c r="G86" i="21" s="1"/>
  <c r="G87" i="21" s="1"/>
  <c r="G88" i="21" s="1"/>
  <c r="G89" i="21" s="1"/>
  <c r="G90" i="21" s="1"/>
  <c r="G91" i="21" s="1"/>
  <c r="G92" i="21" s="1"/>
  <c r="G36" i="21"/>
  <c r="G37" i="21" s="1"/>
  <c r="G72" i="21"/>
  <c r="G73" i="21" s="1"/>
  <c r="G74" i="21" s="1"/>
  <c r="G75" i="21" s="1"/>
  <c r="G76" i="21" s="1"/>
  <c r="G77" i="21" s="1"/>
  <c r="G78" i="21" s="1"/>
  <c r="G79" i="21" s="1"/>
  <c r="G80" i="21" s="1"/>
  <c r="H79" i="21"/>
  <c r="H67" i="21"/>
  <c r="H72" i="21"/>
  <c r="H37" i="21"/>
  <c r="H50" i="21"/>
  <c r="H53" i="21"/>
  <c r="G59" i="21"/>
  <c r="G60" i="21" s="1"/>
  <c r="G61" i="21" s="1"/>
  <c r="G62" i="21" s="1"/>
  <c r="G63" i="21" s="1"/>
  <c r="G64" i="21" s="1"/>
  <c r="G65" i="21" s="1"/>
  <c r="G66" i="21" s="1"/>
  <c r="G67" i="21" s="1"/>
  <c r="G68" i="21" s="1"/>
  <c r="H58" i="21"/>
  <c r="H61" i="21"/>
  <c r="H34" i="21"/>
  <c r="H38" i="21"/>
  <c r="H35" i="21"/>
  <c r="H39" i="21"/>
  <c r="G47" i="21"/>
  <c r="G48" i="21" s="1"/>
  <c r="G49" i="21" s="1"/>
  <c r="G50" i="21" s="1"/>
  <c r="G51" i="21" s="1"/>
  <c r="G52" i="21" s="1"/>
  <c r="G53" i="21" s="1"/>
  <c r="G54" i="21" s="1"/>
  <c r="G55" i="21" s="1"/>
  <c r="G56" i="21" s="1"/>
  <c r="H46" i="21"/>
  <c r="H48" i="21"/>
  <c r="H54" i="21"/>
  <c r="H59" i="21"/>
  <c r="H62" i="21"/>
  <c r="H64" i="21"/>
  <c r="H66" i="21"/>
  <c r="H43" i="21"/>
  <c r="H41" i="21"/>
  <c r="H49" i="21"/>
  <c r="H51" i="21"/>
  <c r="H36" i="21"/>
  <c r="H40" i="21"/>
  <c r="H65" i="21"/>
  <c r="H71" i="21"/>
  <c r="H75" i="21"/>
  <c r="H84" i="21"/>
  <c r="H88" i="21"/>
  <c r="H74" i="21"/>
  <c r="H83" i="21"/>
  <c r="H87" i="21"/>
  <c r="G38" i="21" l="1"/>
  <c r="G39" i="21" l="1"/>
  <c r="G40" i="21" l="1"/>
  <c r="G41" i="21" l="1"/>
  <c r="G42" i="21" l="1"/>
  <c r="G43" i="21" l="1"/>
  <c r="G44" i="21" l="1"/>
  <c r="Q28" i="13" l="1"/>
  <c r="Q13" i="13"/>
  <c r="H28" i="13"/>
  <c r="H13" i="13"/>
  <c r="W30" i="17" l="1"/>
  <c r="X30" i="17" s="1"/>
  <c r="P30" i="17"/>
  <c r="Q49" i="17" s="1"/>
  <c r="H30" i="17"/>
  <c r="H29" i="17"/>
  <c r="J30" i="17"/>
  <c r="J29" i="17"/>
  <c r="J28" i="17"/>
  <c r="H28" i="17"/>
  <c r="L30" i="17"/>
  <c r="W29" i="17"/>
  <c r="X29" i="17" s="1"/>
  <c r="L29" i="17"/>
  <c r="L28" i="17"/>
  <c r="K28" i="17"/>
  <c r="D28" i="17" s="1"/>
  <c r="W27" i="17"/>
  <c r="X27" i="17" s="1"/>
  <c r="L27" i="17"/>
  <c r="K27" i="17"/>
  <c r="D27" i="17" s="1"/>
  <c r="D28" i="13"/>
  <c r="J27" i="17"/>
  <c r="F27" i="17" l="1"/>
  <c r="C27" i="17"/>
  <c r="C52" i="17"/>
  <c r="J52" i="17" s="1"/>
  <c r="C51" i="17"/>
  <c r="J51" i="17" s="1"/>
  <c r="C53" i="17"/>
  <c r="C50" i="17"/>
  <c r="J50" i="17" s="1"/>
  <c r="C49" i="17"/>
  <c r="J49" i="17" s="1"/>
  <c r="K49" i="17"/>
  <c r="K42" i="17"/>
  <c r="I28" i="17"/>
  <c r="K46" i="17"/>
  <c r="I29" i="17"/>
  <c r="K37" i="17"/>
  <c r="I30" i="17"/>
  <c r="K52" i="17"/>
  <c r="K35" i="17"/>
  <c r="K36" i="17"/>
  <c r="K44" i="17"/>
  <c r="K38" i="17"/>
  <c r="K41" i="17"/>
  <c r="K53" i="17"/>
  <c r="J47" i="17"/>
  <c r="K39" i="17"/>
  <c r="J48" i="17"/>
  <c r="K51" i="17"/>
  <c r="K40" i="17"/>
  <c r="K45" i="17"/>
  <c r="J35" i="17"/>
  <c r="J45" i="17"/>
  <c r="J36" i="17"/>
  <c r="J46" i="17"/>
  <c r="J38" i="17"/>
  <c r="J44" i="17"/>
  <c r="F28" i="17"/>
  <c r="C29" i="17"/>
  <c r="C30" i="17"/>
  <c r="C28" i="17"/>
  <c r="F30" i="17"/>
  <c r="F29" i="17"/>
  <c r="W28" i="17"/>
  <c r="X28" i="17" s="1"/>
  <c r="B13" i="13"/>
  <c r="N27" i="17" s="1"/>
  <c r="G27" i="17" s="1"/>
  <c r="J34" i="17" l="1"/>
  <c r="K34" i="17"/>
  <c r="J37" i="17"/>
  <c r="K48" i="17"/>
  <c r="K47" i="17"/>
  <c r="K43" i="17"/>
  <c r="K50" i="17"/>
  <c r="L53" i="17"/>
  <c r="H53" i="17"/>
  <c r="L52" i="17"/>
  <c r="H52" i="17"/>
  <c r="H51" i="17"/>
  <c r="L51" i="17"/>
  <c r="J53" i="17"/>
  <c r="L50" i="17"/>
  <c r="H50" i="17"/>
  <c r="H49" i="17"/>
  <c r="L49" i="17"/>
  <c r="O27" i="17"/>
  <c r="C58" i="17" s="1"/>
  <c r="F58" i="17" l="1"/>
  <c r="G58" i="17" s="1"/>
  <c r="C66" i="17"/>
  <c r="F66" i="17" s="1"/>
  <c r="I49" i="17"/>
  <c r="R27" i="17"/>
  <c r="T27" i="17" s="1"/>
  <c r="Z27" i="17" s="1"/>
  <c r="G66" i="17" l="1"/>
  <c r="Y27" i="17"/>
  <c r="M3" i="17" s="1"/>
  <c r="B28" i="13"/>
  <c r="K13" i="13"/>
  <c r="K28" i="13"/>
  <c r="G28" i="13"/>
  <c r="P28" i="13"/>
  <c r="O28" i="13"/>
  <c r="N28" i="13"/>
  <c r="M28" i="13"/>
  <c r="L28" i="13"/>
  <c r="P13" i="13"/>
  <c r="O13" i="13"/>
  <c r="N13" i="13"/>
  <c r="M13" i="13"/>
  <c r="L13" i="13"/>
  <c r="F28" i="13"/>
  <c r="E28" i="13"/>
  <c r="C28" i="13"/>
  <c r="D13" i="13"/>
  <c r="E13" i="13"/>
  <c r="F13" i="13"/>
  <c r="G13" i="13"/>
  <c r="C13" i="13"/>
  <c r="N30" i="17" l="1"/>
  <c r="N28" i="17"/>
  <c r="G28" i="17" s="1"/>
  <c r="N29" i="17"/>
  <c r="M53" i="17" l="1"/>
  <c r="O53" i="17" s="1"/>
  <c r="G29" i="17"/>
  <c r="O29" i="17" s="1"/>
  <c r="C60" i="17" s="1"/>
  <c r="M47" i="17"/>
  <c r="O47" i="17" s="1"/>
  <c r="M52" i="17"/>
  <c r="O52" i="17" s="1"/>
  <c r="M48" i="17"/>
  <c r="O48" i="17" s="1"/>
  <c r="G30" i="17"/>
  <c r="O30" i="17" s="1"/>
  <c r="C61" i="17" s="1"/>
  <c r="M44" i="17"/>
  <c r="M50" i="17"/>
  <c r="M49" i="17"/>
  <c r="M45" i="17"/>
  <c r="M51" i="17"/>
  <c r="M37" i="17"/>
  <c r="O28" i="17"/>
  <c r="C59" i="17" s="1"/>
  <c r="M46" i="17"/>
  <c r="M35" i="17"/>
  <c r="M36" i="17"/>
  <c r="M38" i="17"/>
  <c r="O38" i="17" s="1"/>
  <c r="M34" i="17"/>
  <c r="O34" i="17" s="1"/>
  <c r="F59" i="17" l="1"/>
  <c r="G59" i="17" s="1"/>
  <c r="C67" i="17"/>
  <c r="F67" i="17" s="1"/>
  <c r="F61" i="17"/>
  <c r="G61" i="17" s="1"/>
  <c r="C69" i="17"/>
  <c r="F69" i="17" s="1"/>
  <c r="F60" i="17"/>
  <c r="G60" i="17" s="1"/>
  <c r="C68" i="17"/>
  <c r="F68" i="17" s="1"/>
  <c r="N53" i="17"/>
  <c r="N48" i="17"/>
  <c r="N47" i="17"/>
  <c r="N52" i="17"/>
  <c r="R29" i="17"/>
  <c r="R30" i="17"/>
  <c r="R28" i="17"/>
  <c r="N34" i="17"/>
  <c r="O51" i="17"/>
  <c r="N51" i="17"/>
  <c r="N38" i="17"/>
  <c r="O36" i="17"/>
  <c r="N36" i="17"/>
  <c r="O50" i="17"/>
  <c r="N50" i="17"/>
  <c r="O49" i="17"/>
  <c r="N49" i="17"/>
  <c r="O45" i="17"/>
  <c r="N45" i="17"/>
  <c r="O35" i="17"/>
  <c r="N35" i="17"/>
  <c r="O46" i="17"/>
  <c r="N46" i="17"/>
  <c r="O44" i="17"/>
  <c r="N44" i="17"/>
  <c r="O37" i="17"/>
  <c r="N37" i="17"/>
  <c r="G69" i="17" l="1"/>
  <c r="G68" i="17"/>
  <c r="G67" i="17"/>
  <c r="P34" i="17"/>
  <c r="S34" i="17" s="1"/>
  <c r="T28" i="17"/>
  <c r="Z28" i="17" s="1"/>
  <c r="Y28" i="17"/>
  <c r="M5" i="17" s="1"/>
  <c r="P44" i="17"/>
  <c r="S44" i="17" s="1"/>
  <c r="J60" i="17" s="1"/>
  <c r="P49" i="17"/>
  <c r="S49" i="17" s="1"/>
  <c r="J61" i="17" s="1"/>
  <c r="T30" i="17"/>
  <c r="Z30" i="17" s="1"/>
  <c r="Y30" i="17"/>
  <c r="M9" i="17" s="1"/>
  <c r="T29" i="17"/>
  <c r="Z29" i="17" s="1"/>
  <c r="Y29" i="17"/>
  <c r="M7" i="17" s="1"/>
  <c r="L61" i="17" l="1"/>
  <c r="J69" i="17"/>
  <c r="L69" i="17" s="1"/>
  <c r="L60" i="17"/>
  <c r="J68" i="17"/>
  <c r="L68" i="17" s="1"/>
  <c r="U34" i="17"/>
  <c r="M4" i="17" s="1"/>
  <c r="J58" i="17"/>
  <c r="U44" i="17"/>
  <c r="M8" i="17" s="1"/>
  <c r="U49" i="17"/>
  <c r="M10" i="17" s="1"/>
  <c r="L39" i="17"/>
  <c r="H39" i="17"/>
  <c r="J39" i="17"/>
  <c r="M39" i="17"/>
  <c r="L58" i="17" l="1"/>
  <c r="J66" i="17"/>
  <c r="L66" i="17" s="1"/>
  <c r="N39" i="17"/>
  <c r="O39" i="17"/>
  <c r="L42" i="17"/>
  <c r="L43" i="17"/>
  <c r="M42" i="17"/>
  <c r="O42" i="17" s="1"/>
  <c r="L41" i="17"/>
  <c r="H42" i="17"/>
  <c r="J42" i="17"/>
  <c r="M43" i="17"/>
  <c r="O43" i="17" s="1"/>
  <c r="H40" i="17"/>
  <c r="J40" i="17"/>
  <c r="H43" i="17"/>
  <c r="J43" i="17"/>
  <c r="J41" i="17"/>
  <c r="H41" i="17"/>
  <c r="M41" i="17"/>
  <c r="O41" i="17" s="1"/>
  <c r="M40" i="17"/>
  <c r="O40" i="17" s="1"/>
  <c r="L40" i="17"/>
  <c r="N42" i="17" l="1"/>
  <c r="N40" i="17"/>
  <c r="I39" i="17"/>
  <c r="N43" i="17"/>
  <c r="N41" i="17"/>
  <c r="P39" i="17"/>
  <c r="S39" i="17" l="1"/>
  <c r="J59" i="17" s="1"/>
  <c r="L59" i="17" l="1"/>
  <c r="J67" i="17"/>
  <c r="L67" i="17" s="1"/>
  <c r="U39" i="17"/>
  <c r="M6" i="17" s="1"/>
</calcChain>
</file>

<file path=xl/sharedStrings.xml><?xml version="1.0" encoding="utf-8"?>
<sst xmlns="http://schemas.openxmlformats.org/spreadsheetml/2006/main" count="1046" uniqueCount="308">
  <si>
    <t>g</t>
  </si>
  <si>
    <t>c</t>
  </si>
  <si>
    <t>f</t>
  </si>
  <si>
    <t>C</t>
  </si>
  <si>
    <t>-150/+0</t>
  </si>
  <si>
    <t>-425/+150</t>
  </si>
  <si>
    <t>-1000/+425</t>
  </si>
  <si>
    <t>-2000/+1000</t>
  </si>
  <si>
    <t>-6700/+2000</t>
  </si>
  <si>
    <t>q</t>
  </si>
  <si>
    <t>p</t>
  </si>
  <si>
    <t>N</t>
  </si>
  <si>
    <t>1-p</t>
  </si>
  <si>
    <t>Size fraction</t>
  </si>
  <si>
    <t>Sample B</t>
  </si>
  <si>
    <t>Other Sulfide</t>
  </si>
  <si>
    <t>Dissolving</t>
  </si>
  <si>
    <t>Fast Weathering</t>
  </si>
  <si>
    <t>Intermediate Weathering</t>
  </si>
  <si>
    <t>Slow Weathering</t>
  </si>
  <si>
    <t>Inert</t>
  </si>
  <si>
    <t>Other</t>
  </si>
  <si>
    <t>Sample D</t>
  </si>
  <si>
    <t/>
  </si>
  <si>
    <t>Sample</t>
  </si>
  <si>
    <t>Fe-Sulfide</t>
  </si>
  <si>
    <t>Total Mass</t>
  </si>
  <si>
    <t>Total Volume</t>
  </si>
  <si>
    <t>Sample C</t>
  </si>
  <si>
    <t>SCT</t>
  </si>
  <si>
    <t>b</t>
  </si>
  <si>
    <t>a</t>
  </si>
  <si>
    <t>Sample A</t>
  </si>
  <si>
    <t>Sum</t>
  </si>
  <si>
    <t xml:space="preserve">Sampling constant </t>
  </si>
  <si>
    <t>Shape Factor</t>
  </si>
  <si>
    <t>Liberation Factor</t>
  </si>
  <si>
    <t xml:space="preserve">Constitution Factor </t>
  </si>
  <si>
    <t>l (or β)</t>
  </si>
  <si>
    <t>Grade of the lot or sample (%)</t>
  </si>
  <si>
    <t>Size distribution factor</t>
  </si>
  <si>
    <t>(Minkkinen 2004)</t>
  </si>
  <si>
    <t>(Minnit et al., 2007a)</t>
  </si>
  <si>
    <t>Size Fraction</t>
  </si>
  <si>
    <t>Bulk</t>
  </si>
  <si>
    <t>Sample A Meso-scale</t>
  </si>
  <si>
    <t>Sample A Micro-scale</t>
  </si>
  <si>
    <t>Mass of lot (g)</t>
  </si>
  <si>
    <t>Number of particles in sample</t>
  </si>
  <si>
    <t>Number of Fe-sulfide-bearing particles in sample</t>
  </si>
  <si>
    <t>Proportion of the mineral of interest</t>
  </si>
  <si>
    <t xml:space="preserve">FSE associated with sub-sample </t>
  </si>
  <si>
    <t>(Napier-Munn, 2015)</t>
  </si>
  <si>
    <t>Standard deviation obtained from the binomial distribution estimation</t>
  </si>
  <si>
    <t>Total standard deviation associated with the mineralogical data</t>
  </si>
  <si>
    <t>Cum. % passing</t>
  </si>
  <si>
    <t>Cum mass</t>
  </si>
  <si>
    <t>Mean Grain Size (μm)</t>
  </si>
  <si>
    <t>Size Fraction (μm)</t>
  </si>
  <si>
    <t>-6700/+2000 L85</t>
  </si>
  <si>
    <t>-2000/+1000 L85</t>
  </si>
  <si>
    <t>-1000/+425 L85</t>
  </si>
  <si>
    <t>-425/+150 L85</t>
  </si>
  <si>
    <t>-150/+0 L85</t>
  </si>
  <si>
    <t>-2000/1000</t>
  </si>
  <si>
    <t>Sample A  Meso-scale</t>
  </si>
  <si>
    <t>Sample B Meso-scale</t>
  </si>
  <si>
    <t>Sample C Meso-scale</t>
  </si>
  <si>
    <t>Sample D Meso-scale</t>
  </si>
  <si>
    <t>Sample B Micro-scale</t>
  </si>
  <si>
    <t>Sub-sample mass (g)</t>
  </si>
  <si>
    <t>FSE variance for sub-sample</t>
  </si>
  <si>
    <t>-</t>
  </si>
  <si>
    <t>FSE variance for parent sub-sample</t>
  </si>
  <si>
    <t>(François-Bongarçon &amp; Gy, 2002)</t>
  </si>
  <si>
    <t>Sample C Micro-scale</t>
  </si>
  <si>
    <t>Sample D Micro-scale</t>
  </si>
  <si>
    <r>
      <t>d</t>
    </r>
    <r>
      <rPr>
        <b/>
        <vertAlign val="subscript"/>
        <sz val="11"/>
        <color theme="1"/>
        <rFont val="Calibri (Body)"/>
      </rPr>
      <t>i</t>
    </r>
    <r>
      <rPr>
        <b/>
        <sz val="11"/>
        <color theme="1"/>
        <rFont val="Calibri"/>
        <family val="2"/>
        <scheme val="minor"/>
      </rPr>
      <t>/d</t>
    </r>
    <r>
      <rPr>
        <b/>
        <vertAlign val="subscript"/>
        <sz val="11"/>
        <color theme="1"/>
        <rFont val="Calibri (Body)"/>
      </rPr>
      <t>5</t>
    </r>
  </si>
  <si>
    <r>
      <t>d</t>
    </r>
    <r>
      <rPr>
        <b/>
        <vertAlign val="subscript"/>
        <sz val="11"/>
        <color theme="1"/>
        <rFont val="Calibri"/>
        <family val="2"/>
      </rPr>
      <t>i</t>
    </r>
  </si>
  <si>
    <r>
      <t>d</t>
    </r>
    <r>
      <rPr>
        <b/>
        <vertAlign val="subscript"/>
        <sz val="11"/>
        <color theme="1"/>
        <rFont val="Calibri"/>
        <family val="2"/>
      </rPr>
      <t>5</t>
    </r>
  </si>
  <si>
    <r>
      <t>ρ</t>
    </r>
    <r>
      <rPr>
        <b/>
        <vertAlign val="subscript"/>
        <sz val="11"/>
        <color theme="1"/>
        <rFont val="Calibri"/>
        <family val="2"/>
      </rPr>
      <t>m</t>
    </r>
  </si>
  <si>
    <r>
      <t>ρ</t>
    </r>
    <r>
      <rPr>
        <b/>
        <vertAlign val="subscript"/>
        <sz val="11"/>
        <color theme="1"/>
        <rFont val="Calibri"/>
        <family val="2"/>
      </rPr>
      <t>g</t>
    </r>
  </si>
  <si>
    <r>
      <t>M</t>
    </r>
    <r>
      <rPr>
        <b/>
        <vertAlign val="subscript"/>
        <sz val="11"/>
        <color theme="1"/>
        <rFont val="Calibri (Body)"/>
      </rPr>
      <t>L</t>
    </r>
  </si>
  <si>
    <r>
      <t>M</t>
    </r>
    <r>
      <rPr>
        <b/>
        <vertAlign val="subscript"/>
        <sz val="11"/>
        <color theme="1"/>
        <rFont val="Calibri (Body)"/>
      </rPr>
      <t>S</t>
    </r>
  </si>
  <si>
    <r>
      <t>σ</t>
    </r>
    <r>
      <rPr>
        <b/>
        <vertAlign val="subscript"/>
        <sz val="11"/>
        <color theme="1"/>
        <rFont val="Calibri (Body)"/>
      </rPr>
      <t>r,bulk</t>
    </r>
    <r>
      <rPr>
        <b/>
        <vertAlign val="superscript"/>
        <sz val="11"/>
        <color theme="1"/>
        <rFont val="Calibri (Body)"/>
      </rPr>
      <t>2</t>
    </r>
  </si>
  <si>
    <r>
      <t>σ</t>
    </r>
    <r>
      <rPr>
        <b/>
        <vertAlign val="subscript"/>
        <sz val="11"/>
        <color theme="1"/>
        <rFont val="Calibri (Body)"/>
      </rPr>
      <t>r</t>
    </r>
    <r>
      <rPr>
        <b/>
        <vertAlign val="superscript"/>
        <sz val="11"/>
        <color theme="1"/>
        <rFont val="Calibri (Body)"/>
      </rPr>
      <t>2</t>
    </r>
  </si>
  <si>
    <r>
      <t>σ</t>
    </r>
    <r>
      <rPr>
        <b/>
        <vertAlign val="subscript"/>
        <sz val="11"/>
        <color theme="1"/>
        <rFont val="Calibri (Body)"/>
      </rPr>
      <t>SE</t>
    </r>
  </si>
  <si>
    <r>
      <t>N</t>
    </r>
    <r>
      <rPr>
        <b/>
        <vertAlign val="subscript"/>
        <sz val="11"/>
        <color theme="1"/>
        <rFont val="Calibri (Body)"/>
      </rPr>
      <t>S</t>
    </r>
  </si>
  <si>
    <r>
      <t>σ</t>
    </r>
    <r>
      <rPr>
        <b/>
        <vertAlign val="subscript"/>
        <sz val="11"/>
        <color theme="1"/>
        <rFont val="Calibri (Body)"/>
      </rPr>
      <t>AE</t>
    </r>
  </si>
  <si>
    <r>
      <t>σ</t>
    </r>
    <r>
      <rPr>
        <b/>
        <vertAlign val="subscript"/>
        <sz val="11"/>
        <color theme="1"/>
        <rFont val="Calibri (Body)"/>
      </rPr>
      <t>t</t>
    </r>
  </si>
  <si>
    <r>
      <t>l</t>
    </r>
    <r>
      <rPr>
        <b/>
        <vertAlign val="subscript"/>
        <sz val="11"/>
        <color theme="1"/>
        <rFont val="Calibri (Body)"/>
      </rPr>
      <t>85</t>
    </r>
    <r>
      <rPr>
        <b/>
        <sz val="11"/>
        <color theme="1"/>
        <rFont val="Calibri"/>
        <family val="2"/>
        <scheme val="minor"/>
      </rPr>
      <t xml:space="preserve"> (cm)</t>
    </r>
  </si>
  <si>
    <r>
      <t>d</t>
    </r>
    <r>
      <rPr>
        <b/>
        <vertAlign val="subscript"/>
        <sz val="11"/>
        <color theme="1"/>
        <rFont val="Calibri (Body)"/>
      </rPr>
      <t xml:space="preserve">95 </t>
    </r>
    <r>
      <rPr>
        <b/>
        <sz val="11"/>
        <color theme="1"/>
        <rFont val="Calibri (Body)"/>
      </rPr>
      <t>or top size</t>
    </r>
    <r>
      <rPr>
        <b/>
        <sz val="11"/>
        <color theme="1"/>
        <rFont val="Calibri"/>
        <family val="2"/>
        <scheme val="minor"/>
      </rPr>
      <t xml:space="preserve"> (cm)</t>
    </r>
  </si>
  <si>
    <r>
      <t>d</t>
    </r>
    <r>
      <rPr>
        <b/>
        <vertAlign val="subscript"/>
        <sz val="11"/>
        <color theme="1"/>
        <rFont val="Calibri (Body)"/>
      </rPr>
      <t>5</t>
    </r>
    <r>
      <rPr>
        <b/>
        <sz val="11"/>
        <color theme="1"/>
        <rFont val="Calibri"/>
        <family val="2"/>
        <scheme val="minor"/>
      </rPr>
      <t xml:space="preserve"> or lower size limit (cm)</t>
    </r>
  </si>
  <si>
    <r>
      <t>Density of MoI (g/m</t>
    </r>
    <r>
      <rPr>
        <b/>
        <vertAlign val="superscript"/>
        <sz val="11"/>
        <color theme="1"/>
        <rFont val="Calibri (Body)"/>
      </rPr>
      <t>3</t>
    </r>
    <r>
      <rPr>
        <b/>
        <sz val="11"/>
        <color theme="1"/>
        <rFont val="Calibri"/>
        <family val="2"/>
        <scheme val="minor"/>
      </rPr>
      <t>)</t>
    </r>
  </si>
  <si>
    <r>
      <t>Density of Gangue (g/m</t>
    </r>
    <r>
      <rPr>
        <b/>
        <vertAlign val="superscript"/>
        <sz val="11"/>
        <color theme="1"/>
        <rFont val="Calibri (Body)"/>
      </rPr>
      <t>3</t>
    </r>
    <r>
      <rPr>
        <b/>
        <sz val="11"/>
        <color theme="1"/>
        <rFont val="Calibri"/>
        <family val="2"/>
        <scheme val="minor"/>
      </rPr>
      <t>)</t>
    </r>
  </si>
  <si>
    <t>Standard deviation of the FSE</t>
  </si>
  <si>
    <t>HCT</t>
  </si>
  <si>
    <t>HCT L85</t>
  </si>
  <si>
    <t>SCT L85</t>
  </si>
  <si>
    <t>Parameter</t>
  </si>
  <si>
    <t>Description</t>
  </si>
  <si>
    <t>Commonly used values</t>
  </si>
  <si>
    <t>Shape factor</t>
  </si>
  <si>
    <t>1 – cubic particles</t>
  </si>
  <si>
    <t>0.524 – perfectly spherical particles</t>
  </si>
  <si>
    <t>0.5 – spheroidal particles</t>
  </si>
  <si>
    <t>0.1 – flat, disk-like particles</t>
  </si>
  <si>
    <t>Liberation factor</t>
  </si>
  <si>
    <t>1 – liberated material or material ground to size below the liberation size</t>
  </si>
  <si>
    <t>0.03 – minerals of interest very small in comparison to particle size</t>
  </si>
  <si>
    <t>Parameter estimation</t>
  </si>
  <si>
    <t>Density of the mineral of interest</t>
  </si>
  <si>
    <t>Density of the mineral matrix</t>
  </si>
  <si>
    <t>Constitution factor</t>
  </si>
  <si>
    <t>Sampling constant</t>
  </si>
  <si>
    <t>Estimated by categorising the particles in the size fraction/sample according to “roundness”, similar to the method developed by Little et al. (2015), then normalising with respect to asicular and perfectly spherical particles (see "Roundness" sheet).</t>
  </si>
  <si>
    <r>
      <t>d</t>
    </r>
    <r>
      <rPr>
        <b/>
        <vertAlign val="subscript"/>
        <sz val="11"/>
        <color theme="1"/>
        <rFont val="Calibri"/>
        <family val="2"/>
      </rPr>
      <t>l</t>
    </r>
  </si>
  <si>
    <t>Obtained from the average grade of the sample/size fraction (see "Mineralogy" sheet).</t>
  </si>
  <si>
    <t>Roughly estimated as the total mass over the total volume of the sample or size fraction, as obtained from QEMSCAN (see "Mineralogy" sheet).</t>
  </si>
  <si>
    <r>
      <t>d</t>
    </r>
    <r>
      <rPr>
        <vertAlign val="subscript"/>
        <sz val="11"/>
        <color theme="1"/>
        <rFont val="Calibri (Body)"/>
      </rPr>
      <t>85</t>
    </r>
    <r>
      <rPr>
        <sz val="11"/>
        <color theme="1"/>
        <rFont val="Calibri"/>
        <family val="2"/>
        <scheme val="minor"/>
      </rPr>
      <t xml:space="preserve"> liberation size </t>
    </r>
  </si>
  <si>
    <r>
      <t>d</t>
    </r>
    <r>
      <rPr>
        <b/>
        <vertAlign val="subscript"/>
        <sz val="11"/>
        <color theme="1"/>
        <rFont val="Calibri (Body)"/>
      </rPr>
      <t>85</t>
    </r>
    <r>
      <rPr>
        <b/>
        <sz val="11"/>
        <color theme="1"/>
        <rFont val="Calibri"/>
        <family val="2"/>
        <scheme val="minor"/>
      </rPr>
      <t xml:space="preserve"> liberation size </t>
    </r>
  </si>
  <si>
    <t>See "Grain Size Distribution" sheet.</t>
  </si>
  <si>
    <t>Sample lowest size for size distribution factor determination or lower bound of size fraction</t>
  </si>
  <si>
    <t>Obtained from particle size distribution or upper bound of size fraction range.</t>
  </si>
  <si>
    <t>Obtained from particle size distribution or lower bound of size fraction range.</t>
  </si>
  <si>
    <r>
      <t>Calculated as a ratio of the d</t>
    </r>
    <r>
      <rPr>
        <vertAlign val="subscript"/>
        <sz val="11"/>
        <color theme="1"/>
        <rFont val="Calibri"/>
        <family val="2"/>
        <scheme val="minor"/>
      </rPr>
      <t>85</t>
    </r>
    <r>
      <rPr>
        <sz val="11"/>
        <color theme="1"/>
        <rFont val="Calibri"/>
        <family val="2"/>
        <scheme val="minor"/>
      </rPr>
      <t xml:space="preserve"> liberation size (d</t>
    </r>
    <r>
      <rPr>
        <vertAlign val="subscript"/>
        <sz val="11"/>
        <color theme="1"/>
        <rFont val="Calibri"/>
        <family val="2"/>
        <scheme val="minor"/>
      </rPr>
      <t>l</t>
    </r>
    <r>
      <rPr>
        <sz val="11"/>
        <color theme="1"/>
        <rFont val="Calibri"/>
        <family val="2"/>
        <scheme val="minor"/>
      </rPr>
      <t>) for the mineral of interest and the sample/size fraction top size) . d</t>
    </r>
    <r>
      <rPr>
        <vertAlign val="subscript"/>
        <sz val="11"/>
        <color theme="1"/>
        <rFont val="Calibri"/>
        <family val="2"/>
        <scheme val="minor"/>
      </rPr>
      <t>l</t>
    </r>
    <r>
      <rPr>
        <sz val="11"/>
        <color theme="1"/>
        <rFont val="Calibri"/>
        <family val="2"/>
        <scheme val="minor"/>
      </rPr>
      <t xml:space="preserve"> estimated from the grain size distributions (see "Grain Size Distribution" sheet) and b conservatively estimated as 1</t>
    </r>
  </si>
  <si>
    <r>
      <t>ρ</t>
    </r>
    <r>
      <rPr>
        <b/>
        <vertAlign val="subscript"/>
        <sz val="11"/>
        <color theme="1"/>
        <rFont val="Calibri"/>
        <family val="2"/>
        <scheme val="minor"/>
      </rPr>
      <t>m</t>
    </r>
  </si>
  <si>
    <r>
      <t>Estimated from the content and density of the respective Fe-sulfide minerals in the sample/size fraction. For pyrite-rich sample B this was taken as 5.01g/cm</t>
    </r>
    <r>
      <rPr>
        <vertAlign val="superscript"/>
        <sz val="11"/>
        <color theme="1"/>
        <rFont val="Calibri"/>
        <family val="2"/>
        <scheme val="minor"/>
      </rPr>
      <t>3</t>
    </r>
    <r>
      <rPr>
        <sz val="11"/>
        <color theme="1"/>
        <rFont val="Calibri"/>
        <family val="2"/>
        <scheme val="minor"/>
      </rPr>
      <t>. For pyrrhotite-rich samples A, C and D this was taken as 4.61 g/cm</t>
    </r>
    <r>
      <rPr>
        <vertAlign val="superscript"/>
        <sz val="11"/>
        <color theme="1"/>
        <rFont val="Calibri"/>
        <family val="2"/>
        <scheme val="minor"/>
      </rPr>
      <t>3</t>
    </r>
    <r>
      <rPr>
        <sz val="11"/>
        <color theme="1"/>
        <rFont val="Calibri"/>
        <family val="2"/>
        <scheme val="minor"/>
      </rPr>
      <t>.</t>
    </r>
  </si>
  <si>
    <r>
      <t>ρ</t>
    </r>
    <r>
      <rPr>
        <b/>
        <vertAlign val="subscript"/>
        <sz val="11"/>
        <color theme="1"/>
        <rFont val="Calibri"/>
        <family val="2"/>
        <scheme val="minor"/>
      </rPr>
      <t>g</t>
    </r>
  </si>
  <si>
    <r>
      <t>d</t>
    </r>
    <r>
      <rPr>
        <b/>
        <vertAlign val="subscript"/>
        <sz val="11"/>
        <color theme="1"/>
        <rFont val="Calibri"/>
        <family val="2"/>
        <scheme val="minor"/>
      </rPr>
      <t>l</t>
    </r>
  </si>
  <si>
    <r>
      <t>d</t>
    </r>
    <r>
      <rPr>
        <vertAlign val="subscript"/>
        <sz val="11"/>
        <color theme="1"/>
        <rFont val="Calibri"/>
        <family val="2"/>
        <scheme val="minor"/>
      </rPr>
      <t>85</t>
    </r>
    <r>
      <rPr>
        <sz val="11"/>
        <color theme="1"/>
        <rFont val="Calibri"/>
        <family val="2"/>
        <scheme val="minor"/>
      </rPr>
      <t xml:space="preserve"> liberation size </t>
    </r>
  </si>
  <si>
    <r>
      <t>d</t>
    </r>
    <r>
      <rPr>
        <b/>
        <vertAlign val="subscript"/>
        <sz val="11"/>
        <color theme="1"/>
        <rFont val="Calibri"/>
        <family val="2"/>
        <scheme val="minor"/>
      </rPr>
      <t>i</t>
    </r>
  </si>
  <si>
    <r>
      <t>Sample top size or sample d</t>
    </r>
    <r>
      <rPr>
        <vertAlign val="subscript"/>
        <sz val="11"/>
        <color theme="1"/>
        <rFont val="Calibri"/>
        <family val="2"/>
        <scheme val="minor"/>
      </rPr>
      <t>95</t>
    </r>
    <r>
      <rPr>
        <sz val="11"/>
        <color theme="1"/>
        <rFont val="Calibri"/>
        <family val="2"/>
        <scheme val="minor"/>
      </rPr>
      <t xml:space="preserve"> </t>
    </r>
  </si>
  <si>
    <r>
      <t>d</t>
    </r>
    <r>
      <rPr>
        <b/>
        <vertAlign val="subscript"/>
        <sz val="11"/>
        <color theme="1"/>
        <rFont val="Calibri"/>
        <family val="2"/>
        <scheme val="minor"/>
      </rPr>
      <t>5</t>
    </r>
  </si>
  <si>
    <t>Mass of the lot</t>
  </si>
  <si>
    <t>Taken as the mass from which the sub-sample was obtained. For HCT, this was the mass of the received parent sample.</t>
  </si>
  <si>
    <t>Mass of the sub-sample</t>
  </si>
  <si>
    <r>
      <t>Taken as the final mass of the sub-sample obtained from the corresponding M</t>
    </r>
    <r>
      <rPr>
        <vertAlign val="subscript"/>
        <sz val="11"/>
        <color theme="1"/>
        <rFont val="Calibri (Body)"/>
      </rPr>
      <t>L</t>
    </r>
    <r>
      <rPr>
        <sz val="11"/>
        <color theme="1"/>
        <rFont val="Calibri"/>
        <family val="2"/>
        <scheme val="minor"/>
      </rPr>
      <t>.</t>
    </r>
  </si>
  <si>
    <t xml:space="preserve">Fundamental sampling error (FSE) variance associated with the sub-sampling of the bulk parent material </t>
  </si>
  <si>
    <r>
      <t>Fundamental sampling error (FSE) variance associated with the sub-sampling of the sub-samples of the parent material for various experiments(also σ</t>
    </r>
    <r>
      <rPr>
        <vertAlign val="superscript"/>
        <sz val="11"/>
        <color theme="1"/>
        <rFont val="Calibri (Body)"/>
      </rPr>
      <t>2</t>
    </r>
    <r>
      <rPr>
        <vertAlign val="subscript"/>
        <sz val="11"/>
        <color theme="1"/>
        <rFont val="Calibri (Body)"/>
      </rPr>
      <t>SE</t>
    </r>
    <r>
      <rPr>
        <sz val="11"/>
        <color theme="1"/>
        <rFont val="Calibri"/>
        <family val="2"/>
        <scheme val="minor"/>
      </rPr>
      <t>)</t>
    </r>
  </si>
  <si>
    <r>
      <t>Computed based  on the sampling of the "as received" parent sample, with the inclusion of the error obtained from the sampling of the original lot (i.e. where M</t>
    </r>
    <r>
      <rPr>
        <vertAlign val="subscript"/>
        <sz val="11"/>
        <color theme="1"/>
        <rFont val="Calibri (Body)"/>
      </rPr>
      <t>L</t>
    </r>
    <r>
      <rPr>
        <sz val="11"/>
        <color theme="1"/>
        <rFont val="Calibri"/>
        <family val="2"/>
        <scheme val="minor"/>
      </rPr>
      <t>&gt;&gt;M</t>
    </r>
    <r>
      <rPr>
        <vertAlign val="subscript"/>
        <sz val="11"/>
        <color theme="1"/>
        <rFont val="Calibri (Body)"/>
      </rPr>
      <t>S</t>
    </r>
    <r>
      <rPr>
        <sz val="11"/>
        <color theme="1"/>
        <rFont val="Calibri"/>
        <family val="2"/>
        <scheme val="minor"/>
      </rPr>
      <t>).</t>
    </r>
  </si>
  <si>
    <t>Total number of assessed particles</t>
  </si>
  <si>
    <t>Obtained from QEMSCAN.</t>
  </si>
  <si>
    <t>Total number of assessed Fe-sulfide-bearing particles</t>
  </si>
  <si>
    <r>
      <t>σ</t>
    </r>
    <r>
      <rPr>
        <b/>
        <vertAlign val="superscript"/>
        <sz val="11"/>
        <color theme="1"/>
        <rFont val="Calibri (Body)"/>
      </rPr>
      <t>2</t>
    </r>
    <r>
      <rPr>
        <b/>
        <vertAlign val="subscript"/>
        <sz val="11"/>
        <color theme="1"/>
        <rFont val="Calibri (Body)"/>
      </rPr>
      <t>r,bulk</t>
    </r>
  </si>
  <si>
    <t xml:space="preserve">Proportion of the mineral of interest </t>
  </si>
  <si>
    <t xml:space="preserve">Standard deviation of a binomial distribution of the mineral grains of interest </t>
  </si>
  <si>
    <t>Total error that includes consideration for both the FSE and mineralogical error</t>
  </si>
  <si>
    <r>
      <t>σ</t>
    </r>
    <r>
      <rPr>
        <b/>
        <vertAlign val="subscript"/>
        <sz val="11"/>
        <color rgb="FF000000"/>
        <rFont val="Times New Roman"/>
        <family val="1"/>
      </rPr>
      <t>SE</t>
    </r>
  </si>
  <si>
    <t>A</t>
  </si>
  <si>
    <t>B</t>
  </si>
  <si>
    <t>D</t>
  </si>
  <si>
    <t>Liberation of Fe-Sulfide</t>
  </si>
  <si>
    <t>0%</t>
  </si>
  <si>
    <t>&lt;= 10%</t>
  </si>
  <si>
    <t>&lt;= 20%</t>
  </si>
  <si>
    <t>&lt;= 30%</t>
  </si>
  <si>
    <t>&lt;= 40%</t>
  </si>
  <si>
    <t>&lt;= 50%</t>
  </si>
  <si>
    <t>&lt;= 60%</t>
  </si>
  <si>
    <t>&lt;= 70%</t>
  </si>
  <si>
    <t>&lt;= 80%</t>
  </si>
  <si>
    <t>&lt;= 90%</t>
  </si>
  <si>
    <t>&lt; 100%</t>
  </si>
  <si>
    <t>100%</t>
  </si>
  <si>
    <t>Fraction</t>
  </si>
  <si>
    <t>HCT Sample</t>
  </si>
  <si>
    <t>Particle Grade (Vol. %)</t>
  </si>
  <si>
    <t>Particle Size (µm)</t>
  </si>
  <si>
    <t>Frequency (n)</t>
  </si>
  <si>
    <t>Average particle grade (vol.%)</t>
  </si>
  <si>
    <t>Particle size (µm)</t>
  </si>
  <si>
    <t>Mean grade of composition class</t>
  </si>
  <si>
    <t>Number of particles in class</t>
  </si>
  <si>
    <t>N0</t>
  </si>
  <si>
    <t>N1</t>
  </si>
  <si>
    <t>References</t>
  </si>
  <si>
    <t>Confidence intervals over the liberation data sheets for samples A, B, C and D</t>
  </si>
  <si>
    <t>(Leigh et al., 1993; Napier-Munn, 2015)</t>
  </si>
  <si>
    <r>
      <t xml:space="preserve">François-Bongarçon, D. &amp; Gy, P. 2002. The most common error in applying “Gy’s formula” in the theory of mineral sampling, and the history of the liberation factor. </t>
    </r>
    <r>
      <rPr>
        <i/>
        <sz val="11"/>
        <color theme="1"/>
        <rFont val="Calibri"/>
        <family val="2"/>
        <scheme val="minor"/>
      </rPr>
      <t>Journal of The South African Institute of Mining and Metallurgy</t>
    </r>
    <r>
      <rPr>
        <sz val="11"/>
        <color theme="1"/>
        <rFont val="Calibri"/>
        <family val="2"/>
        <scheme val="minor"/>
      </rPr>
      <t>. 102(8):475–479.</t>
    </r>
  </si>
  <si>
    <r>
      <t xml:space="preserve">Leigh, G.M., Sutherland, D.N. &amp; Gottlieb, P. 1993. Confidence limits for liberation measurements. </t>
    </r>
    <r>
      <rPr>
        <i/>
        <sz val="11"/>
        <color theme="1"/>
        <rFont val="Calibri"/>
        <family val="2"/>
        <scheme val="minor"/>
      </rPr>
      <t>Minerals Engineering</t>
    </r>
    <r>
      <rPr>
        <sz val="11"/>
        <color theme="1"/>
        <rFont val="Calibri"/>
        <family val="2"/>
        <scheme val="minor"/>
      </rPr>
      <t>. 6(2):155–161.</t>
    </r>
  </si>
  <si>
    <r>
      <t xml:space="preserve">Minkkinen, P. 2004. Practical applications of sampling theory. </t>
    </r>
    <r>
      <rPr>
        <i/>
        <sz val="11"/>
        <color theme="1"/>
        <rFont val="Calibri"/>
        <family val="2"/>
        <scheme val="minor"/>
      </rPr>
      <t>Chemometrics and Intelligent Laboratory Systems</t>
    </r>
    <r>
      <rPr>
        <sz val="11"/>
        <color theme="1"/>
        <rFont val="Calibri"/>
        <family val="2"/>
        <scheme val="minor"/>
      </rPr>
      <t>. 74(1):85–94.</t>
    </r>
  </si>
  <si>
    <r>
      <t xml:space="preserve">Minnitt, R.C.A., Rice, P.M. &amp; Spangenberg, C. 2007a. Part 1: Understanding the components of the fundamental sampling error: a key to good sampling practice. </t>
    </r>
    <r>
      <rPr>
        <i/>
        <sz val="11"/>
        <color theme="1"/>
        <rFont val="Calibri"/>
        <family val="2"/>
        <scheme val="minor"/>
      </rPr>
      <t>Journal of the Southern African Institute of Mining and Metallurgy</t>
    </r>
    <r>
      <rPr>
        <sz val="11"/>
        <color theme="1"/>
        <rFont val="Calibri"/>
        <family val="2"/>
        <scheme val="minor"/>
      </rPr>
      <t>. 107(8):505–512.</t>
    </r>
  </si>
  <si>
    <r>
      <t xml:space="preserve">Napier-Munn, T.J. 2015. Statistics for Chemists and Mineralogists. In </t>
    </r>
    <r>
      <rPr>
        <i/>
        <sz val="11"/>
        <color theme="1"/>
        <rFont val="Calibri"/>
        <family val="2"/>
        <scheme val="minor"/>
      </rPr>
      <t>Statistical methods for mineral engineers - How to design experiments and analyse data</t>
    </r>
    <r>
      <rPr>
        <sz val="11"/>
        <color theme="1"/>
        <rFont val="Calibri"/>
        <family val="2"/>
        <scheme val="minor"/>
      </rPr>
      <t>. Queensland, Australia: Julius Kruttschnitt Mineral Research Centre, The University of Queensland. 507–525.</t>
    </r>
  </si>
  <si>
    <r>
      <t>Y</t>
    </r>
    <r>
      <rPr>
        <b/>
        <vertAlign val="subscript"/>
        <sz val="11"/>
        <color theme="1"/>
        <rFont val="Calibri (Body)"/>
      </rPr>
      <t>C</t>
    </r>
  </si>
  <si>
    <r>
      <t>N</t>
    </r>
    <r>
      <rPr>
        <b/>
        <vertAlign val="subscript"/>
        <sz val="11"/>
        <color theme="1"/>
        <rFont val="Calibri (Body)"/>
      </rPr>
      <t>0</t>
    </r>
  </si>
  <si>
    <r>
      <t>N</t>
    </r>
    <r>
      <rPr>
        <b/>
        <vertAlign val="subscript"/>
        <sz val="11"/>
        <color theme="1"/>
        <rFont val="Calibri (Body)"/>
      </rPr>
      <t>1</t>
    </r>
  </si>
  <si>
    <t xml:space="preserve">The cumulative liberation yield as a proportion, at a composition C </t>
  </si>
  <si>
    <t xml:space="preserve">Number of particles having a composition &lt; C </t>
  </si>
  <si>
    <t xml:space="preserve">Number of particles having a composition of at least C </t>
  </si>
  <si>
    <t>Obtained from frequency categorisers in QEMSCAN</t>
  </si>
  <si>
    <t>Worked out based on the method described in Leigh et al. (1993)</t>
  </si>
  <si>
    <r>
      <t>Density (g/cm</t>
    </r>
    <r>
      <rPr>
        <b/>
        <vertAlign val="superscript"/>
        <sz val="10"/>
        <color rgb="FF000000"/>
        <rFont val="Arial"/>
        <family val="2"/>
      </rPr>
      <t>3</t>
    </r>
    <r>
      <rPr>
        <b/>
        <sz val="10"/>
        <color indexed="8"/>
        <rFont val="Arial"/>
        <family val="2"/>
      </rPr>
      <t>)</t>
    </r>
  </si>
  <si>
    <t>Table of Contents</t>
  </si>
  <si>
    <t>Sheet #</t>
  </si>
  <si>
    <t xml:space="preserve">This sheet provides the reference materials. These include the relevant equations and variables with descriptions and indication of how some of the parameters were estimated. Additionally, this section provides the references used for the variables and equations. </t>
  </si>
  <si>
    <t xml:space="preserve">The error calculation for samples A, B, C and D with Fe-sulfide as the mineral of interest. </t>
  </si>
  <si>
    <t xml:space="preserve">QEMSCAN mineraloy and density required for the calculation of the sampling error. </t>
  </si>
  <si>
    <t>Grain size distribution of the Fe-sulfide minerals in the meso-scale size fractions with indication of the liberation size required for the sampling calculations.</t>
  </si>
  <si>
    <t>Confidence intervals over the Fe-sulfide liberation data for sample B and associated charts.</t>
  </si>
  <si>
    <t>Confidence intervals over the Fe-sulfide liberation data for sample C and associated charts.</t>
  </si>
  <si>
    <t>Confidence intervals over the Fe-sulfide liberation data for sample D and associated charts.</t>
  </si>
  <si>
    <r>
      <t>Particle Size (</t>
    </r>
    <r>
      <rPr>
        <b/>
        <sz val="11"/>
        <color theme="1"/>
        <rFont val="Calibri"/>
        <family val="2"/>
      </rPr>
      <t>µm)</t>
    </r>
  </si>
  <si>
    <t>Lower Confidence Interval</t>
  </si>
  <si>
    <t>Upper Confidence Interval</t>
  </si>
  <si>
    <t xml:space="preserve">This workbook provides the data, calculations and charts pertaining to the error assessment section of the thesis. These include the error assessment for samples A, B, C and D, the error variation with vrious variables, as well as the confidence intervals for samples A, B, C and D. Additional sheets include the data required for the error calculations. </t>
  </si>
  <si>
    <t>Confidence intervals over the Fe-sulfide liberation data for sample A and associated charts.</t>
  </si>
  <si>
    <t>Size fraction (mm)</t>
  </si>
  <si>
    <t>Mass (g)</t>
  </si>
  <si>
    <t>Mass x Grade</t>
  </si>
  <si>
    <t>M</t>
  </si>
  <si>
    <t>d</t>
  </si>
  <si>
    <t>Mass (%)</t>
  </si>
  <si>
    <t>Mid size (cm)</t>
  </si>
  <si>
    <t>K</t>
  </si>
  <si>
    <r>
      <t>σ</t>
    </r>
    <r>
      <rPr>
        <b/>
        <vertAlign val="superscript"/>
        <sz val="11"/>
        <color theme="1"/>
        <rFont val="Calibri (Body)"/>
      </rPr>
      <t>2</t>
    </r>
    <r>
      <rPr>
        <b/>
        <vertAlign val="subscript"/>
        <sz val="11"/>
        <color theme="1"/>
        <rFont val="Calibri (Body)"/>
      </rPr>
      <t>SE</t>
    </r>
  </si>
  <si>
    <t>Lotter, N.O., Evans, C.L., Engstrőm, K., 2018. Sampling – A key tool in modern process mineralogy. Minerals Engineering. 116, 196–202.</t>
  </si>
  <si>
    <t>(Lotter et al., 2018)</t>
  </si>
  <si>
    <r>
      <t>i</t>
    </r>
    <r>
      <rPr>
        <vertAlign val="superscript"/>
        <sz val="11"/>
        <color theme="1"/>
        <rFont val="Calibri (Body)"/>
      </rPr>
      <t>th</t>
    </r>
    <r>
      <rPr>
        <sz val="11"/>
        <color theme="1"/>
        <rFont val="Calibri (Body)"/>
      </rPr>
      <t xml:space="preserve"> particle diameter or mean diameter of size fraction</t>
    </r>
  </si>
  <si>
    <t>Obtained from the average of the upper and lower bounds of the size fractions.</t>
  </si>
  <si>
    <r>
      <t>a</t>
    </r>
    <r>
      <rPr>
        <b/>
        <vertAlign val="subscript"/>
        <sz val="11"/>
        <color theme="1"/>
        <rFont val="Calibri (Body)"/>
      </rPr>
      <t>i</t>
    </r>
  </si>
  <si>
    <t>Grade of the size fraction (% or decimal proportion of the mineral of interest)</t>
  </si>
  <si>
    <t>Grade of the lot (% or decimal proportion of the mineral of interest)</t>
  </si>
  <si>
    <t>Obtained from the particle size distribution.</t>
  </si>
  <si>
    <t>Error Calculation Sheet - Method 2 (Lotter et al., 2018)</t>
  </si>
  <si>
    <r>
      <t>M</t>
    </r>
    <r>
      <rPr>
        <b/>
        <vertAlign val="subscript"/>
        <sz val="11"/>
        <color theme="1"/>
        <rFont val="Calibri (Body)"/>
      </rPr>
      <t>i</t>
    </r>
  </si>
  <si>
    <r>
      <t>f</t>
    </r>
    <r>
      <rPr>
        <b/>
        <vertAlign val="subscript"/>
        <sz val="11"/>
        <color theme="1"/>
        <rFont val="Calibri (Body)"/>
      </rPr>
      <t>v</t>
    </r>
  </si>
  <si>
    <t>Lotter, N.O., 2016. Sampling for Process Mineralogy, in: Becker, M., Wightman, E.., Evans, C.. (Eds.), Process Mineralogy: JKMRC Monograph Series in Mining and Mineral Processing: No. 6. Julius Kruttschnitt Mineral Research Centre, The University of Queensland, pp. 7–20.</t>
  </si>
  <si>
    <t>(Lotter 2016)</t>
  </si>
  <si>
    <r>
      <t>d</t>
    </r>
    <r>
      <rPr>
        <vertAlign val="subscript"/>
        <sz val="11"/>
        <color theme="1"/>
        <rFont val="Calibri (Body)"/>
      </rPr>
      <t xml:space="preserve">95 </t>
    </r>
    <r>
      <rPr>
        <sz val="11"/>
        <color theme="1"/>
        <rFont val="Calibri (Body)"/>
      </rPr>
      <t>of material</t>
    </r>
  </si>
  <si>
    <t>Weighed when obtaining the PSD.</t>
  </si>
  <si>
    <r>
      <t>Mass of the size fraction corresponding to d</t>
    </r>
    <r>
      <rPr>
        <vertAlign val="subscript"/>
        <sz val="11"/>
        <color theme="1"/>
        <rFont val="Calibri (Body)"/>
      </rPr>
      <t>i</t>
    </r>
  </si>
  <si>
    <r>
      <t>v</t>
    </r>
    <r>
      <rPr>
        <b/>
        <vertAlign val="subscript"/>
        <sz val="11"/>
        <color theme="1"/>
        <rFont val="Calibri (Body)"/>
      </rPr>
      <t>i</t>
    </r>
  </si>
  <si>
    <r>
      <t>Volume of the i</t>
    </r>
    <r>
      <rPr>
        <vertAlign val="superscript"/>
        <sz val="11"/>
        <color theme="1"/>
        <rFont val="Calibri (Body)"/>
      </rPr>
      <t xml:space="preserve">th </t>
    </r>
    <r>
      <rPr>
        <sz val="11"/>
        <color theme="1"/>
        <rFont val="Calibri (Body)"/>
      </rPr>
      <t>size fraction</t>
    </r>
  </si>
  <si>
    <t>Obtained from the size fraction mass and density.</t>
  </si>
  <si>
    <t>ρ</t>
  </si>
  <si>
    <t>Density of the material in the size fraction</t>
  </si>
  <si>
    <t>v</t>
  </si>
  <si>
    <t>Average volume fo the sample lot</t>
  </si>
  <si>
    <t>Obtained from the PSD-weighted average of the size fraction volumes.</t>
  </si>
  <si>
    <t>Mass of the lot or parent sample</t>
  </si>
  <si>
    <t>M (g)</t>
  </si>
  <si>
    <r>
      <t>M</t>
    </r>
    <r>
      <rPr>
        <b/>
        <vertAlign val="subscript"/>
        <sz val="11"/>
        <color theme="1"/>
        <rFont val="Calibri (Body)"/>
      </rPr>
      <t>i</t>
    </r>
    <r>
      <rPr>
        <b/>
        <sz val="11"/>
        <color theme="1"/>
        <rFont val="Calibri"/>
        <family val="2"/>
        <scheme val="minor"/>
      </rPr>
      <t>d</t>
    </r>
    <r>
      <rPr>
        <b/>
        <vertAlign val="subscript"/>
        <sz val="11"/>
        <color theme="1"/>
        <rFont val="Calibri (Body)"/>
      </rPr>
      <t>i</t>
    </r>
    <r>
      <rPr>
        <b/>
        <vertAlign val="superscript"/>
        <sz val="11"/>
        <color theme="1"/>
        <rFont val="Calibri (Body)"/>
      </rPr>
      <t>3</t>
    </r>
  </si>
  <si>
    <r>
      <t>M</t>
    </r>
    <r>
      <rPr>
        <b/>
        <vertAlign val="subscript"/>
        <sz val="11"/>
        <color theme="1"/>
        <rFont val="Calibri (Body)"/>
      </rPr>
      <t>i</t>
    </r>
    <r>
      <rPr>
        <b/>
        <vertAlign val="superscript"/>
        <sz val="11"/>
        <color theme="1"/>
        <rFont val="Calibri (Body)"/>
      </rPr>
      <t>2</t>
    </r>
  </si>
  <si>
    <r>
      <t>M</t>
    </r>
    <r>
      <rPr>
        <b/>
        <vertAlign val="subscript"/>
        <sz val="11"/>
        <color theme="1"/>
        <rFont val="Calibri (Body)"/>
      </rPr>
      <t>s</t>
    </r>
  </si>
  <si>
    <t>Error Calculation - Method 2</t>
  </si>
  <si>
    <t>Liberation by Size (based on area)</t>
  </si>
  <si>
    <t>Wt. % distribution of Fe-sulfide</t>
  </si>
  <si>
    <t>Cumulative distribution (%)</t>
  </si>
  <si>
    <r>
      <t>Var (Y</t>
    </r>
    <r>
      <rPr>
        <b/>
        <vertAlign val="subscript"/>
        <sz val="11"/>
        <color theme="1"/>
        <rFont val="Calibri (Body)"/>
      </rPr>
      <t>C</t>
    </r>
    <r>
      <rPr>
        <b/>
        <sz val="11"/>
        <color theme="1"/>
        <rFont val="Calibri (Body)"/>
      </rPr>
      <t>)</t>
    </r>
  </si>
  <si>
    <r>
      <t>Y</t>
    </r>
    <r>
      <rPr>
        <b/>
        <vertAlign val="subscript"/>
        <sz val="11"/>
        <color theme="1"/>
        <rFont val="Calibri (Body)"/>
      </rPr>
      <t>C</t>
    </r>
    <r>
      <rPr>
        <b/>
        <sz val="11"/>
        <color theme="1"/>
        <rFont val="Calibri"/>
        <family val="2"/>
        <scheme val="minor"/>
      </rPr>
      <t xml:space="preserve"> (95% CI)</t>
    </r>
  </si>
  <si>
    <t>Grade of the lot or sample (g/g)</t>
  </si>
  <si>
    <t xml:space="preserve">Error Calculation - Method 1 </t>
  </si>
  <si>
    <t>Error Calculation Sheet - Method 1 (François-Bongarçon and Gy, 2002; Minkkinen, 2004; Minnitt et al., 2007; Petersen et al., 2005)</t>
  </si>
  <si>
    <t>Grade of the lot (dimensionless grade of the lot in gram/gram)</t>
  </si>
  <si>
    <t>Obtained from the average grade of the sample or size fraction divided by 100 (see "Mineralogy" sheet).</t>
  </si>
  <si>
    <t>(François-Bongarçon and Gy, 2002; Minkkinen, 2004; Minnitt et al., 2007; Petersen et al., 2005)</t>
  </si>
  <si>
    <t>Bulk fundamental sampling error - Method 1</t>
  </si>
  <si>
    <t>Bulk fundamental sampling error - Method 2</t>
  </si>
  <si>
    <t>Gy's "safety line"</t>
  </si>
  <si>
    <r>
      <t>d</t>
    </r>
    <r>
      <rPr>
        <b/>
        <vertAlign val="subscript"/>
        <sz val="11"/>
        <color theme="1"/>
        <rFont val="Calibri (Body)"/>
      </rPr>
      <t>i</t>
    </r>
    <r>
      <rPr>
        <b/>
        <sz val="11"/>
        <color theme="1"/>
        <rFont val="Calibri"/>
        <family val="2"/>
        <scheme val="minor"/>
      </rPr>
      <t xml:space="preserve"> (mm)</t>
    </r>
  </si>
  <si>
    <t>Test</t>
  </si>
  <si>
    <t>Test sample mass required (g)</t>
  </si>
  <si>
    <t>Minimum sample mass for negligible sampling error (g)</t>
  </si>
  <si>
    <t>Minimum sampling mass requirement satisfied</t>
  </si>
  <si>
    <t>ABA, NAG</t>
  </si>
  <si>
    <t>2 - 2.5</t>
  </si>
  <si>
    <t>Yes</t>
  </si>
  <si>
    <t>UCT batch biokinetic test</t>
  </si>
  <si>
    <t>Humidity cell test</t>
  </si>
  <si>
    <t>±1000</t>
  </si>
  <si>
    <t>No</t>
  </si>
  <si>
    <t>SCT material texture and mineralogy (bulk sample)</t>
  </si>
  <si>
    <t>Sample particle top size (mm)</t>
  </si>
  <si>
    <t>2-4</t>
  </si>
  <si>
    <r>
      <t>M</t>
    </r>
    <r>
      <rPr>
        <b/>
        <vertAlign val="subscript"/>
        <sz val="11"/>
        <color theme="1"/>
        <rFont val="Calibri (Body)"/>
      </rPr>
      <t>s</t>
    </r>
    <r>
      <rPr>
        <b/>
        <sz val="11"/>
        <color theme="1"/>
        <rFont val="Calibri"/>
        <family val="2"/>
        <scheme val="minor"/>
      </rPr>
      <t xml:space="preserve"> (g)</t>
    </r>
  </si>
  <si>
    <t>Grade (wt. %)</t>
  </si>
  <si>
    <t>FSE Calculation Summary</t>
  </si>
  <si>
    <r>
      <t>M</t>
    </r>
    <r>
      <rPr>
        <b/>
        <vertAlign val="subscript"/>
        <sz val="11"/>
        <color theme="1"/>
        <rFont val="Calibri (Body)"/>
      </rPr>
      <t>S</t>
    </r>
    <r>
      <rPr>
        <b/>
        <sz val="11"/>
        <color theme="1"/>
        <rFont val="Calibri"/>
        <family val="2"/>
        <scheme val="minor"/>
      </rPr>
      <t xml:space="preserve"> at σ</t>
    </r>
    <r>
      <rPr>
        <b/>
        <vertAlign val="subscript"/>
        <sz val="11"/>
        <color theme="1"/>
        <rFont val="Calibri (Body)"/>
      </rPr>
      <t>SE</t>
    </r>
    <r>
      <rPr>
        <b/>
        <sz val="11"/>
        <color theme="1"/>
        <rFont val="Calibri"/>
        <family val="2"/>
        <scheme val="minor"/>
      </rPr>
      <t xml:space="preserve"> = 10%</t>
    </r>
  </si>
  <si>
    <r>
      <t>M</t>
    </r>
    <r>
      <rPr>
        <b/>
        <vertAlign val="subscript"/>
        <sz val="11"/>
        <color theme="1"/>
        <rFont val="Calibri (Body)"/>
      </rPr>
      <t>S</t>
    </r>
    <r>
      <rPr>
        <b/>
        <sz val="11"/>
        <color theme="1"/>
        <rFont val="Calibri"/>
        <family val="2"/>
        <scheme val="minor"/>
      </rPr>
      <t xml:space="preserve"> at σ</t>
    </r>
    <r>
      <rPr>
        <b/>
        <vertAlign val="subscript"/>
        <sz val="11"/>
        <color theme="1"/>
        <rFont val="Calibri (Body)"/>
      </rPr>
      <t>SE</t>
    </r>
    <r>
      <rPr>
        <b/>
        <sz val="11"/>
        <color theme="1"/>
        <rFont val="Calibri"/>
        <family val="2"/>
        <scheme val="minor"/>
      </rPr>
      <t xml:space="preserve"> = 20%</t>
    </r>
  </si>
  <si>
    <t>Sample A HCT</t>
  </si>
  <si>
    <t>Sample B HCT</t>
  </si>
  <si>
    <t>Sample C HCT</t>
  </si>
  <si>
    <t>Sample D HCT</t>
  </si>
  <si>
    <t>Fundamental sampling variance</t>
  </si>
  <si>
    <r>
      <t>M</t>
    </r>
    <r>
      <rPr>
        <b/>
        <vertAlign val="subscript"/>
        <sz val="11"/>
        <color theme="1"/>
        <rFont val="Calibri (Body)"/>
      </rPr>
      <t>S</t>
    </r>
    <r>
      <rPr>
        <b/>
        <sz val="11"/>
        <color theme="1"/>
        <rFont val="Calibri"/>
        <family val="2"/>
        <scheme val="minor"/>
      </rPr>
      <t xml:space="preserve"> by Mehod 1 at σ</t>
    </r>
    <r>
      <rPr>
        <b/>
        <vertAlign val="subscript"/>
        <sz val="11"/>
        <color theme="1"/>
        <rFont val="Calibri (Body)"/>
      </rPr>
      <t>SE</t>
    </r>
    <r>
      <rPr>
        <b/>
        <sz val="11"/>
        <color theme="1"/>
        <rFont val="Calibri"/>
        <family val="2"/>
        <scheme val="minor"/>
      </rPr>
      <t xml:space="preserve"> = 10%</t>
    </r>
  </si>
  <si>
    <r>
      <t>M</t>
    </r>
    <r>
      <rPr>
        <b/>
        <vertAlign val="subscript"/>
        <sz val="11"/>
        <color theme="1"/>
        <rFont val="Calibri (Body)"/>
      </rPr>
      <t>S</t>
    </r>
    <r>
      <rPr>
        <b/>
        <sz val="11"/>
        <color theme="1"/>
        <rFont val="Calibri"/>
        <family val="2"/>
        <scheme val="minor"/>
      </rPr>
      <t xml:space="preserve"> by Mehod 1 at σ</t>
    </r>
    <r>
      <rPr>
        <b/>
        <vertAlign val="subscript"/>
        <sz val="11"/>
        <color theme="1"/>
        <rFont val="Calibri (Body)"/>
      </rPr>
      <t>SE</t>
    </r>
    <r>
      <rPr>
        <b/>
        <sz val="11"/>
        <color theme="1"/>
        <rFont val="Calibri"/>
        <family val="2"/>
        <scheme val="minor"/>
      </rPr>
      <t xml:space="preserve"> = 20%</t>
    </r>
  </si>
  <si>
    <r>
      <t>M</t>
    </r>
    <r>
      <rPr>
        <b/>
        <vertAlign val="subscript"/>
        <sz val="11"/>
        <color theme="1"/>
        <rFont val="Calibri (Body)"/>
      </rPr>
      <t>S</t>
    </r>
    <r>
      <rPr>
        <b/>
        <sz val="11"/>
        <color theme="1"/>
        <rFont val="Calibri"/>
        <family val="2"/>
        <scheme val="minor"/>
      </rPr>
      <t xml:space="preserve"> by Mehod 2 at σ</t>
    </r>
    <r>
      <rPr>
        <b/>
        <vertAlign val="subscript"/>
        <sz val="11"/>
        <color theme="1"/>
        <rFont val="Calibri (Body)"/>
      </rPr>
      <t>SE</t>
    </r>
    <r>
      <rPr>
        <b/>
        <sz val="11"/>
        <color theme="1"/>
        <rFont val="Calibri"/>
        <family val="2"/>
        <scheme val="minor"/>
      </rPr>
      <t xml:space="preserve"> = 10%</t>
    </r>
  </si>
  <si>
    <r>
      <t>M</t>
    </r>
    <r>
      <rPr>
        <b/>
        <vertAlign val="subscript"/>
        <sz val="11"/>
        <color theme="1"/>
        <rFont val="Calibri (Body)"/>
      </rPr>
      <t>S</t>
    </r>
    <r>
      <rPr>
        <b/>
        <sz val="11"/>
        <color theme="1"/>
        <rFont val="Calibri"/>
        <family val="2"/>
        <scheme val="minor"/>
      </rPr>
      <t xml:space="preserve"> by Mehod 2 at σ</t>
    </r>
    <r>
      <rPr>
        <b/>
        <vertAlign val="subscript"/>
        <sz val="11"/>
        <color theme="1"/>
        <rFont val="Calibri (Body)"/>
      </rPr>
      <t>SE</t>
    </r>
    <r>
      <rPr>
        <b/>
        <sz val="11"/>
        <color theme="1"/>
        <rFont val="Calibri"/>
        <family val="2"/>
        <scheme val="minor"/>
      </rPr>
      <t xml:space="preserve"> = 20%</t>
    </r>
  </si>
  <si>
    <t>Summary</t>
  </si>
  <si>
    <t xml:space="preserve">Point counting with binomial distribution approximation </t>
  </si>
  <si>
    <t>Meso-scale</t>
  </si>
  <si>
    <t xml:space="preserve">-6700/+2000 </t>
  </si>
  <si>
    <t xml:space="preserve">-1000/+425 </t>
  </si>
  <si>
    <t xml:space="preserve">-425/+150 </t>
  </si>
  <si>
    <t>HCT Bulk</t>
  </si>
  <si>
    <t>Fe-Sulfide Liberation and Association by Mineral Grade</t>
  </si>
  <si>
    <t>Liberated Fe-Sulfide</t>
  </si>
  <si>
    <t>Fe-Sulfide Liberation and Association by weight %</t>
  </si>
  <si>
    <t>Locked</t>
  </si>
  <si>
    <t>Middlings</t>
  </si>
  <si>
    <t>Liberated</t>
  </si>
  <si>
    <t>Unliberated</t>
  </si>
  <si>
    <t>SCT Sample</t>
  </si>
  <si>
    <t>Fe-sulfide liberation and association data for the HCT material and the number of assessed particles.</t>
  </si>
  <si>
    <t>0 &lt; g &lt; 1</t>
  </si>
  <si>
    <r>
      <t>Estimated based on the ratio of the PSD d</t>
    </r>
    <r>
      <rPr>
        <vertAlign val="subscript"/>
        <sz val="11"/>
        <color theme="1"/>
        <rFont val="Calibri (Body)"/>
      </rPr>
      <t>50</t>
    </r>
    <r>
      <rPr>
        <sz val="11"/>
        <color theme="1"/>
        <rFont val="Calibri"/>
        <family val="2"/>
        <scheme val="minor"/>
      </rPr>
      <t xml:space="preserve"> to d</t>
    </r>
    <r>
      <rPr>
        <vertAlign val="subscript"/>
        <sz val="11"/>
        <color theme="1"/>
        <rFont val="Calibri (Body)"/>
      </rPr>
      <t>95</t>
    </r>
  </si>
  <si>
    <t>(Lotter et al,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</si>
</sst>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0"/>
    <numFmt numFmtId="165" formatCode="0.000000"/>
    <numFmt numFmtId="166" formatCode="0.000000000"/>
    <numFmt numFmtId="167" formatCode="0.0"/>
    <numFmt numFmtId="168" formatCode="0.0%"/>
    <numFmt numFmtId="169" formatCode="0.00000"/>
  </numFmts>
  <fonts count="28">
    <font>
      <sz val="11"/>
      <color theme="1"/>
      <name val="Calibri"/>
      <family val="2"/>
      <scheme val="minor"/>
    </font>
    <font>
      <sz val="11"/>
      <color theme="1"/>
      <name val="Calibri"/>
      <family val="2"/>
      <scheme val="minor"/>
    </font>
    <font>
      <b/>
      <sz val="11"/>
      <color theme="1"/>
      <name val="Calibri"/>
      <family val="2"/>
      <scheme val="minor"/>
    </font>
    <font>
      <b/>
      <sz val="10"/>
      <color indexed="8"/>
      <name val="Arial"/>
      <family val="2"/>
    </font>
    <font>
      <sz val="10"/>
      <color indexed="8"/>
      <name val="Arial"/>
      <family val="2"/>
    </font>
    <font>
      <sz val="11"/>
      <color theme="1"/>
      <name val="Times New Roman"/>
      <family val="1"/>
    </font>
    <font>
      <b/>
      <sz val="14"/>
      <color theme="1"/>
      <name val="Calibri"/>
      <family val="2"/>
      <scheme val="minor"/>
    </font>
    <font>
      <b/>
      <vertAlign val="superscript"/>
      <sz val="10"/>
      <color rgb="FF000000"/>
      <name val="Arial"/>
      <family val="2"/>
    </font>
    <font>
      <b/>
      <vertAlign val="subscript"/>
      <sz val="11"/>
      <color theme="1"/>
      <name val="Calibri (Body)"/>
    </font>
    <font>
      <b/>
      <sz val="11"/>
      <color theme="1"/>
      <name val="Calibri"/>
      <family val="2"/>
    </font>
    <font>
      <b/>
      <vertAlign val="subscript"/>
      <sz val="11"/>
      <color theme="1"/>
      <name val="Calibri"/>
      <family val="2"/>
    </font>
    <font>
      <b/>
      <vertAlign val="superscript"/>
      <sz val="11"/>
      <color theme="1"/>
      <name val="Calibri (Body)"/>
    </font>
    <font>
      <b/>
      <sz val="11"/>
      <color theme="1"/>
      <name val="Calibri (Body)"/>
    </font>
    <font>
      <b/>
      <sz val="11"/>
      <color theme="1"/>
      <name val="Times New Roman"/>
      <family val="1"/>
    </font>
    <font>
      <vertAlign val="subscript"/>
      <sz val="11"/>
      <color theme="1"/>
      <name val="Calibri (Body)"/>
    </font>
    <font>
      <vertAlign val="subscript"/>
      <sz val="11"/>
      <color theme="1"/>
      <name val="Calibri"/>
      <family val="2"/>
      <scheme val="minor"/>
    </font>
    <font>
      <b/>
      <vertAlign val="subscript"/>
      <sz val="11"/>
      <color theme="1"/>
      <name val="Calibri"/>
      <family val="2"/>
      <scheme val="minor"/>
    </font>
    <font>
      <vertAlign val="superscript"/>
      <sz val="11"/>
      <color theme="1"/>
      <name val="Calibri"/>
      <family val="2"/>
      <scheme val="minor"/>
    </font>
    <font>
      <vertAlign val="superscript"/>
      <sz val="11"/>
      <color theme="1"/>
      <name val="Calibri (Body)"/>
    </font>
    <font>
      <sz val="8"/>
      <name val="Calibri"/>
      <family val="2"/>
      <scheme val="minor"/>
    </font>
    <font>
      <b/>
      <sz val="11"/>
      <color rgb="FF000000"/>
      <name val="Times New Roman"/>
      <family val="1"/>
    </font>
    <font>
      <b/>
      <vertAlign val="subscript"/>
      <sz val="11"/>
      <color rgb="FF000000"/>
      <name val="Times New Roman"/>
      <family val="1"/>
    </font>
    <font>
      <sz val="11"/>
      <color rgb="FF000000"/>
      <name val="Times New Roman"/>
      <family val="1"/>
    </font>
    <font>
      <i/>
      <sz val="11"/>
      <color theme="1"/>
      <name val="Calibri"/>
      <family val="2"/>
      <scheme val="minor"/>
    </font>
    <font>
      <sz val="11"/>
      <color theme="1"/>
      <name val="Calibri (Body)"/>
    </font>
    <font>
      <b/>
      <sz val="10"/>
      <color theme="1"/>
      <name val="Times New Roman"/>
      <family val="1"/>
    </font>
    <font>
      <b/>
      <sz val="10"/>
      <color rgb="FF000000"/>
      <name val="Times New Roman"/>
      <family val="1"/>
    </font>
    <font>
      <sz val="10"/>
      <color theme="1"/>
      <name val="Times New Roman"/>
      <family val="1"/>
    </font>
  </fonts>
  <fills count="4">
    <fill>
      <patternFill patternType="none"/>
    </fill>
    <fill>
      <patternFill patternType="gray125"/>
    </fill>
    <fill>
      <patternFill patternType="solid">
        <fgColor rgb="FFF2F2F2"/>
        <bgColor indexed="64"/>
      </patternFill>
    </fill>
    <fill>
      <patternFill patternType="solid">
        <fgColor theme="6" tint="0.79998168889431442"/>
        <bgColor indexed="64"/>
      </patternFill>
    </fill>
  </fills>
  <borders count="45">
    <border>
      <left/>
      <right/>
      <top/>
      <bottom/>
      <diagonal/>
    </border>
    <border>
      <left/>
      <right/>
      <top/>
      <bottom style="thin">
        <color indexed="64"/>
      </bottom>
      <diagonal/>
    </border>
    <border>
      <left/>
      <right/>
      <top style="thin">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s>
  <cellStyleXfs count="3">
    <xf numFmtId="0" fontId="0" fillId="0" borderId="0"/>
    <xf numFmtId="9" fontId="1" fillId="0" borderId="0" applyFont="0" applyFill="0" applyBorder="0" applyAlignment="0" applyProtection="0"/>
    <xf numFmtId="0" fontId="1" fillId="0" borderId="0"/>
  </cellStyleXfs>
  <cellXfs count="535">
    <xf numFmtId="0" fontId="0" fillId="0" borderId="0" xfId="0"/>
    <xf numFmtId="0" fontId="2" fillId="0" borderId="0" xfId="0" applyFont="1"/>
    <xf numFmtId="0" fontId="5" fillId="0" borderId="0" xfId="0" applyFont="1" applyAlignment="1">
      <alignment vertical="center"/>
    </xf>
    <xf numFmtId="0" fontId="2" fillId="0" borderId="0" xfId="0" applyFont="1" applyAlignment="1">
      <alignment horizontal="center" vertical="center"/>
    </xf>
    <xf numFmtId="0" fontId="0" fillId="0" borderId="0" xfId="0" applyFont="1" applyAlignment="1">
      <alignment horizontal="center" vertical="center"/>
    </xf>
    <xf numFmtId="0" fontId="4" fillId="0" borderId="0" xfId="0" applyFont="1" applyAlignment="1">
      <alignment horizontal="center" vertical="center"/>
    </xf>
    <xf numFmtId="0" fontId="0" fillId="0" borderId="0" xfId="0" applyAlignment="1">
      <alignment horizontal="center"/>
    </xf>
    <xf numFmtId="0" fontId="2" fillId="0" borderId="0" xfId="0" applyFont="1" applyAlignment="1">
      <alignment horizontal="center"/>
    </xf>
    <xf numFmtId="0" fontId="0" fillId="0" borderId="0" xfId="0" applyBorder="1" applyAlignment="1">
      <alignment horizontal="center"/>
    </xf>
    <xf numFmtId="0" fontId="4"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xf>
    <xf numFmtId="2" fontId="4" fillId="0" borderId="0" xfId="0" applyNumberFormat="1" applyFont="1" applyFill="1" applyBorder="1" applyAlignment="1" applyProtection="1">
      <alignment horizontal="center"/>
    </xf>
    <xf numFmtId="2" fontId="4" fillId="0" borderId="2" xfId="0" applyNumberFormat="1" applyFont="1" applyFill="1" applyBorder="1" applyAlignment="1" applyProtection="1">
      <alignment horizontal="center"/>
    </xf>
    <xf numFmtId="2" fontId="2" fillId="0" borderId="0" xfId="0" applyNumberFormat="1" applyFont="1" applyBorder="1" applyAlignment="1">
      <alignment horizontal="center"/>
    </xf>
    <xf numFmtId="0" fontId="2" fillId="0" borderId="0" xfId="0" applyFont="1" applyBorder="1" applyAlignment="1">
      <alignment horizontal="center"/>
    </xf>
    <xf numFmtId="0" fontId="0" fillId="0" borderId="0" xfId="0" applyFill="1" applyAlignment="1">
      <alignment horizontal="center"/>
    </xf>
    <xf numFmtId="2" fontId="0" fillId="0" borderId="0" xfId="0" applyNumberFormat="1" applyFill="1" applyBorder="1" applyAlignment="1">
      <alignment horizontal="center"/>
    </xf>
    <xf numFmtId="0" fontId="0" fillId="0" borderId="0" xfId="0" applyFill="1" applyBorder="1" applyAlignment="1">
      <alignment horizontal="center"/>
    </xf>
    <xf numFmtId="10" fontId="0" fillId="0" borderId="0" xfId="1" applyNumberFormat="1" applyFont="1" applyFill="1" applyBorder="1" applyAlignment="1">
      <alignment horizontal="center"/>
    </xf>
    <xf numFmtId="0" fontId="0" fillId="0" borderId="0" xfId="0" applyBorder="1" applyAlignment="1">
      <alignment horizontal="center"/>
    </xf>
    <xf numFmtId="9" fontId="0" fillId="0" borderId="5" xfId="0" applyNumberFormat="1" applyFont="1" applyBorder="1" applyAlignment="1">
      <alignment horizontal="center" vertical="center"/>
    </xf>
    <xf numFmtId="0" fontId="4" fillId="0" borderId="13" xfId="0" applyFont="1" applyBorder="1" applyAlignment="1">
      <alignment horizontal="center" vertical="center"/>
    </xf>
    <xf numFmtId="0" fontId="4" fillId="0" borderId="6" xfId="0" applyFont="1" applyBorder="1" applyAlignment="1">
      <alignment horizontal="center" vertical="center"/>
    </xf>
    <xf numFmtId="9" fontId="0" fillId="0" borderId="4" xfId="0" applyNumberFormat="1" applyFont="1" applyBorder="1" applyAlignment="1">
      <alignment horizontal="center" vertical="center"/>
    </xf>
    <xf numFmtId="0" fontId="0" fillId="0" borderId="15" xfId="0" applyFont="1" applyFill="1" applyBorder="1" applyAlignment="1">
      <alignment horizontal="center" vertical="center" wrapText="1"/>
    </xf>
    <xf numFmtId="0" fontId="2" fillId="0" borderId="15" xfId="0" applyFont="1" applyBorder="1" applyAlignment="1">
      <alignment horizontal="center" vertical="center"/>
    </xf>
    <xf numFmtId="0" fontId="2" fillId="0" borderId="3" xfId="0" applyFont="1" applyBorder="1" applyAlignment="1">
      <alignment horizontal="center" vertical="center" wrapText="1"/>
    </xf>
    <xf numFmtId="0" fontId="2" fillId="0" borderId="16" xfId="0" applyFont="1" applyFill="1" applyBorder="1" applyAlignment="1">
      <alignment horizontal="center"/>
    </xf>
    <xf numFmtId="0" fontId="2" fillId="0" borderId="13" xfId="0" applyFont="1" applyFill="1" applyBorder="1" applyAlignment="1">
      <alignment horizontal="center"/>
    </xf>
    <xf numFmtId="0" fontId="2" fillId="0" borderId="11" xfId="0" applyFont="1" applyFill="1" applyBorder="1" applyAlignment="1">
      <alignment horizontal="center"/>
    </xf>
    <xf numFmtId="0" fontId="2" fillId="0" borderId="14" xfId="0" applyFont="1" applyFill="1" applyBorder="1" applyAlignment="1">
      <alignment horizontal="center" vertical="center" wrapText="1"/>
    </xf>
    <xf numFmtId="10" fontId="2" fillId="0" borderId="14" xfId="1" applyNumberFormat="1" applyFont="1" applyFill="1" applyBorder="1" applyAlignment="1">
      <alignment horizontal="center" vertical="center" wrapText="1"/>
    </xf>
    <xf numFmtId="0" fontId="2" fillId="0" borderId="7" xfId="0" applyFont="1" applyFill="1" applyBorder="1" applyAlignment="1">
      <alignment horizontal="center" vertical="center" wrapText="1"/>
    </xf>
    <xf numFmtId="10" fontId="0" fillId="0" borderId="5" xfId="1" applyNumberFormat="1" applyFont="1" applyFill="1" applyBorder="1" applyAlignment="1">
      <alignment horizontal="center"/>
    </xf>
    <xf numFmtId="0" fontId="2" fillId="0" borderId="6" xfId="0" applyFont="1" applyFill="1" applyBorder="1" applyAlignment="1">
      <alignment horizontal="center"/>
    </xf>
    <xf numFmtId="0" fontId="9" fillId="0" borderId="6" xfId="0" applyFont="1" applyFill="1" applyBorder="1" applyAlignment="1">
      <alignment horizontal="center"/>
    </xf>
    <xf numFmtId="10" fontId="2" fillId="0" borderId="6" xfId="1" applyNumberFormat="1" applyFont="1" applyFill="1" applyBorder="1" applyAlignment="1">
      <alignment horizontal="center"/>
    </xf>
    <xf numFmtId="0" fontId="2" fillId="0" borderId="6" xfId="0" applyFont="1" applyFill="1" applyBorder="1" applyAlignment="1">
      <alignment horizontal="center" vertical="center" wrapText="1"/>
    </xf>
    <xf numFmtId="0" fontId="2" fillId="0" borderId="4" xfId="0" applyFont="1" applyFill="1" applyBorder="1" applyAlignment="1">
      <alignment horizontal="center"/>
    </xf>
    <xf numFmtId="0" fontId="2" fillId="0" borderId="14" xfId="0" applyFont="1" applyFill="1" applyBorder="1" applyAlignment="1">
      <alignment horizontal="center" wrapText="1"/>
    </xf>
    <xf numFmtId="164" fontId="0" fillId="0" borderId="14" xfId="0" applyNumberFormat="1" applyFill="1" applyBorder="1" applyAlignment="1">
      <alignment horizontal="center"/>
    </xf>
    <xf numFmtId="2" fontId="0" fillId="0" borderId="14" xfId="0" applyNumberFormat="1" applyFill="1" applyBorder="1" applyAlignment="1">
      <alignment horizontal="center"/>
    </xf>
    <xf numFmtId="0" fontId="0" fillId="0" borderId="14" xfId="0" applyFill="1" applyBorder="1" applyAlignment="1">
      <alignment horizontal="center"/>
    </xf>
    <xf numFmtId="167" fontId="0" fillId="0" borderId="14" xfId="0" applyNumberFormat="1" applyFill="1" applyBorder="1" applyAlignment="1">
      <alignment horizontal="center"/>
    </xf>
    <xf numFmtId="10" fontId="0" fillId="0" borderId="14" xfId="1" applyNumberFormat="1" applyFont="1" applyFill="1" applyBorder="1" applyAlignment="1">
      <alignment horizontal="center"/>
    </xf>
    <xf numFmtId="1" fontId="0" fillId="0" borderId="14" xfId="0" applyNumberFormat="1" applyFill="1" applyBorder="1" applyAlignment="1">
      <alignment horizontal="center"/>
    </xf>
    <xf numFmtId="165" fontId="0" fillId="0" borderId="14" xfId="0" applyNumberFormat="1" applyFill="1" applyBorder="1" applyAlignment="1">
      <alignment horizontal="center"/>
    </xf>
    <xf numFmtId="166" fontId="0" fillId="0" borderId="14" xfId="0" quotePrefix="1" applyNumberFormat="1" applyFill="1" applyBorder="1" applyAlignment="1">
      <alignment horizontal="center"/>
    </xf>
    <xf numFmtId="10" fontId="0" fillId="0" borderId="7" xfId="1" applyNumberFormat="1" applyFont="1" applyFill="1" applyBorder="1" applyAlignment="1">
      <alignment horizontal="center"/>
    </xf>
    <xf numFmtId="0" fontId="0" fillId="0" borderId="8" xfId="0" applyFont="1" applyFill="1" applyBorder="1" applyAlignment="1">
      <alignment horizontal="center" vertical="center"/>
    </xf>
    <xf numFmtId="0" fontId="0" fillId="0" borderId="10" xfId="0" applyFont="1" applyFill="1" applyBorder="1" applyAlignment="1">
      <alignment horizontal="center" vertical="center"/>
    </xf>
    <xf numFmtId="0" fontId="2" fillId="0" borderId="0" xfId="0" applyFont="1" applyBorder="1" applyAlignment="1">
      <alignment horizontal="center" vertical="center"/>
    </xf>
    <xf numFmtId="0" fontId="3" fillId="0" borderId="0" xfId="0" quotePrefix="1" applyFont="1" applyBorder="1" applyAlignment="1">
      <alignment horizontal="center" vertical="center"/>
    </xf>
    <xf numFmtId="0" fontId="2" fillId="0" borderId="0" xfId="0" quotePrefix="1" applyFont="1" applyBorder="1" applyAlignment="1">
      <alignment horizontal="center" vertical="center"/>
    </xf>
    <xf numFmtId="0" fontId="3" fillId="0" borderId="0" xfId="0" applyFont="1" applyBorder="1" applyAlignment="1">
      <alignment horizontal="center" vertical="center"/>
    </xf>
    <xf numFmtId="0" fontId="4" fillId="0" borderId="0" xfId="0" applyFont="1" applyBorder="1" applyAlignment="1">
      <alignment horizontal="center" vertical="center"/>
    </xf>
    <xf numFmtId="0" fontId="3" fillId="0" borderId="12" xfId="0" applyFont="1" applyBorder="1" applyAlignment="1">
      <alignment horizontal="center" vertical="center"/>
    </xf>
    <xf numFmtId="9" fontId="4" fillId="0" borderId="0" xfId="1" applyFont="1" applyBorder="1" applyAlignment="1">
      <alignment horizontal="center" vertical="center"/>
    </xf>
    <xf numFmtId="9" fontId="1" fillId="0" borderId="0" xfId="1" applyFont="1" applyBorder="1" applyAlignment="1">
      <alignment horizontal="center" vertical="center"/>
    </xf>
    <xf numFmtId="9" fontId="0" fillId="0" borderId="0" xfId="1" applyFont="1" applyBorder="1" applyAlignment="1">
      <alignment horizontal="center" vertical="center"/>
    </xf>
    <xf numFmtId="2" fontId="3" fillId="0" borderId="12" xfId="0" applyNumberFormat="1" applyFont="1" applyBorder="1" applyAlignment="1">
      <alignment horizontal="center" vertical="center"/>
    </xf>
    <xf numFmtId="2" fontId="3" fillId="0" borderId="0" xfId="0" applyNumberFormat="1" applyFont="1" applyBorder="1" applyAlignment="1">
      <alignment horizontal="center" vertical="center"/>
    </xf>
    <xf numFmtId="2" fontId="4" fillId="0" borderId="0" xfId="0" applyNumberFormat="1" applyFont="1" applyBorder="1" applyAlignment="1">
      <alignment horizontal="center" vertical="center"/>
    </xf>
    <xf numFmtId="1" fontId="3" fillId="0" borderId="13" xfId="0" applyNumberFormat="1" applyFont="1" applyBorder="1" applyAlignment="1">
      <alignment horizontal="center" vertical="center"/>
    </xf>
    <xf numFmtId="9" fontId="4" fillId="0" borderId="6" xfId="1" applyFont="1" applyBorder="1" applyAlignment="1">
      <alignment horizontal="center" vertical="center"/>
    </xf>
    <xf numFmtId="0" fontId="2" fillId="0" borderId="6" xfId="0" applyFont="1" applyBorder="1" applyAlignment="1">
      <alignment horizontal="center" vertical="center"/>
    </xf>
    <xf numFmtId="0" fontId="3" fillId="0" borderId="6" xfId="0" applyFont="1" applyBorder="1" applyAlignment="1">
      <alignment horizontal="center" vertical="center"/>
    </xf>
    <xf numFmtId="0" fontId="4" fillId="0" borderId="5" xfId="0" applyFont="1" applyBorder="1" applyAlignment="1">
      <alignment horizontal="center" vertical="center"/>
    </xf>
    <xf numFmtId="9" fontId="1" fillId="0" borderId="6" xfId="1" applyFont="1" applyBorder="1" applyAlignment="1">
      <alignment horizontal="center" vertical="center"/>
    </xf>
    <xf numFmtId="2" fontId="3" fillId="0" borderId="6" xfId="0" applyNumberFormat="1" applyFont="1" applyBorder="1" applyAlignment="1">
      <alignment horizontal="center" vertical="center"/>
    </xf>
    <xf numFmtId="2" fontId="4" fillId="0" borderId="6" xfId="0" applyNumberFormat="1" applyFont="1" applyBorder="1" applyAlignment="1">
      <alignment horizontal="center" vertical="center"/>
    </xf>
    <xf numFmtId="0" fontId="3" fillId="0" borderId="12" xfId="0" applyNumberFormat="1" applyFont="1" applyFill="1" applyBorder="1" applyAlignment="1" applyProtection="1">
      <alignment horizontal="center"/>
    </xf>
    <xf numFmtId="0" fontId="2" fillId="0" borderId="5" xfId="0" applyFont="1" applyBorder="1" applyAlignment="1">
      <alignment horizontal="center"/>
    </xf>
    <xf numFmtId="0" fontId="4" fillId="0" borderId="12" xfId="0" applyNumberFormat="1" applyFont="1" applyFill="1" applyBorder="1" applyAlignment="1" applyProtection="1">
      <alignment horizontal="center"/>
    </xf>
    <xf numFmtId="2" fontId="0" fillId="0" borderId="5" xfId="0" applyNumberFormat="1" applyBorder="1" applyAlignment="1">
      <alignment horizontal="center"/>
    </xf>
    <xf numFmtId="0" fontId="4" fillId="0" borderId="18" xfId="0" applyNumberFormat="1" applyFont="1" applyFill="1" applyBorder="1" applyAlignment="1" applyProtection="1">
      <alignment horizontal="center"/>
    </xf>
    <xf numFmtId="2" fontId="0" fillId="0" borderId="19" xfId="0" applyNumberFormat="1" applyBorder="1" applyAlignment="1">
      <alignment horizontal="center"/>
    </xf>
    <xf numFmtId="2" fontId="2" fillId="0" borderId="21" xfId="0" applyNumberFormat="1" applyFont="1" applyBorder="1" applyAlignment="1">
      <alignment horizontal="center"/>
    </xf>
    <xf numFmtId="2" fontId="2" fillId="0" borderId="22" xfId="0" applyNumberFormat="1" applyFont="1" applyBorder="1" applyAlignment="1">
      <alignment horizontal="center"/>
    </xf>
    <xf numFmtId="0" fontId="3" fillId="0" borderId="20" xfId="0" applyNumberFormat="1" applyFont="1" applyFill="1" applyBorder="1" applyAlignment="1" applyProtection="1">
      <alignment horizontal="center"/>
    </xf>
    <xf numFmtId="0" fontId="3" fillId="0" borderId="28" xfId="0" applyNumberFormat="1" applyFont="1" applyFill="1" applyBorder="1" applyAlignment="1" applyProtection="1">
      <alignment horizontal="center"/>
    </xf>
    <xf numFmtId="0" fontId="3" fillId="0" borderId="2" xfId="0" applyNumberFormat="1" applyFont="1" applyFill="1" applyBorder="1" applyAlignment="1" applyProtection="1">
      <alignment horizontal="center"/>
    </xf>
    <xf numFmtId="2" fontId="4" fillId="0" borderId="29" xfId="0" applyNumberFormat="1" applyFont="1" applyFill="1" applyBorder="1" applyAlignment="1" applyProtection="1">
      <alignment horizontal="center"/>
    </xf>
    <xf numFmtId="2" fontId="4" fillId="0" borderId="28" xfId="0" applyNumberFormat="1" applyFont="1" applyFill="1" applyBorder="1" applyAlignment="1" applyProtection="1">
      <alignment horizontal="center"/>
    </xf>
    <xf numFmtId="2" fontId="2" fillId="0" borderId="27" xfId="0" applyNumberFormat="1" applyFont="1" applyBorder="1" applyAlignment="1">
      <alignment horizontal="center"/>
    </xf>
    <xf numFmtId="0" fontId="3" fillId="0" borderId="30" xfId="0" applyNumberFormat="1" applyFont="1" applyFill="1" applyBorder="1" applyAlignment="1" applyProtection="1">
      <alignment horizontal="center"/>
    </xf>
    <xf numFmtId="2" fontId="4" fillId="0" borderId="24" xfId="0" applyNumberFormat="1" applyFont="1" applyFill="1" applyBorder="1" applyAlignment="1" applyProtection="1">
      <alignment horizontal="center"/>
    </xf>
    <xf numFmtId="2" fontId="4" fillId="0" borderId="30" xfId="0" applyNumberFormat="1" applyFont="1" applyFill="1" applyBorder="1" applyAlignment="1" applyProtection="1">
      <alignment horizontal="center"/>
    </xf>
    <xf numFmtId="2" fontId="2" fillId="0" borderId="31" xfId="0" applyNumberFormat="1" applyFont="1" applyBorder="1" applyAlignment="1">
      <alignment horizontal="center"/>
    </xf>
    <xf numFmtId="0" fontId="3" fillId="0" borderId="32" xfId="0" applyNumberFormat="1" applyFont="1" applyFill="1" applyBorder="1" applyAlignment="1" applyProtection="1">
      <alignment horizontal="center"/>
    </xf>
    <xf numFmtId="0" fontId="0" fillId="0" borderId="0" xfId="0" applyFont="1" applyAlignment="1">
      <alignment horizontal="left" vertical="center"/>
    </xf>
    <xf numFmtId="0" fontId="0" fillId="0" borderId="0" xfId="0" applyFont="1"/>
    <xf numFmtId="0" fontId="0" fillId="0" borderId="0" xfId="0" applyFont="1" applyAlignment="1">
      <alignment vertical="center"/>
    </xf>
    <xf numFmtId="0" fontId="2" fillId="0" borderId="12" xfId="0" applyFont="1" applyBorder="1" applyAlignment="1">
      <alignment horizontal="center" vertical="center"/>
    </xf>
    <xf numFmtId="0" fontId="0" fillId="0" borderId="12" xfId="0" applyFont="1" applyBorder="1" applyAlignment="1">
      <alignment horizontal="center" vertical="center"/>
    </xf>
    <xf numFmtId="0" fontId="0" fillId="0" borderId="0" xfId="0" applyFont="1" applyBorder="1" applyAlignment="1">
      <alignment horizontal="center" vertical="center"/>
    </xf>
    <xf numFmtId="0" fontId="0" fillId="0" borderId="6" xfId="0" applyFont="1" applyBorder="1" applyAlignment="1">
      <alignment horizontal="center" vertical="center"/>
    </xf>
    <xf numFmtId="0" fontId="0" fillId="0" borderId="5" xfId="0" applyFont="1" applyBorder="1" applyAlignment="1">
      <alignment horizontal="center" vertical="center"/>
    </xf>
    <xf numFmtId="0" fontId="0" fillId="0" borderId="4" xfId="0" applyFont="1" applyBorder="1" applyAlignment="1">
      <alignment horizontal="center" vertical="center"/>
    </xf>
    <xf numFmtId="0" fontId="0" fillId="0" borderId="12" xfId="0" quotePrefix="1" applyFont="1" applyBorder="1" applyAlignment="1">
      <alignment horizontal="center" vertical="center"/>
    </xf>
    <xf numFmtId="0" fontId="0" fillId="0" borderId="0" xfId="0" applyAlignment="1">
      <alignment horizontal="center" vertical="center"/>
    </xf>
    <xf numFmtId="0" fontId="0" fillId="0" borderId="14" xfId="0" applyBorder="1" applyAlignment="1">
      <alignment horizontal="center" vertical="center"/>
    </xf>
    <xf numFmtId="1" fontId="0" fillId="0" borderId="5" xfId="0" applyNumberFormat="1" applyBorder="1" applyAlignment="1">
      <alignment horizontal="center" vertical="center"/>
    </xf>
    <xf numFmtId="0" fontId="3" fillId="0" borderId="0" xfId="0" applyFont="1" applyAlignment="1">
      <alignment horizontal="center" vertical="center"/>
    </xf>
    <xf numFmtId="2" fontId="3" fillId="0" borderId="0" xfId="0" applyNumberFormat="1" applyFont="1" applyAlignment="1">
      <alignment horizontal="center" vertical="center"/>
    </xf>
    <xf numFmtId="2" fontId="4" fillId="0" borderId="0" xfId="0" applyNumberFormat="1" applyFont="1" applyAlignment="1">
      <alignment horizontal="center" vertical="center"/>
    </xf>
    <xf numFmtId="2" fontId="4" fillId="0" borderId="4" xfId="0" applyNumberFormat="1" applyFont="1" applyBorder="1" applyAlignment="1">
      <alignment horizontal="center" vertical="center"/>
    </xf>
    <xf numFmtId="1" fontId="0" fillId="0" borderId="0" xfId="0" applyNumberFormat="1" applyAlignment="1">
      <alignment horizontal="center" vertical="center"/>
    </xf>
    <xf numFmtId="2" fontId="0" fillId="0" borderId="0" xfId="0" applyNumberFormat="1" applyAlignment="1">
      <alignment horizontal="center" vertical="center"/>
    </xf>
    <xf numFmtId="0" fontId="0" fillId="0" borderId="13" xfId="0" applyBorder="1" applyAlignment="1">
      <alignment horizontal="left" vertical="center" wrapText="1"/>
    </xf>
    <xf numFmtId="0" fontId="0" fillId="0" borderId="12" xfId="0" applyBorder="1" applyAlignment="1">
      <alignment horizontal="left" vertical="center" wrapText="1"/>
    </xf>
    <xf numFmtId="0" fontId="2" fillId="0" borderId="34" xfId="0" applyFont="1" applyBorder="1" applyAlignment="1">
      <alignment horizontal="center" vertical="center" wrapText="1"/>
    </xf>
    <xf numFmtId="0" fontId="2" fillId="0" borderId="36" xfId="0" applyFont="1" applyBorder="1" applyAlignment="1">
      <alignment horizontal="center" vertical="center"/>
    </xf>
    <xf numFmtId="0" fontId="0" fillId="0" borderId="38" xfId="0" applyBorder="1" applyAlignment="1">
      <alignment horizontal="center" vertical="center"/>
    </xf>
    <xf numFmtId="0" fontId="0" fillId="0" borderId="38" xfId="0" applyFill="1" applyBorder="1" applyAlignment="1">
      <alignment horizontal="center" vertical="center"/>
    </xf>
    <xf numFmtId="0" fontId="0" fillId="0" borderId="37" xfId="0" applyFill="1" applyBorder="1" applyAlignment="1">
      <alignment horizontal="center" vertical="center"/>
    </xf>
    <xf numFmtId="0" fontId="2" fillId="0" borderId="13" xfId="0" applyFont="1" applyBorder="1" applyAlignment="1">
      <alignment horizontal="center" vertical="center"/>
    </xf>
    <xf numFmtId="0" fontId="2" fillId="0" borderId="12"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1" fontId="4" fillId="0" borderId="0" xfId="0" applyNumberFormat="1" applyFont="1" applyAlignment="1">
      <alignment horizontal="center" vertical="center"/>
    </xf>
    <xf numFmtId="2" fontId="0" fillId="0" borderId="0" xfId="0" applyNumberFormat="1" applyBorder="1" applyAlignment="1">
      <alignment horizontal="center" vertical="center"/>
    </xf>
    <xf numFmtId="1" fontId="0" fillId="0" borderId="0" xfId="0" applyNumberFormat="1" applyBorder="1" applyAlignment="1">
      <alignment horizontal="center" vertical="center"/>
    </xf>
    <xf numFmtId="2" fontId="0" fillId="0" borderId="5" xfId="0" applyNumberFormat="1" applyBorder="1" applyAlignment="1">
      <alignment horizontal="center" vertical="center"/>
    </xf>
    <xf numFmtId="2" fontId="0" fillId="0" borderId="6" xfId="0" applyNumberFormat="1" applyBorder="1" applyAlignment="1">
      <alignment horizontal="center" vertical="center"/>
    </xf>
    <xf numFmtId="2" fontId="0" fillId="0" borderId="1" xfId="0" applyNumberFormat="1" applyBorder="1" applyAlignment="1">
      <alignment horizontal="center" vertical="center"/>
    </xf>
    <xf numFmtId="1" fontId="0" fillId="0" borderId="1" xfId="0" applyNumberFormat="1" applyBorder="1" applyAlignment="1">
      <alignment horizontal="center" vertical="center"/>
    </xf>
    <xf numFmtId="2" fontId="0" fillId="0" borderId="2" xfId="0" applyNumberFormat="1" applyBorder="1" applyAlignment="1">
      <alignment horizontal="center" vertical="center"/>
    </xf>
    <xf numFmtId="1" fontId="0" fillId="0" borderId="2" xfId="0" applyNumberFormat="1" applyBorder="1" applyAlignment="1">
      <alignment horizontal="center" vertical="center"/>
    </xf>
    <xf numFmtId="2" fontId="0" fillId="0" borderId="19" xfId="0" applyNumberFormat="1" applyBorder="1" applyAlignment="1">
      <alignment horizontal="center" vertical="center"/>
    </xf>
    <xf numFmtId="0" fontId="0" fillId="0" borderId="12" xfId="0" applyBorder="1" applyAlignment="1">
      <alignment horizontal="center" vertical="center"/>
    </xf>
    <xf numFmtId="2" fontId="4" fillId="0" borderId="5" xfId="0" applyNumberFormat="1" applyFont="1" applyBorder="1" applyAlignment="1">
      <alignment horizontal="center" vertical="center"/>
    </xf>
    <xf numFmtId="168" fontId="2" fillId="0" borderId="0" xfId="1" applyNumberFormat="1" applyFont="1" applyBorder="1" applyAlignment="1">
      <alignment horizontal="center" vertical="center"/>
    </xf>
    <xf numFmtId="1" fontId="2" fillId="0" borderId="0" xfId="0" applyNumberFormat="1" applyFont="1" applyBorder="1" applyAlignment="1">
      <alignment horizontal="center" vertical="center"/>
    </xf>
    <xf numFmtId="1" fontId="2" fillId="0" borderId="5" xfId="0" applyNumberFormat="1" applyFont="1" applyBorder="1" applyAlignment="1">
      <alignment horizontal="center" vertical="center"/>
    </xf>
    <xf numFmtId="0" fontId="3" fillId="0" borderId="4" xfId="0" applyFont="1" applyBorder="1" applyAlignment="1">
      <alignment horizontal="center" vertical="center"/>
    </xf>
    <xf numFmtId="0" fontId="2" fillId="0" borderId="1" xfId="0" applyFont="1" applyBorder="1" applyAlignment="1">
      <alignment horizontal="center" vertical="center"/>
    </xf>
    <xf numFmtId="2" fontId="2" fillId="0" borderId="1" xfId="0" applyNumberFormat="1" applyFont="1" applyBorder="1" applyAlignment="1">
      <alignment horizontal="center" vertical="center"/>
    </xf>
    <xf numFmtId="0" fontId="2" fillId="0" borderId="23" xfId="0" applyFont="1" applyBorder="1" applyAlignment="1">
      <alignment horizontal="center" vertical="center"/>
    </xf>
    <xf numFmtId="0" fontId="0" fillId="0" borderId="18" xfId="0" applyBorder="1" applyAlignment="1">
      <alignment horizontal="center" vertical="center"/>
    </xf>
    <xf numFmtId="2" fontId="4" fillId="0" borderId="2" xfId="0" applyNumberFormat="1" applyFont="1" applyBorder="1" applyAlignment="1">
      <alignment horizontal="center" vertical="center"/>
    </xf>
    <xf numFmtId="0" fontId="0" fillId="0" borderId="39" xfId="0" applyBorder="1" applyAlignment="1">
      <alignment horizontal="center" vertical="center"/>
    </xf>
    <xf numFmtId="2" fontId="4" fillId="0" borderId="1" xfId="0" applyNumberFormat="1" applyFont="1" applyBorder="1" applyAlignment="1">
      <alignment horizontal="center" vertical="center"/>
    </xf>
    <xf numFmtId="2" fontId="4" fillId="0" borderId="23" xfId="0" applyNumberFormat="1" applyFont="1" applyBorder="1" applyAlignment="1">
      <alignment horizontal="center" vertical="center"/>
    </xf>
    <xf numFmtId="2" fontId="3" fillId="0" borderId="5" xfId="0" applyNumberFormat="1" applyFont="1" applyBorder="1" applyAlignment="1">
      <alignment horizontal="center" vertical="center"/>
    </xf>
    <xf numFmtId="49" fontId="3" fillId="0" borderId="0" xfId="0" quotePrefix="1"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17" xfId="0" applyFont="1" applyBorder="1" applyAlignment="1">
      <alignment horizontal="center" vertical="center"/>
    </xf>
    <xf numFmtId="0" fontId="0" fillId="0" borderId="0" xfId="0" applyBorder="1" applyAlignment="1">
      <alignment horizontal="center" vertical="center"/>
    </xf>
    <xf numFmtId="0" fontId="2" fillId="0" borderId="16"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4" xfId="0" applyFont="1" applyBorder="1" applyAlignment="1">
      <alignment horizontal="center" vertical="center"/>
    </xf>
    <xf numFmtId="2" fontId="0" fillId="0" borderId="0" xfId="0" applyNumberFormat="1"/>
    <xf numFmtId="10" fontId="0" fillId="0" borderId="0" xfId="1" applyNumberFormat="1" applyFont="1"/>
    <xf numFmtId="0" fontId="0" fillId="0" borderId="0" xfId="0" applyFill="1" applyAlignment="1">
      <alignment horizontal="center" vertical="center"/>
    </xf>
    <xf numFmtId="0" fontId="0" fillId="0" borderId="0" xfId="0" applyFill="1" applyAlignment="1">
      <alignment vertical="center"/>
    </xf>
    <xf numFmtId="0" fontId="0" fillId="0" borderId="15" xfId="0" applyBorder="1" applyAlignment="1">
      <alignment horizontal="center" vertical="center"/>
    </xf>
    <xf numFmtId="0" fontId="2" fillId="0" borderId="0" xfId="0" applyFont="1" applyFill="1" applyAlignment="1">
      <alignment horizontal="center" vertical="center"/>
    </xf>
    <xf numFmtId="10" fontId="0" fillId="0" borderId="0" xfId="1" applyNumberFormat="1" applyFont="1" applyBorder="1" applyAlignment="1">
      <alignment horizontal="center" vertical="center"/>
    </xf>
    <xf numFmtId="0" fontId="0" fillId="0" borderId="6" xfId="0" applyBorder="1" applyAlignment="1">
      <alignment horizontal="center" vertical="center"/>
    </xf>
    <xf numFmtId="10" fontId="0" fillId="0" borderId="6" xfId="1" applyNumberFormat="1" applyFont="1" applyBorder="1" applyAlignment="1">
      <alignment horizontal="center" vertical="center"/>
    </xf>
    <xf numFmtId="2" fontId="2" fillId="0" borderId="17" xfId="0" applyNumberFormat="1" applyFont="1" applyBorder="1" applyAlignment="1">
      <alignment horizontal="center" vertical="center"/>
    </xf>
    <xf numFmtId="10" fontId="0" fillId="0" borderId="14" xfId="1" applyNumberFormat="1" applyFont="1" applyBorder="1" applyAlignment="1">
      <alignment horizontal="center" vertical="center"/>
    </xf>
    <xf numFmtId="2" fontId="0" fillId="0" borderId="14" xfId="0" applyNumberFormat="1" applyBorder="1" applyAlignment="1">
      <alignment horizontal="center" vertical="center"/>
    </xf>
    <xf numFmtId="10" fontId="5" fillId="0" borderId="6" xfId="1" applyNumberFormat="1" applyFont="1" applyFill="1" applyBorder="1" applyAlignment="1">
      <alignment horizontal="center"/>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20" fillId="0" borderId="17" xfId="0" applyFont="1" applyBorder="1" applyAlignment="1">
      <alignment horizontal="center" vertical="center" wrapText="1"/>
    </xf>
    <xf numFmtId="10" fontId="22" fillId="0" borderId="14" xfId="1" applyNumberFormat="1" applyFont="1" applyBorder="1" applyAlignment="1">
      <alignment horizontal="center" vertical="center" wrapText="1"/>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0" fillId="0" borderId="12" xfId="0" applyBorder="1" applyAlignment="1">
      <alignment horizontal="center" vertical="center"/>
    </xf>
    <xf numFmtId="1" fontId="0" fillId="0" borderId="0" xfId="0" applyNumberFormat="1" applyBorder="1" applyAlignment="1">
      <alignment horizontal="center" vertical="center"/>
    </xf>
    <xf numFmtId="1" fontId="0" fillId="0" borderId="6" xfId="0" applyNumberFormat="1" applyBorder="1" applyAlignment="1">
      <alignment horizontal="center" vertical="center"/>
    </xf>
    <xf numFmtId="10" fontId="0" fillId="0" borderId="0" xfId="1" applyNumberFormat="1" applyFont="1" applyBorder="1" applyAlignment="1">
      <alignment horizontal="center" vertical="center"/>
    </xf>
    <xf numFmtId="10" fontId="0" fillId="0" borderId="6" xfId="1" applyNumberFormat="1" applyFont="1" applyBorder="1" applyAlignment="1">
      <alignment horizontal="center" vertical="center"/>
    </xf>
    <xf numFmtId="2" fontId="0" fillId="0" borderId="0" xfId="0" applyNumberFormat="1" applyBorder="1" applyAlignment="1">
      <alignment horizontal="center" vertical="center"/>
    </xf>
    <xf numFmtId="2" fontId="0" fillId="0" borderId="5" xfId="0" applyNumberFormat="1" applyBorder="1" applyAlignment="1">
      <alignment horizontal="center" vertical="center"/>
    </xf>
    <xf numFmtId="0" fontId="0" fillId="0" borderId="1" xfId="0" applyBorder="1" applyAlignment="1">
      <alignment horizontal="center" vertical="center"/>
    </xf>
    <xf numFmtId="0" fontId="0" fillId="0" borderId="0" xfId="0" quotePrefix="1" applyBorder="1" applyAlignment="1">
      <alignment horizontal="center" vertical="center"/>
    </xf>
    <xf numFmtId="0" fontId="3" fillId="0" borderId="12" xfId="0" applyFont="1" applyBorder="1" applyAlignment="1">
      <alignment horizontal="center" vertical="center"/>
    </xf>
    <xf numFmtId="0" fontId="2" fillId="0" borderId="1" xfId="0" applyFont="1" applyBorder="1" applyAlignment="1">
      <alignment horizontal="center" vertical="center"/>
    </xf>
    <xf numFmtId="0" fontId="2" fillId="0" borderId="12" xfId="0" applyFont="1" applyFill="1" applyBorder="1" applyAlignment="1">
      <alignment horizontal="center" vertical="center"/>
    </xf>
    <xf numFmtId="1" fontId="0" fillId="0" borderId="2" xfId="0" quotePrefix="1" applyNumberFormat="1" applyBorder="1" applyAlignment="1">
      <alignment horizontal="center" vertical="center"/>
    </xf>
    <xf numFmtId="2" fontId="0" fillId="0" borderId="2" xfId="0" quotePrefix="1" applyNumberFormat="1" applyBorder="1" applyAlignment="1">
      <alignment horizontal="center" vertical="center"/>
    </xf>
    <xf numFmtId="9" fontId="0" fillId="0" borderId="2" xfId="1" applyFont="1" applyBorder="1" applyAlignment="1">
      <alignment horizontal="center" vertical="center"/>
    </xf>
    <xf numFmtId="9" fontId="0" fillId="0" borderId="1" xfId="1" applyFont="1" applyBorder="1" applyAlignment="1">
      <alignment horizontal="center" vertical="center"/>
    </xf>
    <xf numFmtId="9" fontId="0" fillId="0" borderId="19" xfId="1" applyFont="1" applyBorder="1" applyAlignment="1">
      <alignment horizontal="center" vertical="center"/>
    </xf>
    <xf numFmtId="9" fontId="0" fillId="0" borderId="5" xfId="1" applyFont="1" applyBorder="1" applyAlignment="1">
      <alignment horizontal="center" vertical="center"/>
    </xf>
    <xf numFmtId="169" fontId="0" fillId="0" borderId="0" xfId="0" applyNumberFormat="1" applyBorder="1" applyAlignment="1">
      <alignment horizontal="center" vertical="center"/>
    </xf>
    <xf numFmtId="169" fontId="0" fillId="0" borderId="1" xfId="0" applyNumberFormat="1" applyBorder="1" applyAlignment="1">
      <alignment horizontal="center" vertical="center"/>
    </xf>
    <xf numFmtId="10" fontId="0" fillId="0" borderId="1" xfId="1" applyNumberFormat="1" applyFont="1" applyBorder="1" applyAlignment="1">
      <alignment horizontal="center" vertical="center"/>
    </xf>
    <xf numFmtId="9" fontId="0" fillId="0" borderId="6" xfId="1" applyFont="1" applyBorder="1" applyAlignment="1">
      <alignment horizontal="center" vertical="center"/>
    </xf>
    <xf numFmtId="169" fontId="0" fillId="0" borderId="6" xfId="0" applyNumberFormat="1" applyBorder="1" applyAlignment="1">
      <alignment horizontal="center" vertical="center"/>
    </xf>
    <xf numFmtId="9" fontId="0" fillId="0" borderId="4" xfId="1" applyFont="1" applyBorder="1" applyAlignment="1">
      <alignment horizontal="center" vertical="center"/>
    </xf>
    <xf numFmtId="10" fontId="4" fillId="0" borderId="0" xfId="1" applyNumberFormat="1" applyFont="1" applyBorder="1" applyAlignment="1">
      <alignment horizontal="center" vertical="center"/>
    </xf>
    <xf numFmtId="10" fontId="4" fillId="0" borderId="5" xfId="1" applyNumberFormat="1" applyFont="1" applyBorder="1" applyAlignment="1">
      <alignment horizontal="center" vertical="center"/>
    </xf>
    <xf numFmtId="10" fontId="4" fillId="0" borderId="6" xfId="1" applyNumberFormat="1" applyFont="1" applyBorder="1" applyAlignment="1">
      <alignment horizontal="center" vertical="center"/>
    </xf>
    <xf numFmtId="10" fontId="4" fillId="0" borderId="4" xfId="1" applyNumberFormat="1" applyFont="1" applyBorder="1" applyAlignment="1">
      <alignment horizontal="center" vertical="center"/>
    </xf>
    <xf numFmtId="165" fontId="0" fillId="0" borderId="14" xfId="1" applyNumberFormat="1" applyFont="1" applyFill="1" applyBorder="1" applyAlignment="1">
      <alignment horizontal="center"/>
    </xf>
    <xf numFmtId="0" fontId="2" fillId="0" borderId="8" xfId="0" applyFont="1" applyFill="1" applyBorder="1" applyAlignment="1">
      <alignment vertical="center"/>
    </xf>
    <xf numFmtId="0" fontId="2" fillId="0" borderId="9" xfId="0" applyFont="1" applyFill="1" applyBorder="1" applyAlignment="1">
      <alignment vertical="center"/>
    </xf>
    <xf numFmtId="0" fontId="0" fillId="0" borderId="6" xfId="0" applyFill="1" applyBorder="1" applyAlignment="1">
      <alignment horizontal="center"/>
    </xf>
    <xf numFmtId="1" fontId="0" fillId="0" borderId="6" xfId="0" applyNumberFormat="1" applyBorder="1" applyAlignment="1">
      <alignment horizontal="center"/>
    </xf>
    <xf numFmtId="1" fontId="0" fillId="0" borderId="0" xfId="0" applyNumberFormat="1"/>
    <xf numFmtId="0" fontId="2" fillId="0" borderId="12" xfId="0" applyFont="1" applyBorder="1" applyAlignment="1">
      <alignment horizontal="center"/>
    </xf>
    <xf numFmtId="0" fontId="0" fillId="0" borderId="12" xfId="0" applyFill="1" applyBorder="1" applyAlignment="1">
      <alignment horizontal="center" vertical="center"/>
    </xf>
    <xf numFmtId="0" fontId="0" fillId="0" borderId="13" xfId="0" applyFill="1" applyBorder="1" applyAlignment="1">
      <alignment horizontal="center" vertical="center"/>
    </xf>
    <xf numFmtId="1" fontId="0" fillId="0" borderId="4" xfId="0" applyNumberFormat="1" applyBorder="1" applyAlignment="1">
      <alignment horizontal="center" vertical="center"/>
    </xf>
    <xf numFmtId="0" fontId="26" fillId="2" borderId="3" xfId="0" applyFont="1" applyFill="1" applyBorder="1" applyAlignment="1">
      <alignment horizontal="center" vertical="center" wrapText="1"/>
    </xf>
    <xf numFmtId="0" fontId="27" fillId="0" borderId="4" xfId="0" applyFont="1" applyBorder="1" applyAlignment="1">
      <alignment horizontal="center" vertical="center" wrapText="1"/>
    </xf>
    <xf numFmtId="2" fontId="27" fillId="0" borderId="4" xfId="0" applyNumberFormat="1" applyFont="1" applyBorder="1" applyAlignment="1">
      <alignment horizontal="center" vertical="center" wrapText="1"/>
    </xf>
    <xf numFmtId="1" fontId="27" fillId="0" borderId="4" xfId="0" quotePrefix="1" applyNumberFormat="1" applyFont="1" applyBorder="1" applyAlignment="1">
      <alignment horizontal="center" vertical="center" wrapText="1"/>
    </xf>
    <xf numFmtId="2" fontId="0" fillId="0" borderId="15" xfId="0" applyNumberFormat="1" applyBorder="1" applyAlignment="1">
      <alignment horizontal="center" vertical="center"/>
    </xf>
    <xf numFmtId="0" fontId="2" fillId="0" borderId="6" xfId="0" applyFont="1" applyFill="1" applyBorder="1" applyAlignment="1">
      <alignment horizontal="center"/>
    </xf>
    <xf numFmtId="0" fontId="2" fillId="0" borderId="11" xfId="0" applyFont="1" applyBorder="1" applyAlignment="1">
      <alignment horizontal="center" vertical="center"/>
    </xf>
    <xf numFmtId="0" fontId="2" fillId="0" borderId="13" xfId="0" applyFont="1" applyBorder="1" applyAlignment="1">
      <alignment horizontal="center" vertical="center"/>
    </xf>
    <xf numFmtId="0" fontId="2" fillId="0" borderId="12" xfId="0" applyFont="1" applyBorder="1" applyAlignment="1">
      <alignment horizontal="center" vertical="center"/>
    </xf>
    <xf numFmtId="0" fontId="2" fillId="0" borderId="17" xfId="0" applyFont="1" applyBorder="1" applyAlignment="1">
      <alignment horizontal="center" vertical="center"/>
    </xf>
    <xf numFmtId="0" fontId="2" fillId="0" borderId="12" xfId="0" applyFont="1" applyBorder="1" applyAlignment="1">
      <alignment horizontal="center" vertical="center" wrapText="1"/>
    </xf>
    <xf numFmtId="0" fontId="0" fillId="0" borderId="14" xfId="0" applyBorder="1" applyAlignment="1">
      <alignment horizontal="center"/>
    </xf>
    <xf numFmtId="0" fontId="0" fillId="0" borderId="0" xfId="0" applyBorder="1" applyAlignment="1">
      <alignment horizontal="center"/>
    </xf>
    <xf numFmtId="0" fontId="2" fillId="0" borderId="3"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11" xfId="0" applyBorder="1" applyAlignment="1">
      <alignment horizontal="center" vertical="center"/>
    </xf>
    <xf numFmtId="0" fontId="0" fillId="0" borderId="14"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2" fontId="0" fillId="0" borderId="14" xfId="0" applyNumberFormat="1" applyBorder="1" applyAlignment="1">
      <alignment horizontal="center" vertical="center"/>
    </xf>
    <xf numFmtId="2" fontId="0" fillId="0" borderId="0" xfId="0" applyNumberFormat="1" applyBorder="1" applyAlignment="1">
      <alignment horizontal="center" vertical="center"/>
    </xf>
    <xf numFmtId="2" fontId="0" fillId="0" borderId="6" xfId="0" applyNumberFormat="1" applyBorder="1" applyAlignment="1">
      <alignment horizontal="center" vertical="center"/>
    </xf>
    <xf numFmtId="0" fontId="2" fillId="0" borderId="14" xfId="0" applyFont="1" applyFill="1" applyBorder="1" applyAlignment="1">
      <alignment horizontal="center" vertical="center" wrapText="1"/>
    </xf>
    <xf numFmtId="0" fontId="2" fillId="0" borderId="6" xfId="0" applyFont="1" applyFill="1" applyBorder="1" applyAlignment="1">
      <alignment horizontal="center" vertical="center" wrapText="1"/>
    </xf>
    <xf numFmtId="2" fontId="0" fillId="0" borderId="5" xfId="0" applyNumberFormat="1" applyBorder="1" applyAlignment="1">
      <alignment horizontal="center" vertical="center"/>
    </xf>
    <xf numFmtId="2" fontId="0" fillId="0" borderId="4" xfId="0" applyNumberFormat="1" applyBorder="1" applyAlignment="1">
      <alignment horizontal="center" vertical="center"/>
    </xf>
    <xf numFmtId="0" fontId="2" fillId="0" borderId="7"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4" xfId="0" applyFont="1" applyBorder="1" applyAlignment="1">
      <alignment horizontal="center" vertical="center"/>
    </xf>
    <xf numFmtId="0" fontId="2" fillId="0" borderId="12" xfId="0" quotePrefix="1" applyFont="1" applyBorder="1" applyAlignment="1">
      <alignment horizontal="center" vertical="center"/>
    </xf>
    <xf numFmtId="2" fontId="0" fillId="0" borderId="14" xfId="1" applyNumberFormat="1" applyFont="1" applyBorder="1" applyAlignment="1">
      <alignment horizontal="center" vertical="center"/>
    </xf>
    <xf numFmtId="2" fontId="0" fillId="0" borderId="0" xfId="1" applyNumberFormat="1" applyFont="1" applyBorder="1" applyAlignment="1">
      <alignment horizontal="center" vertical="center"/>
    </xf>
    <xf numFmtId="2" fontId="0" fillId="0" borderId="6" xfId="1" applyNumberFormat="1" applyFont="1" applyBorder="1" applyAlignment="1">
      <alignment horizontal="center" vertical="center"/>
    </xf>
    <xf numFmtId="0" fontId="2" fillId="0" borderId="12" xfId="0" applyFont="1" applyBorder="1" applyAlignment="1">
      <alignment horizontal="center" vertical="center"/>
    </xf>
    <xf numFmtId="0" fontId="2" fillId="0" borderId="17" xfId="0" applyFont="1" applyBorder="1" applyAlignment="1">
      <alignment horizontal="center"/>
    </xf>
    <xf numFmtId="0" fontId="2" fillId="0" borderId="13" xfId="0" applyFont="1" applyFill="1" applyBorder="1" applyAlignment="1">
      <alignment horizontal="center"/>
    </xf>
    <xf numFmtId="0" fontId="2" fillId="0" borderId="16" xfId="0" applyFont="1" applyFill="1" applyBorder="1" applyAlignment="1">
      <alignment horizontal="center"/>
    </xf>
    <xf numFmtId="0" fontId="2" fillId="0" borderId="17" xfId="0" applyFont="1" applyFill="1" applyBorder="1" applyAlignment="1">
      <alignment horizontal="center"/>
    </xf>
    <xf numFmtId="0" fontId="2" fillId="0" borderId="3" xfId="0" applyFont="1" applyFill="1" applyBorder="1" applyAlignment="1">
      <alignment horizontal="center"/>
    </xf>
    <xf numFmtId="0" fontId="2" fillId="0" borderId="11" xfId="0" applyFont="1" applyFill="1" applyBorder="1" applyAlignment="1">
      <alignment vertical="center" wrapText="1"/>
    </xf>
    <xf numFmtId="9" fontId="0" fillId="0" borderId="14" xfId="1" applyFont="1" applyBorder="1" applyAlignment="1">
      <alignment horizontal="center" vertical="center"/>
    </xf>
    <xf numFmtId="10" fontId="1" fillId="0" borderId="14" xfId="1" applyNumberFormat="1" applyFont="1" applyBorder="1" applyAlignment="1">
      <alignment horizontal="center" vertical="center"/>
    </xf>
    <xf numFmtId="10" fontId="1" fillId="0" borderId="0" xfId="1" applyNumberFormat="1" applyFont="1" applyBorder="1" applyAlignment="1">
      <alignment horizontal="center" vertical="center"/>
    </xf>
    <xf numFmtId="10" fontId="1" fillId="0" borderId="6" xfId="1" applyNumberFormat="1" applyFont="1" applyBorder="1" applyAlignment="1">
      <alignment horizontal="center" vertical="center"/>
    </xf>
    <xf numFmtId="0" fontId="2" fillId="0" borderId="0" xfId="0" applyFont="1" applyFill="1" applyBorder="1" applyAlignment="1"/>
    <xf numFmtId="0" fontId="0" fillId="0" borderId="17" xfId="0" applyFill="1" applyBorder="1" applyAlignment="1">
      <alignment horizontal="center"/>
    </xf>
    <xf numFmtId="2" fontId="0" fillId="0" borderId="17" xfId="0" applyNumberFormat="1" applyFill="1" applyBorder="1" applyAlignment="1">
      <alignment horizontal="center"/>
    </xf>
    <xf numFmtId="10" fontId="0" fillId="0" borderId="17" xfId="1" applyNumberFormat="1" applyFont="1" applyFill="1" applyBorder="1" applyAlignment="1">
      <alignment horizontal="center"/>
    </xf>
    <xf numFmtId="10" fontId="0" fillId="0" borderId="3" xfId="1" applyNumberFormat="1" applyFont="1" applyFill="1" applyBorder="1" applyAlignment="1">
      <alignment horizontal="center"/>
    </xf>
    <xf numFmtId="10" fontId="0" fillId="0" borderId="0" xfId="1" quotePrefix="1" applyNumberFormat="1" applyFont="1" applyFill="1" applyBorder="1" applyAlignment="1">
      <alignment horizontal="center"/>
    </xf>
    <xf numFmtId="0" fontId="20" fillId="0" borderId="6" xfId="0" applyFont="1" applyBorder="1" applyAlignment="1">
      <alignment horizontal="center" vertical="center"/>
    </xf>
    <xf numFmtId="0" fontId="25" fillId="0" borderId="0" xfId="0" applyFont="1" applyBorder="1" applyAlignment="1">
      <alignment horizontal="center" vertical="center" wrapText="1"/>
    </xf>
    <xf numFmtId="0" fontId="27" fillId="0" borderId="0" xfId="0" applyFont="1" applyBorder="1" applyAlignment="1">
      <alignment horizontal="center" vertical="center" wrapText="1"/>
    </xf>
    <xf numFmtId="2" fontId="27" fillId="0" borderId="0" xfId="0" applyNumberFormat="1" applyFont="1" applyBorder="1" applyAlignment="1">
      <alignment horizontal="center" vertical="center" wrapText="1"/>
    </xf>
    <xf numFmtId="0" fontId="25" fillId="0" borderId="0" xfId="0" applyFont="1" applyBorder="1" applyAlignment="1">
      <alignment vertical="center" wrapText="1"/>
    </xf>
    <xf numFmtId="0" fontId="2" fillId="0" borderId="0" xfId="0" applyFont="1" applyFill="1" applyBorder="1" applyAlignment="1">
      <alignment horizontal="center"/>
    </xf>
    <xf numFmtId="0" fontId="20" fillId="0" borderId="14" xfId="0" applyFont="1" applyBorder="1" applyAlignment="1">
      <alignment horizontal="center" vertical="center"/>
    </xf>
    <xf numFmtId="0" fontId="2" fillId="0" borderId="0" xfId="0" applyFont="1" applyFill="1" applyBorder="1" applyAlignment="1">
      <alignment vertical="center"/>
    </xf>
    <xf numFmtId="0" fontId="2" fillId="0" borderId="16" xfId="0" applyFont="1" applyFill="1" applyBorder="1" applyAlignment="1">
      <alignment vertical="center" wrapText="1"/>
    </xf>
    <xf numFmtId="1" fontId="0" fillId="0" borderId="17" xfId="0" applyNumberFormat="1" applyFill="1" applyBorder="1" applyAlignment="1">
      <alignment horizontal="center"/>
    </xf>
    <xf numFmtId="165" fontId="0" fillId="0" borderId="17" xfId="0" applyNumberFormat="1" applyFill="1" applyBorder="1" applyAlignment="1">
      <alignment horizontal="center"/>
    </xf>
    <xf numFmtId="10" fontId="0" fillId="0" borderId="0" xfId="1" applyNumberFormat="1" applyFont="1" applyFill="1" applyAlignment="1">
      <alignment horizontal="center"/>
    </xf>
    <xf numFmtId="9" fontId="0" fillId="0" borderId="7" xfId="1" applyNumberFormat="1" applyFont="1" applyFill="1" applyBorder="1" applyAlignment="1">
      <alignment horizontal="center"/>
    </xf>
    <xf numFmtId="9" fontId="0" fillId="0" borderId="3" xfId="1" applyNumberFormat="1" applyFont="1" applyFill="1" applyBorder="1" applyAlignment="1">
      <alignment horizontal="center"/>
    </xf>
    <xf numFmtId="0" fontId="2" fillId="0" borderId="4" xfId="0" applyFont="1" applyFill="1" applyBorder="1" applyAlignment="1">
      <alignment horizontal="center" vertical="center"/>
    </xf>
    <xf numFmtId="1" fontId="0" fillId="0" borderId="14" xfId="0" applyNumberFormat="1" applyBorder="1" applyAlignment="1">
      <alignment horizontal="center"/>
    </xf>
    <xf numFmtId="1" fontId="0" fillId="0" borderId="7" xfId="0" applyNumberFormat="1" applyBorder="1" applyAlignment="1">
      <alignment horizontal="center"/>
    </xf>
    <xf numFmtId="1" fontId="0" fillId="0" borderId="4" xfId="0" applyNumberFormat="1" applyBorder="1" applyAlignment="1">
      <alignment horizontal="center"/>
    </xf>
    <xf numFmtId="2" fontId="0" fillId="0" borderId="14" xfId="0" applyNumberFormat="1" applyBorder="1" applyAlignment="1">
      <alignment horizontal="center"/>
    </xf>
    <xf numFmtId="0" fontId="2" fillId="0" borderId="6" xfId="0" applyFont="1" applyBorder="1" applyAlignment="1">
      <alignment horizontal="center" vertical="center" wrapText="1"/>
    </xf>
    <xf numFmtId="0" fontId="2" fillId="0" borderId="0" xfId="0" quotePrefix="1" applyFont="1" applyBorder="1" applyAlignment="1">
      <alignment horizontal="center" wrapText="1"/>
    </xf>
    <xf numFmtId="2" fontId="0" fillId="0" borderId="0" xfId="0" applyNumberFormat="1" applyBorder="1" applyAlignment="1">
      <alignment horizontal="center"/>
    </xf>
    <xf numFmtId="2" fontId="0" fillId="0" borderId="6" xfId="0" applyNumberFormat="1" applyBorder="1" applyAlignment="1">
      <alignment horizontal="center"/>
    </xf>
    <xf numFmtId="10" fontId="0" fillId="0" borderId="4" xfId="1" applyNumberFormat="1" applyFont="1" applyFill="1" applyBorder="1" applyAlignment="1">
      <alignment horizontal="center"/>
    </xf>
    <xf numFmtId="0" fontId="2" fillId="0" borderId="14" xfId="0" quotePrefix="1" applyFont="1" applyBorder="1" applyAlignment="1">
      <alignment horizontal="center" wrapText="1"/>
    </xf>
    <xf numFmtId="0" fontId="2" fillId="0" borderId="11" xfId="0" quotePrefix="1" applyFont="1" applyBorder="1" applyAlignment="1">
      <alignment horizontal="center" wrapText="1"/>
    </xf>
    <xf numFmtId="10" fontId="0" fillId="0" borderId="14" xfId="0" applyNumberFormat="1" applyFill="1" applyBorder="1" applyAlignment="1">
      <alignment horizontal="center"/>
    </xf>
    <xf numFmtId="10" fontId="0" fillId="0" borderId="7" xfId="0" applyNumberFormat="1" applyFill="1" applyBorder="1" applyAlignment="1">
      <alignment horizontal="center"/>
    </xf>
    <xf numFmtId="0" fontId="2" fillId="0" borderId="12" xfId="0" quotePrefix="1" applyFont="1" applyBorder="1" applyAlignment="1">
      <alignment horizontal="center" wrapText="1"/>
    </xf>
    <xf numFmtId="10" fontId="0" fillId="0" borderId="0" xfId="0" applyNumberFormat="1" applyFill="1" applyBorder="1" applyAlignment="1">
      <alignment horizontal="center"/>
    </xf>
    <xf numFmtId="10" fontId="0" fillId="0" borderId="5" xfId="0" applyNumberFormat="1" applyFill="1" applyBorder="1" applyAlignment="1">
      <alignment horizontal="center"/>
    </xf>
    <xf numFmtId="10" fontId="0" fillId="0" borderId="6" xfId="0" applyNumberFormat="1" applyFill="1" applyBorder="1" applyAlignment="1">
      <alignment horizontal="center"/>
    </xf>
    <xf numFmtId="10" fontId="0" fillId="0" borderId="4" xfId="0" applyNumberFormat="1" applyFill="1" applyBorder="1" applyAlignment="1">
      <alignment horizontal="center"/>
    </xf>
    <xf numFmtId="0" fontId="2" fillId="0" borderId="0" xfId="0" applyFont="1" applyBorder="1" applyAlignment="1">
      <alignment horizontal="center" vertical="center" wrapText="1"/>
    </xf>
    <xf numFmtId="0" fontId="2" fillId="0" borderId="42"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0" xfId="0" applyFont="1" applyAlignment="1">
      <alignment horizontal="center" vertical="center" wrapText="1"/>
    </xf>
    <xf numFmtId="0" fontId="2" fillId="0" borderId="42" xfId="0" applyFont="1" applyBorder="1" applyAlignment="1">
      <alignment horizontal="center" vertical="center"/>
    </xf>
    <xf numFmtId="0" fontId="2" fillId="0" borderId="4" xfId="0" applyFont="1" applyBorder="1" applyAlignment="1">
      <alignment horizontal="center" vertical="center"/>
    </xf>
    <xf numFmtId="2" fontId="0" fillId="0" borderId="29" xfId="0" applyNumberFormat="1" applyBorder="1" applyAlignment="1">
      <alignment horizontal="center" vertical="center"/>
    </xf>
    <xf numFmtId="2" fontId="0" fillId="0" borderId="24" xfId="0" applyNumberFormat="1" applyBorder="1" applyAlignment="1">
      <alignment horizontal="center" vertical="center"/>
    </xf>
    <xf numFmtId="2" fontId="0" fillId="0" borderId="42" xfId="0" applyNumberFormat="1" applyBorder="1" applyAlignment="1">
      <alignment horizontal="center" vertical="center"/>
    </xf>
    <xf numFmtId="2" fontId="0" fillId="0" borderId="43" xfId="0" applyNumberFormat="1" applyBorder="1" applyAlignment="1">
      <alignment horizontal="center" vertical="center"/>
    </xf>
    <xf numFmtId="9" fontId="0" fillId="0" borderId="29" xfId="1" applyFont="1" applyBorder="1" applyAlignment="1">
      <alignment horizontal="center" vertical="center"/>
    </xf>
    <xf numFmtId="9" fontId="0" fillId="0" borderId="24" xfId="1" applyFont="1" applyBorder="1" applyAlignment="1">
      <alignment horizontal="center" vertical="center"/>
    </xf>
    <xf numFmtId="9" fontId="0" fillId="0" borderId="42" xfId="1" applyFont="1" applyBorder="1" applyAlignment="1">
      <alignment horizontal="center" vertical="center"/>
    </xf>
    <xf numFmtId="9" fontId="0" fillId="0" borderId="43" xfId="1" applyFont="1" applyBorder="1" applyAlignment="1">
      <alignment horizontal="center" vertical="center"/>
    </xf>
    <xf numFmtId="49" fontId="3" fillId="0" borderId="6" xfId="0" applyNumberFormat="1" applyFont="1" applyBorder="1" applyAlignment="1">
      <alignment horizontal="center" vertical="center"/>
    </xf>
    <xf numFmtId="9" fontId="0" fillId="0" borderId="6" xfId="0" applyNumberFormat="1" applyBorder="1" applyAlignment="1">
      <alignment horizontal="center" vertical="center"/>
    </xf>
    <xf numFmtId="9" fontId="0" fillId="0" borderId="0" xfId="0" applyNumberFormat="1" applyBorder="1" applyAlignment="1">
      <alignment horizontal="center" vertical="center"/>
    </xf>
    <xf numFmtId="49" fontId="3" fillId="0" borderId="0" xfId="0" applyNumberFormat="1" applyFont="1" applyBorder="1" applyAlignment="1">
      <alignment horizontal="center" vertical="center"/>
    </xf>
    <xf numFmtId="49" fontId="3" fillId="0" borderId="14" xfId="0" applyNumberFormat="1" applyFont="1" applyBorder="1" applyAlignment="1">
      <alignment horizontal="center" vertical="center"/>
    </xf>
    <xf numFmtId="9" fontId="0" fillId="0" borderId="14" xfId="0" applyNumberFormat="1" applyBorder="1" applyAlignment="1">
      <alignment horizontal="center" vertical="center"/>
    </xf>
    <xf numFmtId="2" fontId="0" fillId="0" borderId="6" xfId="0" applyNumberFormat="1" applyFill="1" applyBorder="1" applyAlignment="1">
      <alignment horizontal="center"/>
    </xf>
    <xf numFmtId="0" fontId="2" fillId="0" borderId="5" xfId="0" applyFont="1" applyBorder="1" applyAlignment="1">
      <alignment horizontal="center" vertical="center" wrapText="1"/>
    </xf>
    <xf numFmtId="0" fontId="2" fillId="0" borderId="25"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0" fillId="0" borderId="16" xfId="0" quotePrefix="1" applyBorder="1" applyAlignment="1">
      <alignment horizontal="center" vertical="center"/>
    </xf>
    <xf numFmtId="0" fontId="0" fillId="0" borderId="3" xfId="0"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0" fillId="0" borderId="11"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1" xfId="0" quotePrefix="1" applyFont="1" applyFill="1" applyBorder="1" applyAlignment="1">
      <alignment horizontal="center" vertical="center"/>
    </xf>
    <xf numFmtId="0" fontId="0" fillId="0" borderId="7" xfId="0" quotePrefix="1" applyFont="1" applyFill="1" applyBorder="1" applyAlignment="1">
      <alignment horizontal="center" vertical="center"/>
    </xf>
    <xf numFmtId="0" fontId="0" fillId="0" borderId="12" xfId="0" quotePrefix="1" applyFont="1" applyFill="1" applyBorder="1" applyAlignment="1">
      <alignment horizontal="center" vertical="center"/>
    </xf>
    <xf numFmtId="0" fontId="0" fillId="0" borderId="5" xfId="0" quotePrefix="1" applyFont="1" applyFill="1" applyBorder="1" applyAlignment="1">
      <alignment horizontal="center" vertical="center"/>
    </xf>
    <xf numFmtId="0" fontId="0" fillId="0" borderId="13" xfId="0" quotePrefix="1" applyFont="1" applyFill="1" applyBorder="1" applyAlignment="1">
      <alignment horizontal="center" vertical="center"/>
    </xf>
    <xf numFmtId="0" fontId="0" fillId="0" borderId="4" xfId="0" quotePrefix="1" applyFont="1" applyFill="1" applyBorder="1" applyAlignment="1">
      <alignment horizontal="center" vertical="center"/>
    </xf>
    <xf numFmtId="0" fontId="0" fillId="0" borderId="14" xfId="0" applyFont="1" applyBorder="1" applyAlignment="1">
      <alignment horizontal="center" vertical="center" wrapText="1"/>
    </xf>
    <xf numFmtId="0" fontId="0" fillId="0" borderId="7" xfId="0" applyFont="1" applyBorder="1" applyAlignment="1">
      <alignment horizontal="center" vertical="center" wrapText="1"/>
    </xf>
    <xf numFmtId="0" fontId="0" fillId="0" borderId="0" xfId="0"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4" xfId="0" applyFont="1" applyBorder="1" applyAlignment="1">
      <alignment horizontal="center" vertical="center" wrapText="1"/>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3" xfId="0" applyFont="1" applyFill="1" applyBorder="1" applyAlignment="1">
      <alignment horizontal="center" vertical="center"/>
    </xf>
    <xf numFmtId="0" fontId="0" fillId="0" borderId="8" xfId="0"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7" xfId="0" applyFont="1" applyFill="1" applyBorder="1" applyAlignment="1">
      <alignment horizontal="center" vertical="center"/>
    </xf>
    <xf numFmtId="0" fontId="0" fillId="0" borderId="12" xfId="0" applyBorder="1" applyAlignment="1">
      <alignment horizontal="center" vertical="center"/>
    </xf>
    <xf numFmtId="0" fontId="0" fillId="0" borderId="5"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1" xfId="0" applyBorder="1" applyAlignment="1">
      <alignment horizontal="center" vertical="center"/>
    </xf>
    <xf numFmtId="0" fontId="0" fillId="0" borderId="14"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0" fillId="0" borderId="13" xfId="0" applyBorder="1" applyAlignment="1">
      <alignment horizontal="center"/>
    </xf>
    <xf numFmtId="0" fontId="0" fillId="0" borderId="6" xfId="0" applyBorder="1" applyAlignment="1">
      <alignment horizontal="center"/>
    </xf>
    <xf numFmtId="0" fontId="0" fillId="0" borderId="4" xfId="0" applyBorder="1" applyAlignment="1">
      <alignment horizont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3" xfId="0" applyBorder="1" applyAlignment="1">
      <alignment horizontal="center"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0" fillId="0" borderId="13"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11" xfId="0" quotePrefix="1" applyFont="1" applyBorder="1" applyAlignment="1">
      <alignment horizontal="center" vertical="center"/>
    </xf>
    <xf numFmtId="0" fontId="0" fillId="0" borderId="7" xfId="0" quotePrefix="1" applyFont="1" applyBorder="1" applyAlignment="1">
      <alignment horizontal="center" vertical="center"/>
    </xf>
    <xf numFmtId="0" fontId="0" fillId="0" borderId="12" xfId="0" quotePrefix="1" applyFont="1" applyBorder="1" applyAlignment="1">
      <alignment horizontal="center" vertical="center"/>
    </xf>
    <xf numFmtId="0" fontId="0" fillId="0" borderId="5" xfId="0" quotePrefix="1" applyFont="1" applyBorder="1" applyAlignment="1">
      <alignment horizontal="center" vertical="center"/>
    </xf>
    <xf numFmtId="0" fontId="0" fillId="0" borderId="13" xfId="0" quotePrefix="1" applyFont="1" applyBorder="1" applyAlignment="1">
      <alignment horizontal="center" vertical="center"/>
    </xf>
    <xf numFmtId="0" fontId="0" fillId="0" borderId="4" xfId="0" quotePrefix="1" applyFont="1" applyBorder="1" applyAlignment="1">
      <alignment horizontal="center" vertical="center"/>
    </xf>
    <xf numFmtId="0" fontId="0" fillId="0" borderId="9" xfId="0" applyFont="1" applyFill="1" applyBorder="1" applyAlignment="1">
      <alignment horizontal="center" vertical="center" wrapText="1"/>
    </xf>
    <xf numFmtId="0" fontId="0" fillId="0" borderId="16" xfId="0" quotePrefix="1" applyFont="1" applyFill="1" applyBorder="1" applyAlignment="1">
      <alignment horizontal="center"/>
    </xf>
    <xf numFmtId="0" fontId="0" fillId="0" borderId="3" xfId="0" applyFont="1" applyFill="1" applyBorder="1" applyAlignment="1">
      <alignment horizontal="center"/>
    </xf>
    <xf numFmtId="0" fontId="0" fillId="0" borderId="17" xfId="0" applyFont="1" applyFill="1" applyBorder="1" applyAlignment="1">
      <alignment horizontal="center" vertical="center"/>
    </xf>
    <xf numFmtId="0" fontId="0" fillId="0" borderId="3" xfId="0" applyFont="1" applyFill="1" applyBorder="1" applyAlignment="1">
      <alignment horizontal="center" vertical="center"/>
    </xf>
    <xf numFmtId="0" fontId="0" fillId="0" borderId="0"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2" fillId="0" borderId="11" xfId="0" applyFont="1" applyFill="1" applyBorder="1" applyAlignment="1">
      <alignment horizontal="center"/>
    </xf>
    <xf numFmtId="0" fontId="2" fillId="0" borderId="12" xfId="0" applyFont="1" applyFill="1" applyBorder="1" applyAlignment="1">
      <alignment horizontal="center"/>
    </xf>
    <xf numFmtId="0" fontId="2" fillId="0" borderId="14" xfId="0" applyFont="1" applyFill="1" applyBorder="1" applyAlignment="1">
      <alignment horizontal="center" vertical="center"/>
    </xf>
    <xf numFmtId="0" fontId="2" fillId="0" borderId="0" xfId="0" applyFont="1" applyFill="1" applyBorder="1" applyAlignment="1">
      <alignment horizontal="center" vertical="center"/>
    </xf>
    <xf numFmtId="0" fontId="0" fillId="0" borderId="14" xfId="0" quotePrefix="1" applyFont="1" applyFill="1" applyBorder="1" applyAlignment="1">
      <alignment horizontal="center" vertical="center"/>
    </xf>
    <xf numFmtId="0" fontId="0" fillId="0" borderId="14"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9" xfId="0" applyFont="1" applyFill="1" applyBorder="1" applyAlignment="1">
      <alignment horizontal="center" vertical="center"/>
    </xf>
    <xf numFmtId="0" fontId="2" fillId="0" borderId="16" xfId="0" applyFont="1" applyBorder="1" applyAlignment="1">
      <alignment horizontal="center"/>
    </xf>
    <xf numFmtId="0" fontId="2" fillId="0" borderId="17" xfId="0" applyFont="1" applyBorder="1" applyAlignment="1">
      <alignment horizontal="center"/>
    </xf>
    <xf numFmtId="0" fontId="2" fillId="0" borderId="3" xfId="0" applyFont="1" applyBorder="1" applyAlignment="1">
      <alignment horizont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3" xfId="0" applyFont="1" applyBorder="1" applyAlignment="1">
      <alignment horizontal="center" vertical="center" wrapText="1"/>
    </xf>
    <xf numFmtId="0" fontId="0" fillId="0" borderId="11" xfId="0" applyBorder="1" applyAlignment="1">
      <alignment horizontal="center"/>
    </xf>
    <xf numFmtId="0" fontId="0" fillId="0" borderId="14" xfId="0" applyBorder="1" applyAlignment="1">
      <alignment horizontal="center"/>
    </xf>
    <xf numFmtId="0" fontId="0" fillId="0" borderId="7" xfId="0" applyBorder="1" applyAlignment="1">
      <alignment horizontal="center"/>
    </xf>
    <xf numFmtId="0" fontId="0" fillId="0" borderId="12"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0" fillId="0" borderId="12" xfId="0" applyFont="1" applyBorder="1" applyAlignment="1">
      <alignment horizontal="center"/>
    </xf>
    <xf numFmtId="0" fontId="0" fillId="0" borderId="0" xfId="0" applyFont="1" applyBorder="1" applyAlignment="1">
      <alignment horizontal="center"/>
    </xf>
    <xf numFmtId="0" fontId="0" fillId="0" borderId="5" xfId="0" applyFont="1" applyBorder="1" applyAlignment="1">
      <alignment horizontal="center"/>
    </xf>
    <xf numFmtId="0" fontId="2" fillId="0" borderId="3" xfId="0" applyFont="1" applyBorder="1" applyAlignment="1">
      <alignment horizontal="center" vertical="center"/>
    </xf>
    <xf numFmtId="0" fontId="0" fillId="0" borderId="12" xfId="0" applyFont="1" applyBorder="1" applyAlignment="1">
      <alignment horizontal="center" vertical="center"/>
    </xf>
    <xf numFmtId="0" fontId="0" fillId="0" borderId="0" xfId="0" applyFont="1" applyBorder="1" applyAlignment="1">
      <alignment horizontal="center" vertical="center"/>
    </xf>
    <xf numFmtId="0" fontId="0" fillId="0" borderId="13" xfId="0" applyFont="1" applyBorder="1" applyAlignment="1">
      <alignment horizontal="center" vertical="center"/>
    </xf>
    <xf numFmtId="0" fontId="0" fillId="0" borderId="6" xfId="0" applyFont="1" applyBorder="1" applyAlignment="1">
      <alignment horizontal="center" vertical="center"/>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10" xfId="0" applyFont="1" applyFill="1" applyBorder="1" applyAlignment="1">
      <alignment horizontal="center" vertical="center" wrapText="1"/>
    </xf>
    <xf numFmtId="0" fontId="0" fillId="0" borderId="12"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4" xfId="0" applyFont="1" applyFill="1" applyBorder="1" applyAlignment="1">
      <alignment horizontal="center"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0" fillId="0" borderId="14" xfId="0" applyBorder="1" applyAlignment="1">
      <alignment horizontal="center" vertical="center" wrapText="1"/>
    </xf>
    <xf numFmtId="0" fontId="0" fillId="0" borderId="7" xfId="0" applyBorder="1" applyAlignment="1">
      <alignment horizontal="center" vertical="center" wrapText="1"/>
    </xf>
    <xf numFmtId="0" fontId="0" fillId="0" borderId="0"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horizontal="center" vertical="center" wrapText="1"/>
    </xf>
    <xf numFmtId="0" fontId="0" fillId="0" borderId="6" xfId="0" applyFont="1" applyFill="1" applyBorder="1" applyAlignment="1">
      <alignment horizontal="center" vertical="center"/>
    </xf>
    <xf numFmtId="0" fontId="0" fillId="0" borderId="4" xfId="0" applyFont="1" applyBorder="1" applyAlignment="1">
      <alignment horizontal="center" vertical="center"/>
    </xf>
    <xf numFmtId="0" fontId="0" fillId="0" borderId="14" xfId="0" applyFont="1" applyBorder="1" applyAlignment="1">
      <alignment horizontal="center" vertical="top" wrapText="1"/>
    </xf>
    <xf numFmtId="0" fontId="0" fillId="0" borderId="7" xfId="0" applyFont="1" applyBorder="1" applyAlignment="1">
      <alignment horizontal="center" vertical="top" wrapText="1"/>
    </xf>
    <xf numFmtId="0" fontId="0" fillId="0" borderId="0" xfId="0" applyFont="1" applyBorder="1" applyAlignment="1">
      <alignment horizontal="center" vertical="top" wrapText="1"/>
    </xf>
    <xf numFmtId="0" fontId="0" fillId="0" borderId="5" xfId="0" applyFont="1" applyBorder="1" applyAlignment="1">
      <alignment horizontal="center" vertical="top"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0" fillId="0" borderId="11" xfId="0" quotePrefix="1" applyBorder="1" applyAlignment="1">
      <alignment horizontal="center" vertical="center"/>
    </xf>
    <xf numFmtId="0" fontId="0" fillId="0" borderId="7" xfId="0" quotePrefix="1" applyBorder="1" applyAlignment="1">
      <alignment horizontal="center" vertical="center"/>
    </xf>
    <xf numFmtId="0" fontId="0" fillId="0" borderId="12" xfId="0" quotePrefix="1" applyBorder="1" applyAlignment="1">
      <alignment horizontal="center" vertical="center"/>
    </xf>
    <xf numFmtId="0" fontId="0" fillId="0" borderId="5" xfId="0" quotePrefix="1" applyBorder="1" applyAlignment="1">
      <alignment horizontal="center" vertical="center"/>
    </xf>
    <xf numFmtId="0" fontId="0" fillId="0" borderId="13" xfId="0" quotePrefix="1" applyBorder="1" applyAlignment="1">
      <alignment horizontal="center" vertical="center"/>
    </xf>
    <xf numFmtId="0" fontId="0" fillId="0" borderId="4" xfId="0" quotePrefix="1" applyBorder="1" applyAlignment="1">
      <alignment horizontal="center" vertical="center"/>
    </xf>
    <xf numFmtId="0" fontId="0" fillId="0" borderId="11" xfId="0" quotePrefix="1" applyFont="1" applyFill="1" applyBorder="1" applyAlignment="1">
      <alignment horizontal="center" vertical="center" wrapText="1"/>
    </xf>
    <xf numFmtId="0" fontId="0" fillId="0" borderId="11" xfId="0" applyFont="1" applyBorder="1" applyAlignment="1">
      <alignment horizontal="center" vertical="center"/>
    </xf>
    <xf numFmtId="0" fontId="0" fillId="0" borderId="7" xfId="0" applyFont="1" applyBorder="1" applyAlignment="1">
      <alignment horizontal="center" vertical="center"/>
    </xf>
    <xf numFmtId="0" fontId="0" fillId="0" borderId="5" xfId="0" applyFont="1" applyBorder="1" applyAlignment="1">
      <alignment horizontal="center" vertical="center"/>
    </xf>
    <xf numFmtId="0" fontId="0" fillId="0" borderId="14" xfId="0" applyFont="1" applyBorder="1" applyAlignment="1">
      <alignment horizontal="center" vertical="center"/>
    </xf>
    <xf numFmtId="0" fontId="0" fillId="0" borderId="11" xfId="0" quotePrefix="1" applyFont="1" applyBorder="1" applyAlignment="1">
      <alignment horizontal="center" vertical="center" wrapText="1"/>
    </xf>
    <xf numFmtId="0" fontId="0" fillId="0" borderId="7" xfId="0" quotePrefix="1" applyFont="1" applyBorder="1" applyAlignment="1">
      <alignment horizontal="center" vertical="center" wrapText="1"/>
    </xf>
    <xf numFmtId="0" fontId="0" fillId="0" borderId="13" xfId="0" quotePrefix="1" applyFont="1" applyBorder="1" applyAlignment="1">
      <alignment horizontal="center" vertical="center" wrapText="1"/>
    </xf>
    <xf numFmtId="0" fontId="0" fillId="0" borderId="4" xfId="0" quotePrefix="1" applyFont="1" applyBorder="1" applyAlignment="1">
      <alignment horizontal="center" vertical="center" wrapText="1"/>
    </xf>
    <xf numFmtId="0" fontId="0" fillId="0" borderId="10" xfId="0" applyFont="1" applyFill="1" applyBorder="1" applyAlignment="1">
      <alignment horizontal="center" vertical="center"/>
    </xf>
    <xf numFmtId="0" fontId="0" fillId="0" borderId="11" xfId="0" applyFont="1" applyFill="1" applyBorder="1" applyAlignment="1">
      <alignment horizontal="center" vertical="center"/>
    </xf>
    <xf numFmtId="0" fontId="2" fillId="0" borderId="13" xfId="0" applyFont="1" applyFill="1" applyBorder="1" applyAlignment="1">
      <alignment horizontal="center"/>
    </xf>
    <xf numFmtId="0" fontId="0" fillId="0" borderId="6" xfId="0" quotePrefix="1" applyFont="1" applyFill="1" applyBorder="1" applyAlignment="1">
      <alignment horizontal="center" vertical="center"/>
    </xf>
    <xf numFmtId="0" fontId="0" fillId="0" borderId="0" xfId="0" quotePrefix="1" applyFont="1" applyFill="1" applyBorder="1" applyAlignment="1">
      <alignment horizontal="center" vertical="center"/>
    </xf>
    <xf numFmtId="0" fontId="2" fillId="0" borderId="6" xfId="0" quotePrefix="1" applyFont="1" applyFill="1" applyBorder="1" applyAlignment="1">
      <alignment horizontal="center"/>
    </xf>
    <xf numFmtId="0" fontId="2" fillId="0" borderId="6" xfId="0" applyFont="1" applyFill="1" applyBorder="1" applyAlignment="1">
      <alignment horizontal="center"/>
    </xf>
    <xf numFmtId="0" fontId="0" fillId="3" borderId="13" xfId="0" applyFill="1" applyBorder="1" applyAlignment="1">
      <alignment horizontal="center"/>
    </xf>
    <xf numFmtId="0" fontId="0" fillId="3" borderId="6" xfId="0" applyFill="1" applyBorder="1" applyAlignment="1">
      <alignment horizontal="center"/>
    </xf>
    <xf numFmtId="0" fontId="0" fillId="3" borderId="4" xfId="0" applyFill="1" applyBorder="1" applyAlignment="1">
      <alignment horizontal="center"/>
    </xf>
    <xf numFmtId="0" fontId="2" fillId="3" borderId="16" xfId="0" applyFont="1" applyFill="1" applyBorder="1" applyAlignment="1">
      <alignment horizontal="center"/>
    </xf>
    <xf numFmtId="0" fontId="2" fillId="3" borderId="17" xfId="0" applyFont="1" applyFill="1" applyBorder="1" applyAlignment="1">
      <alignment horizontal="center"/>
    </xf>
    <xf numFmtId="0" fontId="2" fillId="3" borderId="3" xfId="0" applyFont="1" applyFill="1" applyBorder="1" applyAlignment="1">
      <alignment horizontal="center"/>
    </xf>
    <xf numFmtId="1" fontId="0" fillId="0" borderId="14" xfId="0" applyNumberFormat="1" applyBorder="1" applyAlignment="1">
      <alignment horizontal="center" vertical="center"/>
    </xf>
    <xf numFmtId="1" fontId="0" fillId="0" borderId="0" xfId="0" applyNumberFormat="1" applyBorder="1" applyAlignment="1">
      <alignment horizontal="center" vertical="center"/>
    </xf>
    <xf numFmtId="1" fontId="0" fillId="0" borderId="6" xfId="0" applyNumberFormat="1" applyBorder="1" applyAlignment="1">
      <alignment horizontal="center" vertical="center"/>
    </xf>
    <xf numFmtId="10" fontId="0" fillId="0" borderId="14" xfId="1" applyNumberFormat="1" applyFont="1" applyBorder="1" applyAlignment="1">
      <alignment horizontal="center" vertical="center"/>
    </xf>
    <xf numFmtId="10" fontId="0" fillId="0" borderId="0" xfId="1" applyNumberFormat="1" applyFont="1" applyBorder="1" applyAlignment="1">
      <alignment horizontal="center" vertical="center"/>
    </xf>
    <xf numFmtId="10" fontId="0" fillId="0" borderId="6" xfId="1" applyNumberFormat="1" applyFont="1" applyBorder="1" applyAlignment="1">
      <alignment horizontal="center" vertical="center"/>
    </xf>
    <xf numFmtId="0" fontId="2" fillId="3" borderId="11"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7" xfId="0" applyFont="1" applyFill="1" applyBorder="1" applyAlignment="1">
      <alignment horizontal="center" vertical="center"/>
    </xf>
    <xf numFmtId="2" fontId="0" fillId="0" borderId="14" xfId="0" applyNumberFormat="1" applyBorder="1" applyAlignment="1">
      <alignment horizontal="center" vertical="center"/>
    </xf>
    <xf numFmtId="2" fontId="0" fillId="0" borderId="0" xfId="0" applyNumberFormat="1" applyBorder="1" applyAlignment="1">
      <alignment horizontal="center" vertical="center"/>
    </xf>
    <xf numFmtId="2" fontId="0" fillId="0" borderId="6" xfId="0" applyNumberFormat="1" applyBorder="1" applyAlignment="1">
      <alignment horizontal="center" vertical="center"/>
    </xf>
    <xf numFmtId="2" fontId="0" fillId="0" borderId="5" xfId="0" applyNumberFormat="1" applyBorder="1" applyAlignment="1">
      <alignment horizontal="center" vertical="center"/>
    </xf>
    <xf numFmtId="2" fontId="0" fillId="0" borderId="4" xfId="0" applyNumberFormat="1" applyBorder="1" applyAlignment="1">
      <alignment horizontal="center" vertical="center"/>
    </xf>
    <xf numFmtId="2" fontId="0" fillId="0" borderId="7" xfId="0" applyNumberFormat="1" applyBorder="1" applyAlignment="1">
      <alignment horizontal="center" vertical="center"/>
    </xf>
    <xf numFmtId="0" fontId="13" fillId="0" borderId="11" xfId="0" applyFont="1" applyBorder="1" applyAlignment="1">
      <alignment horizontal="center" vertical="center" wrapText="1"/>
    </xf>
    <xf numFmtId="0" fontId="13" fillId="0" borderId="13" xfId="0" applyFont="1" applyBorder="1" applyAlignment="1">
      <alignment horizontal="center" vertical="center" wrapText="1"/>
    </xf>
    <xf numFmtId="0" fontId="2" fillId="0" borderId="4" xfId="0" applyFont="1" applyBorder="1" applyAlignment="1">
      <alignment horizontal="center" vertical="center"/>
    </xf>
    <xf numFmtId="0" fontId="2" fillId="0" borderId="0" xfId="0" applyFont="1" applyBorder="1" applyAlignment="1">
      <alignment horizontal="center" vertical="center" wrapText="1"/>
    </xf>
    <xf numFmtId="0" fontId="25" fillId="2" borderId="16" xfId="0" applyFont="1" applyFill="1" applyBorder="1" applyAlignment="1">
      <alignment horizontal="center" vertical="center" wrapText="1"/>
    </xf>
    <xf numFmtId="0" fontId="25" fillId="2" borderId="3" xfId="0" applyFont="1" applyFill="1" applyBorder="1" applyAlignment="1">
      <alignment horizontal="center" vertical="center" wrapText="1"/>
    </xf>
    <xf numFmtId="0" fontId="0" fillId="0" borderId="25" xfId="0" applyFill="1" applyBorder="1" applyAlignment="1">
      <alignment horizontal="center"/>
    </xf>
    <xf numFmtId="0" fontId="0" fillId="0" borderId="33" xfId="0" applyFill="1" applyBorder="1" applyAlignment="1">
      <alignment horizontal="center"/>
    </xf>
    <xf numFmtId="0" fontId="25" fillId="0" borderId="16" xfId="0" applyFont="1" applyBorder="1" applyAlignment="1">
      <alignment horizontal="center" vertical="center" wrapText="1"/>
    </xf>
    <xf numFmtId="0" fontId="25" fillId="0" borderId="3" xfId="0" applyFont="1" applyBorder="1" applyAlignment="1">
      <alignment horizontal="center" vertical="center" wrapText="1"/>
    </xf>
    <xf numFmtId="0" fontId="2" fillId="0" borderId="11" xfId="0" applyFont="1" applyBorder="1" applyAlignment="1">
      <alignment horizontal="center" vertical="center" wrapText="1"/>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3" xfId="0" applyFont="1" applyFill="1" applyBorder="1" applyAlignment="1">
      <alignment horizontal="center" vertical="center"/>
    </xf>
    <xf numFmtId="0" fontId="2" fillId="0" borderId="16" xfId="0" applyFont="1" applyFill="1" applyBorder="1" applyAlignment="1">
      <alignment horizontal="center"/>
    </xf>
    <xf numFmtId="0" fontId="2" fillId="0" borderId="17" xfId="0" applyFont="1" applyFill="1" applyBorder="1" applyAlignment="1">
      <alignment horizontal="center"/>
    </xf>
    <xf numFmtId="0" fontId="2" fillId="0" borderId="3" xfId="0" applyFont="1" applyFill="1" applyBorder="1" applyAlignment="1">
      <alignment horizontal="center"/>
    </xf>
    <xf numFmtId="0" fontId="2" fillId="0" borderId="44" xfId="0" applyFont="1" applyBorder="1" applyAlignment="1">
      <alignment horizontal="center" vertical="center"/>
    </xf>
    <xf numFmtId="0" fontId="2" fillId="0" borderId="26" xfId="0" applyFont="1" applyBorder="1" applyAlignment="1">
      <alignment horizontal="center" vertical="center"/>
    </xf>
    <xf numFmtId="0" fontId="2" fillId="0" borderId="40" xfId="0" quotePrefix="1" applyFont="1" applyBorder="1" applyAlignment="1">
      <alignment horizontal="center" vertical="center"/>
    </xf>
    <xf numFmtId="0" fontId="2" fillId="0" borderId="14" xfId="0" quotePrefix="1" applyFont="1" applyBorder="1" applyAlignment="1">
      <alignment horizontal="center" vertical="center"/>
    </xf>
    <xf numFmtId="0" fontId="2" fillId="0" borderId="41" xfId="0" quotePrefix="1" applyFont="1" applyBorder="1" applyAlignment="1">
      <alignment horizontal="center" vertical="center"/>
    </xf>
    <xf numFmtId="0" fontId="2" fillId="0" borderId="40" xfId="0" applyFont="1" applyBorder="1" applyAlignment="1">
      <alignment horizontal="center" vertical="center"/>
    </xf>
    <xf numFmtId="0" fontId="2" fillId="0" borderId="14" xfId="0" applyFont="1" applyBorder="1" applyAlignment="1">
      <alignment horizontal="center" vertical="center"/>
    </xf>
    <xf numFmtId="0" fontId="2" fillId="0" borderId="7" xfId="0" applyFont="1" applyBorder="1" applyAlignment="1">
      <alignment horizontal="center" vertical="center"/>
    </xf>
    <xf numFmtId="0" fontId="3" fillId="0" borderId="25" xfId="0" applyNumberFormat="1" applyFont="1" applyFill="1" applyBorder="1" applyAlignment="1" applyProtection="1">
      <alignment horizontal="center"/>
    </xf>
    <xf numFmtId="0" fontId="3" fillId="0" borderId="26" xfId="0" applyNumberFormat="1" applyFont="1" applyFill="1" applyBorder="1" applyAlignment="1" applyProtection="1">
      <alignment horizontal="center"/>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6" fillId="0" borderId="11" xfId="0" applyFont="1" applyBorder="1" applyAlignment="1">
      <alignment horizontal="center" vertical="center"/>
    </xf>
    <xf numFmtId="0" fontId="6" fillId="0" borderId="14" xfId="0" applyFont="1" applyBorder="1" applyAlignment="1">
      <alignment horizontal="center" vertical="center"/>
    </xf>
    <xf numFmtId="0" fontId="6" fillId="0" borderId="7" xfId="0" applyFont="1" applyBorder="1" applyAlignment="1">
      <alignment horizontal="center" vertical="center"/>
    </xf>
    <xf numFmtId="0" fontId="2" fillId="0" borderId="12" xfId="0" quotePrefix="1" applyFont="1" applyBorder="1" applyAlignment="1">
      <alignment horizontal="center" vertical="center"/>
    </xf>
    <xf numFmtId="0" fontId="2" fillId="0" borderId="18" xfId="0" quotePrefix="1" applyFont="1" applyBorder="1" applyAlignment="1">
      <alignment horizontal="center" vertical="center"/>
    </xf>
    <xf numFmtId="0" fontId="2" fillId="0" borderId="39" xfId="0" applyFont="1" applyBorder="1" applyAlignment="1">
      <alignment horizontal="center" vertical="center"/>
    </xf>
    <xf numFmtId="0" fontId="2" fillId="0" borderId="1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6"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7" xfId="0" quotePrefix="1" applyFont="1" applyBorder="1" applyAlignment="1">
      <alignment horizontal="center" vertical="center"/>
    </xf>
    <xf numFmtId="0" fontId="3" fillId="0" borderId="14" xfId="0" applyFont="1" applyBorder="1" applyAlignment="1">
      <alignment horizontal="center" vertical="center"/>
    </xf>
    <xf numFmtId="0" fontId="3" fillId="0" borderId="7" xfId="0" applyFont="1" applyBorder="1" applyAlignment="1">
      <alignment horizontal="center" vertical="center"/>
    </xf>
    <xf numFmtId="0" fontId="2" fillId="0" borderId="7"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39" xfId="0" applyFont="1" applyBorder="1" applyAlignment="1">
      <alignment horizontal="center"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2" fillId="0" borderId="1" xfId="0" applyFont="1" applyBorder="1" applyAlignment="1">
      <alignment horizontal="center" vertical="center"/>
    </xf>
  </cellXfs>
  <cellStyles count="3">
    <cellStyle name="Normal" xfId="0" builtinId="0"/>
    <cellStyle name="Normal 2" xfId="2" xr:uid="{11E51227-1373-2E4B-97BB-7A443842548B}"/>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896062992125984"/>
          <c:y val="5.1162790697674418E-2"/>
          <c:w val="0.79798381452318456"/>
          <c:h val="0.79589928584508329"/>
        </c:manualLayout>
      </c:layout>
      <c:scatterChart>
        <c:scatterStyle val="lineMarker"/>
        <c:varyColors val="0"/>
        <c:ser>
          <c:idx val="0"/>
          <c:order val="0"/>
          <c:spPr>
            <a:ln w="19050" cap="rnd">
              <a:noFill/>
              <a:round/>
            </a:ln>
            <a:effectLst/>
          </c:spPr>
          <c:marker>
            <c:symbol val="diamond"/>
            <c:size val="10"/>
            <c:spPr>
              <a:solidFill>
                <a:schemeClr val="accent1"/>
              </a:solidFill>
              <a:ln w="9525">
                <a:solidFill>
                  <a:schemeClr val="accent1"/>
                </a:solidFill>
              </a:ln>
              <a:effectLst/>
            </c:spPr>
          </c:marker>
          <c:trendline>
            <c:spPr>
              <a:ln w="19050" cap="rnd">
                <a:solidFill>
                  <a:schemeClr val="accent1"/>
                </a:solidFill>
                <a:prstDash val="dash"/>
              </a:ln>
              <a:effectLst/>
            </c:spPr>
            <c:trendlineType val="power"/>
            <c:dispRSqr val="0"/>
            <c:dispEq val="0"/>
          </c:trendline>
          <c:xVal>
            <c:numRef>
              <c:f>'2. Error Calculation'!$A$5:$A$10</c:f>
              <c:numCache>
                <c:formatCode>General</c:formatCode>
                <c:ptCount val="6"/>
                <c:pt idx="0">
                  <c:v>0.1</c:v>
                </c:pt>
                <c:pt idx="1">
                  <c:v>0.5</c:v>
                </c:pt>
                <c:pt idx="2">
                  <c:v>1</c:v>
                </c:pt>
                <c:pt idx="3">
                  <c:v>2.5</c:v>
                </c:pt>
                <c:pt idx="4">
                  <c:v>5</c:v>
                </c:pt>
                <c:pt idx="5">
                  <c:v>10</c:v>
                </c:pt>
              </c:numCache>
            </c:numRef>
          </c:xVal>
          <c:yVal>
            <c:numRef>
              <c:f>'2. Error Calculation'!$B$5:$B$10</c:f>
              <c:numCache>
                <c:formatCode>0.00</c:formatCode>
                <c:ptCount val="6"/>
                <c:pt idx="0">
                  <c:v>0.12500000000000008</c:v>
                </c:pt>
                <c:pt idx="1">
                  <c:v>15.625000000000004</c:v>
                </c:pt>
                <c:pt idx="2" formatCode="0">
                  <c:v>125.00000000000003</c:v>
                </c:pt>
                <c:pt idx="3" formatCode="0">
                  <c:v>1953.125</c:v>
                </c:pt>
                <c:pt idx="4" formatCode="0">
                  <c:v>15625</c:v>
                </c:pt>
                <c:pt idx="5" formatCode="0">
                  <c:v>125000</c:v>
                </c:pt>
              </c:numCache>
            </c:numRef>
          </c:yVal>
          <c:smooth val="0"/>
          <c:extLst>
            <c:ext xmlns:c16="http://schemas.microsoft.com/office/drawing/2014/chart" uri="{C3380CC4-5D6E-409C-BE32-E72D297353CC}">
              <c16:uniqueId val="{00000000-0D3F-BA44-A471-FBD975D5062B}"/>
            </c:ext>
          </c:extLst>
        </c:ser>
        <c:dLbls>
          <c:showLegendKey val="0"/>
          <c:showVal val="0"/>
          <c:showCatName val="0"/>
          <c:showSerName val="0"/>
          <c:showPercent val="0"/>
          <c:showBubbleSize val="0"/>
        </c:dLbls>
        <c:axId val="1131585168"/>
        <c:axId val="1131589824"/>
      </c:scatterChart>
      <c:valAx>
        <c:axId val="1131585168"/>
        <c:scaling>
          <c:logBase val="10"/>
          <c:orientation val="minMax"/>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6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GB"/>
                  <a:t>Particle top size (or d</a:t>
                </a:r>
                <a:r>
                  <a:rPr lang="en-GB" baseline="-25000"/>
                  <a:t>95</a:t>
                </a:r>
                <a:r>
                  <a:rPr lang="en-GB"/>
                  <a:t>) (mm)</a:t>
                </a:r>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crossAx val="1131589824"/>
        <c:crosses val="autoZero"/>
        <c:crossBetween val="midCat"/>
      </c:valAx>
      <c:valAx>
        <c:axId val="1131589824"/>
        <c:scaling>
          <c:logBase val="10"/>
          <c:orientation val="minMax"/>
          <c:max val="1000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GB"/>
                  <a:t>Minimum sub-sample mass (g) </a:t>
                </a:r>
              </a:p>
            </c:rich>
          </c:tx>
          <c:layout>
            <c:manualLayout>
              <c:xMode val="edge"/>
              <c:yMode val="edge"/>
              <c:x val="2.6420079260237781E-3"/>
              <c:y val="0.10358291771573359"/>
            </c:manualLayout>
          </c:layout>
          <c:overlay val="0"/>
          <c:spPr>
            <a:noFill/>
            <a:ln>
              <a:noFill/>
            </a:ln>
            <a:effectLst/>
          </c:spPr>
          <c:txPr>
            <a:bodyPr rot="-5400000" spcFirstLastPara="1" vertOverflow="ellipsis" vert="horz" wrap="square" anchor="ctr" anchorCtr="1"/>
            <a:lstStyle/>
            <a:p>
              <a:pPr>
                <a:defRPr sz="16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crossAx val="113158516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chemeClr val="tx1"/>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10030469674396"/>
          <c:y val="3.723927113862778E-2"/>
          <c:w val="0.85922106147272137"/>
          <c:h val="0.79081161795703803"/>
        </c:manualLayout>
      </c:layout>
      <c:scatterChart>
        <c:scatterStyle val="smoothMarker"/>
        <c:varyColors val="0"/>
        <c:ser>
          <c:idx val="0"/>
          <c:order val="0"/>
          <c:tx>
            <c:strRef>
              <c:f>'9. Sample D Conf. Intervals'!$A$33:$A$44</c:f>
              <c:strCache>
                <c:ptCount val="12"/>
                <c:pt idx="0">
                  <c:v>-6700/+2000</c:v>
                </c:pt>
              </c:strCache>
            </c:strRef>
          </c:tx>
          <c:spPr>
            <a:ln w="9525" cap="rnd">
              <a:solidFill>
                <a:schemeClr val="accent1"/>
              </a:solidFill>
              <a:round/>
            </a:ln>
            <a:effectLst/>
          </c:spPr>
          <c:marker>
            <c:symbol val="square"/>
            <c:size val="1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errBars>
            <c:errDir val="y"/>
            <c:errBarType val="both"/>
            <c:errValType val="cust"/>
            <c:noEndCap val="0"/>
            <c:plus>
              <c:numRef>
                <c:f>'9. Sample D Conf. Intervals'!$J$33:$J$44</c:f>
                <c:numCache>
                  <c:formatCode>General</c:formatCode>
                  <c:ptCount val="12"/>
                  <c:pt idx="0">
                    <c:v>0</c:v>
                  </c:pt>
                  <c:pt idx="1">
                    <c:v>0</c:v>
                  </c:pt>
                  <c:pt idx="2">
                    <c:v>0.12870093453828171</c:v>
                  </c:pt>
                  <c:pt idx="3">
                    <c:v>0.14882663906571356</c:v>
                  </c:pt>
                  <c:pt idx="4">
                    <c:v>0.12726366411769297</c:v>
                  </c:pt>
                  <c:pt idx="5">
                    <c:v>0</c:v>
                  </c:pt>
                  <c:pt idx="6">
                    <c:v>0</c:v>
                  </c:pt>
                  <c:pt idx="7">
                    <c:v>0</c:v>
                  </c:pt>
                  <c:pt idx="8">
                    <c:v>0</c:v>
                  </c:pt>
                  <c:pt idx="9">
                    <c:v>0</c:v>
                  </c:pt>
                  <c:pt idx="10">
                    <c:v>0</c:v>
                  </c:pt>
                  <c:pt idx="11">
                    <c:v>0</c:v>
                  </c:pt>
                </c:numCache>
              </c:numRef>
            </c:plus>
            <c:minus>
              <c:numRef>
                <c:f>'9. Sample D Conf. Intervals'!$J$33:$J$44</c:f>
                <c:numCache>
                  <c:formatCode>General</c:formatCode>
                  <c:ptCount val="12"/>
                  <c:pt idx="0">
                    <c:v>0</c:v>
                  </c:pt>
                  <c:pt idx="1">
                    <c:v>0</c:v>
                  </c:pt>
                  <c:pt idx="2">
                    <c:v>0.12870093453828171</c:v>
                  </c:pt>
                  <c:pt idx="3">
                    <c:v>0.14882663906571356</c:v>
                  </c:pt>
                  <c:pt idx="4">
                    <c:v>0.12726366411769297</c:v>
                  </c:pt>
                  <c:pt idx="5">
                    <c:v>0</c:v>
                  </c:pt>
                  <c:pt idx="6">
                    <c:v>0</c:v>
                  </c:pt>
                  <c:pt idx="7">
                    <c:v>0</c:v>
                  </c:pt>
                  <c:pt idx="8">
                    <c:v>0</c:v>
                  </c:pt>
                  <c:pt idx="9">
                    <c:v>0</c:v>
                  </c:pt>
                  <c:pt idx="10">
                    <c:v>0</c:v>
                  </c:pt>
                  <c:pt idx="11">
                    <c:v>0</c:v>
                  </c:pt>
                </c:numCache>
              </c:numRef>
            </c:minus>
            <c:spPr>
              <a:noFill/>
              <a:ln w="9525">
                <a:solidFill>
                  <a:schemeClr val="tx2">
                    <a:lumMod val="75000"/>
                  </a:schemeClr>
                </a:solidFill>
                <a:round/>
              </a:ln>
              <a:effectLst/>
            </c:spPr>
          </c:errBars>
          <c:errBars>
            <c:errDir val="x"/>
            <c:errBarType val="both"/>
            <c:errValType val="fixedVal"/>
            <c:noEndCap val="0"/>
            <c:val val="0"/>
            <c:spPr>
              <a:noFill/>
              <a:ln w="9525">
                <a:solidFill>
                  <a:schemeClr val="tx2">
                    <a:lumMod val="75000"/>
                  </a:schemeClr>
                </a:solidFill>
                <a:round/>
              </a:ln>
              <a:effectLst/>
            </c:spPr>
          </c:errBars>
          <c:xVal>
            <c:numRef>
              <c:f>'9. Sample D Conf. Intervals'!$B$33:$B$44</c:f>
              <c:numCache>
                <c:formatCode>0%</c:formatCode>
                <c:ptCount val="12"/>
                <c:pt idx="0">
                  <c:v>0</c:v>
                </c:pt>
                <c:pt idx="1">
                  <c:v>0.05</c:v>
                </c:pt>
                <c:pt idx="2">
                  <c:v>0.15000000000000002</c:v>
                </c:pt>
                <c:pt idx="3">
                  <c:v>0.25</c:v>
                </c:pt>
                <c:pt idx="4">
                  <c:v>0.35</c:v>
                </c:pt>
                <c:pt idx="5">
                  <c:v>0.45</c:v>
                </c:pt>
                <c:pt idx="6">
                  <c:v>0.55000000000000004</c:v>
                </c:pt>
                <c:pt idx="7">
                  <c:v>0.64999999999999991</c:v>
                </c:pt>
                <c:pt idx="8">
                  <c:v>0.75</c:v>
                </c:pt>
                <c:pt idx="9">
                  <c:v>0.85000000000000009</c:v>
                </c:pt>
                <c:pt idx="10">
                  <c:v>0.95</c:v>
                </c:pt>
                <c:pt idx="11">
                  <c:v>1</c:v>
                </c:pt>
              </c:numCache>
            </c:numRef>
          </c:xVal>
          <c:yVal>
            <c:numRef>
              <c:f>'9. Sample D Conf. Intervals'!$E$33:$E$44</c:f>
              <c:numCache>
                <c:formatCode>0%</c:formatCode>
                <c:ptCount val="12"/>
                <c:pt idx="0">
                  <c:v>1</c:v>
                </c:pt>
                <c:pt idx="1">
                  <c:v>1</c:v>
                </c:pt>
                <c:pt idx="2">
                  <c:v>0.42418801539308804</c:v>
                </c:pt>
                <c:pt idx="3">
                  <c:v>0.25590296464132201</c:v>
                </c:pt>
                <c:pt idx="4">
                  <c:v>0.113039097170782</c:v>
                </c:pt>
                <c:pt idx="5">
                  <c:v>0</c:v>
                </c:pt>
                <c:pt idx="6">
                  <c:v>0</c:v>
                </c:pt>
                <c:pt idx="7">
                  <c:v>0</c:v>
                </c:pt>
                <c:pt idx="8">
                  <c:v>0</c:v>
                </c:pt>
                <c:pt idx="9">
                  <c:v>0</c:v>
                </c:pt>
                <c:pt idx="10">
                  <c:v>0</c:v>
                </c:pt>
                <c:pt idx="11">
                  <c:v>0</c:v>
                </c:pt>
              </c:numCache>
            </c:numRef>
          </c:yVal>
          <c:smooth val="1"/>
          <c:extLst>
            <c:ext xmlns:c16="http://schemas.microsoft.com/office/drawing/2014/chart" uri="{C3380CC4-5D6E-409C-BE32-E72D297353CC}">
              <c16:uniqueId val="{00000000-6983-A345-871C-AB8507CD544D}"/>
            </c:ext>
          </c:extLst>
        </c:ser>
        <c:ser>
          <c:idx val="3"/>
          <c:order val="1"/>
          <c:tx>
            <c:strRef>
              <c:f>'9. Sample D Conf. Intervals'!$A$45:$A$56</c:f>
              <c:strCache>
                <c:ptCount val="12"/>
                <c:pt idx="0">
                  <c:v>-2000/+1000</c:v>
                </c:pt>
              </c:strCache>
            </c:strRef>
          </c:tx>
          <c:spPr>
            <a:ln w="9525" cap="rnd">
              <a:solidFill>
                <a:schemeClr val="accent4"/>
              </a:solidFill>
              <a:round/>
            </a:ln>
            <a:effectLst/>
          </c:spPr>
          <c:marker>
            <c:symbol val="diamond"/>
            <c:size val="10"/>
            <c:spPr>
              <a:solidFill>
                <a:schemeClr val="accent4"/>
              </a:solidFill>
              <a:ln w="9525">
                <a:solidFill>
                  <a:schemeClr val="accent4"/>
                </a:solidFill>
                <a:round/>
              </a:ln>
              <a:effectLst/>
            </c:spPr>
          </c:marker>
          <c:errBars>
            <c:errDir val="y"/>
            <c:errBarType val="both"/>
            <c:errValType val="cust"/>
            <c:noEndCap val="0"/>
            <c:plus>
              <c:numRef>
                <c:f>'9. Sample D Conf. Intervals'!$J$45:$J$56</c:f>
                <c:numCache>
                  <c:formatCode>General</c:formatCode>
                  <c:ptCount val="12"/>
                  <c:pt idx="0">
                    <c:v>0</c:v>
                  </c:pt>
                  <c:pt idx="1">
                    <c:v>0</c:v>
                  </c:pt>
                  <c:pt idx="2">
                    <c:v>3.5813719311927492E-2</c:v>
                  </c:pt>
                  <c:pt idx="3">
                    <c:v>5.2919150860799326E-2</c:v>
                  </c:pt>
                  <c:pt idx="4">
                    <c:v>7.0677014300211671E-2</c:v>
                  </c:pt>
                  <c:pt idx="5">
                    <c:v>8.5556326166003269E-2</c:v>
                  </c:pt>
                  <c:pt idx="6">
                    <c:v>8.587579768508545E-2</c:v>
                  </c:pt>
                  <c:pt idx="7">
                    <c:v>6.8926240028273272E-2</c:v>
                  </c:pt>
                  <c:pt idx="8">
                    <c:v>4.8998227934153954E-2</c:v>
                  </c:pt>
                  <c:pt idx="9">
                    <c:v>4.1425493219724038E-2</c:v>
                  </c:pt>
                  <c:pt idx="10">
                    <c:v>0</c:v>
                  </c:pt>
                  <c:pt idx="11">
                    <c:v>0</c:v>
                  </c:pt>
                </c:numCache>
              </c:numRef>
            </c:plus>
            <c:minus>
              <c:numRef>
                <c:f>'9. Sample D Conf. Intervals'!$J$45:$J$56</c:f>
                <c:numCache>
                  <c:formatCode>General</c:formatCode>
                  <c:ptCount val="12"/>
                  <c:pt idx="0">
                    <c:v>0</c:v>
                  </c:pt>
                  <c:pt idx="1">
                    <c:v>0</c:v>
                  </c:pt>
                  <c:pt idx="2">
                    <c:v>3.5813719311927492E-2</c:v>
                  </c:pt>
                  <c:pt idx="3">
                    <c:v>5.2919150860799326E-2</c:v>
                  </c:pt>
                  <c:pt idx="4">
                    <c:v>7.0677014300211671E-2</c:v>
                  </c:pt>
                  <c:pt idx="5">
                    <c:v>8.5556326166003269E-2</c:v>
                  </c:pt>
                  <c:pt idx="6">
                    <c:v>8.587579768508545E-2</c:v>
                  </c:pt>
                  <c:pt idx="7">
                    <c:v>6.8926240028273272E-2</c:v>
                  </c:pt>
                  <c:pt idx="8">
                    <c:v>4.8998227934153954E-2</c:v>
                  </c:pt>
                  <c:pt idx="9">
                    <c:v>4.1425493219724038E-2</c:v>
                  </c:pt>
                  <c:pt idx="10">
                    <c:v>0</c:v>
                  </c:pt>
                  <c:pt idx="11">
                    <c:v>0</c:v>
                  </c:pt>
                </c:numCache>
              </c:numRef>
            </c:minus>
            <c:spPr>
              <a:noFill/>
              <a:ln w="9525">
                <a:solidFill>
                  <a:schemeClr val="tx2">
                    <a:lumMod val="75000"/>
                  </a:schemeClr>
                </a:solidFill>
                <a:round/>
              </a:ln>
              <a:effectLst/>
            </c:spPr>
          </c:errBars>
          <c:errBars>
            <c:errDir val="x"/>
            <c:errBarType val="both"/>
            <c:errValType val="fixedVal"/>
            <c:noEndCap val="0"/>
            <c:val val="0"/>
            <c:spPr>
              <a:noFill/>
              <a:ln w="9525">
                <a:solidFill>
                  <a:schemeClr val="tx2">
                    <a:lumMod val="75000"/>
                  </a:schemeClr>
                </a:solidFill>
                <a:round/>
              </a:ln>
              <a:effectLst/>
            </c:spPr>
          </c:errBars>
          <c:xVal>
            <c:numRef>
              <c:f>'9. Sample D Conf. Intervals'!$B$45:$B$56</c:f>
              <c:numCache>
                <c:formatCode>0%</c:formatCode>
                <c:ptCount val="12"/>
                <c:pt idx="0">
                  <c:v>0</c:v>
                </c:pt>
                <c:pt idx="1">
                  <c:v>0.05</c:v>
                </c:pt>
                <c:pt idx="2">
                  <c:v>0.15000000000000002</c:v>
                </c:pt>
                <c:pt idx="3">
                  <c:v>0.25</c:v>
                </c:pt>
                <c:pt idx="4">
                  <c:v>0.35</c:v>
                </c:pt>
                <c:pt idx="5">
                  <c:v>0.45</c:v>
                </c:pt>
                <c:pt idx="6">
                  <c:v>0.55000000000000004</c:v>
                </c:pt>
                <c:pt idx="7">
                  <c:v>0.64999999999999991</c:v>
                </c:pt>
                <c:pt idx="8">
                  <c:v>0.75</c:v>
                </c:pt>
                <c:pt idx="9">
                  <c:v>0.85000000000000009</c:v>
                </c:pt>
                <c:pt idx="10">
                  <c:v>0.95</c:v>
                </c:pt>
                <c:pt idx="11">
                  <c:v>1</c:v>
                </c:pt>
              </c:numCache>
            </c:numRef>
          </c:xVal>
          <c:yVal>
            <c:numRef>
              <c:f>'9. Sample D Conf. Intervals'!$E$45:$E$56</c:f>
              <c:numCache>
                <c:formatCode>0%</c:formatCode>
                <c:ptCount val="12"/>
                <c:pt idx="0">
                  <c:v>1</c:v>
                </c:pt>
                <c:pt idx="1">
                  <c:v>1</c:v>
                </c:pt>
                <c:pt idx="2">
                  <c:v>0.78474943631348004</c:v>
                </c:pt>
                <c:pt idx="3">
                  <c:v>0.68719236693069097</c:v>
                </c:pt>
                <c:pt idx="4">
                  <c:v>0.55787381923794199</c:v>
                </c:pt>
                <c:pt idx="5">
                  <c:v>0.37129035323885101</c:v>
                </c:pt>
                <c:pt idx="6">
                  <c:v>0.177026620229812</c:v>
                </c:pt>
                <c:pt idx="7">
                  <c:v>9.8301957219791708E-2</c:v>
                </c:pt>
                <c:pt idx="8">
                  <c:v>5.2656396808049608E-2</c:v>
                </c:pt>
                <c:pt idx="9">
                  <c:v>2.746428798694301E-2</c:v>
                </c:pt>
                <c:pt idx="10">
                  <c:v>-1.4883927423881005E-15</c:v>
                </c:pt>
                <c:pt idx="11">
                  <c:v>-1.4883927423881005E-15</c:v>
                </c:pt>
              </c:numCache>
            </c:numRef>
          </c:yVal>
          <c:smooth val="1"/>
          <c:extLst>
            <c:ext xmlns:c16="http://schemas.microsoft.com/office/drawing/2014/chart" uri="{C3380CC4-5D6E-409C-BE32-E72D297353CC}">
              <c16:uniqueId val="{00000001-6983-A345-871C-AB8507CD544D}"/>
            </c:ext>
          </c:extLst>
        </c:ser>
        <c:ser>
          <c:idx val="9"/>
          <c:order val="2"/>
          <c:tx>
            <c:strRef>
              <c:f>'9. Sample D Conf. Intervals'!$A$57:$A$68</c:f>
              <c:strCache>
                <c:ptCount val="12"/>
                <c:pt idx="0">
                  <c:v>-1000/+425</c:v>
                </c:pt>
              </c:strCache>
            </c:strRef>
          </c:tx>
          <c:spPr>
            <a:ln w="9525" cap="rnd">
              <a:solidFill>
                <a:schemeClr val="accent4">
                  <a:lumMod val="60000"/>
                </a:schemeClr>
              </a:solidFill>
              <a:round/>
            </a:ln>
            <a:effectLst/>
          </c:spPr>
          <c:marker>
            <c:symbol val="circle"/>
            <c:size val="10"/>
            <c:spPr>
              <a:solidFill>
                <a:schemeClr val="accent6"/>
              </a:solidFill>
              <a:ln w="9525">
                <a:noFill/>
                <a:round/>
              </a:ln>
              <a:effectLst/>
            </c:spPr>
          </c:marker>
          <c:errBars>
            <c:errDir val="y"/>
            <c:errBarType val="both"/>
            <c:errValType val="cust"/>
            <c:noEndCap val="0"/>
            <c:plus>
              <c:numRef>
                <c:f>'9. Sample D Conf. Intervals'!$J$57:$J$68</c:f>
                <c:numCache>
                  <c:formatCode>General</c:formatCode>
                  <c:ptCount val="12"/>
                  <c:pt idx="0">
                    <c:v>0</c:v>
                  </c:pt>
                  <c:pt idx="1">
                    <c:v>0</c:v>
                  </c:pt>
                  <c:pt idx="2">
                    <c:v>5.5941582746754571E-2</c:v>
                  </c:pt>
                  <c:pt idx="3">
                    <c:v>8.2911906979589819E-2</c:v>
                  </c:pt>
                  <c:pt idx="4">
                    <c:v>9.6658888859662492E-2</c:v>
                  </c:pt>
                  <c:pt idx="5">
                    <c:v>9.785613664321384E-2</c:v>
                  </c:pt>
                  <c:pt idx="6">
                    <c:v>8.1274746067006742E-2</c:v>
                  </c:pt>
                  <c:pt idx="7">
                    <c:v>6.5213515856944029E-2</c:v>
                  </c:pt>
                  <c:pt idx="8">
                    <c:v>6.0445731010302636E-2</c:v>
                  </c:pt>
                  <c:pt idx="9">
                    <c:v>6.4505877452126978E-2</c:v>
                  </c:pt>
                  <c:pt idx="10">
                    <c:v>0</c:v>
                  </c:pt>
                  <c:pt idx="11">
                    <c:v>0</c:v>
                  </c:pt>
                </c:numCache>
              </c:numRef>
            </c:plus>
            <c:minus>
              <c:numRef>
                <c:f>'9. Sample D Conf. Intervals'!$J$57:$J$68</c:f>
                <c:numCache>
                  <c:formatCode>General</c:formatCode>
                  <c:ptCount val="12"/>
                  <c:pt idx="0">
                    <c:v>0</c:v>
                  </c:pt>
                  <c:pt idx="1">
                    <c:v>0</c:v>
                  </c:pt>
                  <c:pt idx="2">
                    <c:v>5.5941582746754571E-2</c:v>
                  </c:pt>
                  <c:pt idx="3">
                    <c:v>8.2911906979589819E-2</c:v>
                  </c:pt>
                  <c:pt idx="4">
                    <c:v>9.6658888859662492E-2</c:v>
                  </c:pt>
                  <c:pt idx="5">
                    <c:v>9.785613664321384E-2</c:v>
                  </c:pt>
                  <c:pt idx="6">
                    <c:v>8.1274746067006742E-2</c:v>
                  </c:pt>
                  <c:pt idx="7">
                    <c:v>6.5213515856944029E-2</c:v>
                  </c:pt>
                  <c:pt idx="8">
                    <c:v>6.0445731010302636E-2</c:v>
                  </c:pt>
                  <c:pt idx="9">
                    <c:v>6.4505877452126978E-2</c:v>
                  </c:pt>
                  <c:pt idx="10">
                    <c:v>0</c:v>
                  </c:pt>
                  <c:pt idx="11">
                    <c:v>0</c:v>
                  </c:pt>
                </c:numCache>
              </c:numRef>
            </c:minus>
            <c:spPr>
              <a:noFill/>
              <a:ln w="9525">
                <a:solidFill>
                  <a:schemeClr val="tx2">
                    <a:lumMod val="75000"/>
                  </a:schemeClr>
                </a:solidFill>
                <a:round/>
              </a:ln>
              <a:effectLst/>
            </c:spPr>
          </c:errBars>
          <c:errBars>
            <c:errDir val="x"/>
            <c:errBarType val="both"/>
            <c:errValType val="fixedVal"/>
            <c:noEndCap val="0"/>
            <c:val val="0"/>
            <c:spPr>
              <a:noFill/>
              <a:ln w="9525">
                <a:solidFill>
                  <a:schemeClr val="tx2">
                    <a:lumMod val="75000"/>
                  </a:schemeClr>
                </a:solidFill>
                <a:round/>
              </a:ln>
              <a:effectLst/>
            </c:spPr>
          </c:errBars>
          <c:xVal>
            <c:numRef>
              <c:f>'9. Sample D Conf. Intervals'!$B$57:$B$68</c:f>
              <c:numCache>
                <c:formatCode>0%</c:formatCode>
                <c:ptCount val="12"/>
                <c:pt idx="0">
                  <c:v>0</c:v>
                </c:pt>
                <c:pt idx="1">
                  <c:v>0.05</c:v>
                </c:pt>
                <c:pt idx="2">
                  <c:v>0.15000000000000002</c:v>
                </c:pt>
                <c:pt idx="3">
                  <c:v>0.25</c:v>
                </c:pt>
                <c:pt idx="4">
                  <c:v>0.35</c:v>
                </c:pt>
                <c:pt idx="5">
                  <c:v>0.45</c:v>
                </c:pt>
                <c:pt idx="6">
                  <c:v>0.55000000000000004</c:v>
                </c:pt>
                <c:pt idx="7">
                  <c:v>0.64999999999999991</c:v>
                </c:pt>
                <c:pt idx="8">
                  <c:v>0.75</c:v>
                </c:pt>
                <c:pt idx="9">
                  <c:v>0.85000000000000009</c:v>
                </c:pt>
                <c:pt idx="10">
                  <c:v>0.95</c:v>
                </c:pt>
                <c:pt idx="11">
                  <c:v>1</c:v>
                </c:pt>
              </c:numCache>
            </c:numRef>
          </c:xVal>
          <c:yVal>
            <c:numRef>
              <c:f>'9. Sample D Conf. Intervals'!$E$57:$E$68</c:f>
              <c:numCache>
                <c:formatCode>0%</c:formatCode>
                <c:ptCount val="12"/>
                <c:pt idx="0">
                  <c:v>1</c:v>
                </c:pt>
                <c:pt idx="1">
                  <c:v>1</c:v>
                </c:pt>
                <c:pt idx="2">
                  <c:v>0.65983338583019402</c:v>
                </c:pt>
                <c:pt idx="3">
                  <c:v>0.48558336682271103</c:v>
                </c:pt>
                <c:pt idx="4">
                  <c:v>0.34843454365747606</c:v>
                </c:pt>
                <c:pt idx="5">
                  <c:v>0.26199598489538822</c:v>
                </c:pt>
                <c:pt idx="6">
                  <c:v>0.14298006567538321</c:v>
                </c:pt>
                <c:pt idx="7">
                  <c:v>7.1547118646524507E-2</c:v>
                </c:pt>
                <c:pt idx="8">
                  <c:v>5.8514501804808008E-2</c:v>
                </c:pt>
                <c:pt idx="9">
                  <c:v>4.349218158844851E-2</c:v>
                </c:pt>
                <c:pt idx="10">
                  <c:v>2.2065682614424986E-15</c:v>
                </c:pt>
                <c:pt idx="11">
                  <c:v>2.2065682614424986E-15</c:v>
                </c:pt>
              </c:numCache>
            </c:numRef>
          </c:yVal>
          <c:smooth val="1"/>
          <c:extLst>
            <c:ext xmlns:c16="http://schemas.microsoft.com/office/drawing/2014/chart" uri="{C3380CC4-5D6E-409C-BE32-E72D297353CC}">
              <c16:uniqueId val="{00000002-6983-A345-871C-AB8507CD544D}"/>
            </c:ext>
          </c:extLst>
        </c:ser>
        <c:ser>
          <c:idx val="12"/>
          <c:order val="3"/>
          <c:tx>
            <c:strRef>
              <c:f>'9. Sample D Conf. Intervals'!$A$69:$A$80</c:f>
              <c:strCache>
                <c:ptCount val="12"/>
                <c:pt idx="0">
                  <c:v>-425/+150</c:v>
                </c:pt>
              </c:strCache>
            </c:strRef>
          </c:tx>
          <c:spPr>
            <a:ln w="9525" cap="rnd">
              <a:solidFill>
                <a:schemeClr val="accent1">
                  <a:lumMod val="80000"/>
                  <a:lumOff val="20000"/>
                </a:schemeClr>
              </a:solidFill>
              <a:round/>
            </a:ln>
            <a:effectLst/>
          </c:spPr>
          <c:marker>
            <c:symbol val="triangle"/>
            <c:size val="10"/>
            <c:spPr>
              <a:solidFill>
                <a:schemeClr val="accent2"/>
              </a:solidFill>
              <a:ln w="9525">
                <a:solidFill>
                  <a:schemeClr val="accent2"/>
                </a:solidFill>
                <a:round/>
              </a:ln>
              <a:effectLst/>
            </c:spPr>
          </c:marker>
          <c:errBars>
            <c:errDir val="y"/>
            <c:errBarType val="both"/>
            <c:errValType val="cust"/>
            <c:noEndCap val="0"/>
            <c:plus>
              <c:numRef>
                <c:f>'9. Sample D Conf. Intervals'!$J$69:$J$80</c:f>
                <c:numCache>
                  <c:formatCode>General</c:formatCode>
                  <c:ptCount val="12"/>
                  <c:pt idx="0">
                    <c:v>0</c:v>
                  </c:pt>
                  <c:pt idx="1">
                    <c:v>0</c:v>
                  </c:pt>
                  <c:pt idx="2">
                    <c:v>3.5066838692290804E-2</c:v>
                  </c:pt>
                  <c:pt idx="3">
                    <c:v>5.4457160136572896E-2</c:v>
                  </c:pt>
                  <c:pt idx="4">
                    <c:v>6.22806775800323E-2</c:v>
                  </c:pt>
                  <c:pt idx="5">
                    <c:v>7.3463438634457492E-2</c:v>
                  </c:pt>
                  <c:pt idx="6">
                    <c:v>7.8385366497293399E-2</c:v>
                  </c:pt>
                  <c:pt idx="7">
                    <c:v>7.3203570566020282E-2</c:v>
                  </c:pt>
                  <c:pt idx="8">
                    <c:v>7.3203570566020282E-2</c:v>
                  </c:pt>
                  <c:pt idx="9">
                    <c:v>6.0970813271955714E-2</c:v>
                  </c:pt>
                  <c:pt idx="10">
                    <c:v>6.0970813271955714E-2</c:v>
                  </c:pt>
                  <c:pt idx="11">
                    <c:v>0</c:v>
                  </c:pt>
                </c:numCache>
              </c:numRef>
            </c:plus>
            <c:minus>
              <c:numRef>
                <c:f>'9. Sample D Conf. Intervals'!$J$69:$J$80</c:f>
                <c:numCache>
                  <c:formatCode>General</c:formatCode>
                  <c:ptCount val="12"/>
                  <c:pt idx="0">
                    <c:v>0</c:v>
                  </c:pt>
                  <c:pt idx="1">
                    <c:v>0</c:v>
                  </c:pt>
                  <c:pt idx="2">
                    <c:v>3.5066838692290804E-2</c:v>
                  </c:pt>
                  <c:pt idx="3">
                    <c:v>5.4457160136572896E-2</c:v>
                  </c:pt>
                  <c:pt idx="4">
                    <c:v>6.22806775800323E-2</c:v>
                  </c:pt>
                  <c:pt idx="5">
                    <c:v>7.3463438634457492E-2</c:v>
                  </c:pt>
                  <c:pt idx="6">
                    <c:v>7.8385366497293399E-2</c:v>
                  </c:pt>
                  <c:pt idx="7">
                    <c:v>7.3203570566020282E-2</c:v>
                  </c:pt>
                  <c:pt idx="8">
                    <c:v>7.3203570566020282E-2</c:v>
                  </c:pt>
                  <c:pt idx="9">
                    <c:v>6.0970813271955714E-2</c:v>
                  </c:pt>
                  <c:pt idx="10">
                    <c:v>6.0970813271955714E-2</c:v>
                  </c:pt>
                  <c:pt idx="11">
                    <c:v>0</c:v>
                  </c:pt>
                </c:numCache>
              </c:numRef>
            </c:minus>
            <c:spPr>
              <a:noFill/>
              <a:ln w="9525">
                <a:solidFill>
                  <a:schemeClr val="tx2">
                    <a:lumMod val="75000"/>
                  </a:schemeClr>
                </a:solidFill>
                <a:round/>
              </a:ln>
              <a:effectLst/>
            </c:spPr>
          </c:errBars>
          <c:errBars>
            <c:errDir val="x"/>
            <c:errBarType val="both"/>
            <c:errValType val="fixedVal"/>
            <c:noEndCap val="0"/>
            <c:val val="0"/>
            <c:spPr>
              <a:noFill/>
              <a:ln w="9525">
                <a:solidFill>
                  <a:schemeClr val="tx2">
                    <a:lumMod val="75000"/>
                  </a:schemeClr>
                </a:solidFill>
                <a:round/>
              </a:ln>
              <a:effectLst/>
            </c:spPr>
          </c:errBars>
          <c:xVal>
            <c:numRef>
              <c:f>'9. Sample D Conf. Intervals'!$B$69:$B$80</c:f>
              <c:numCache>
                <c:formatCode>0%</c:formatCode>
                <c:ptCount val="12"/>
                <c:pt idx="0">
                  <c:v>0</c:v>
                </c:pt>
                <c:pt idx="1">
                  <c:v>0.05</c:v>
                </c:pt>
                <c:pt idx="2">
                  <c:v>0.15000000000000002</c:v>
                </c:pt>
                <c:pt idx="3">
                  <c:v>0.25</c:v>
                </c:pt>
                <c:pt idx="4">
                  <c:v>0.35</c:v>
                </c:pt>
                <c:pt idx="5">
                  <c:v>0.45</c:v>
                </c:pt>
                <c:pt idx="6">
                  <c:v>0.55000000000000004</c:v>
                </c:pt>
                <c:pt idx="7">
                  <c:v>0.64999999999999991</c:v>
                </c:pt>
                <c:pt idx="8">
                  <c:v>0.75</c:v>
                </c:pt>
                <c:pt idx="9">
                  <c:v>0.85000000000000009</c:v>
                </c:pt>
                <c:pt idx="10">
                  <c:v>0.95</c:v>
                </c:pt>
                <c:pt idx="11">
                  <c:v>1</c:v>
                </c:pt>
              </c:numCache>
            </c:numRef>
          </c:xVal>
          <c:yVal>
            <c:numRef>
              <c:f>'9. Sample D Conf. Intervals'!$E$69:$E$80</c:f>
              <c:numCache>
                <c:formatCode>0%</c:formatCode>
                <c:ptCount val="12"/>
                <c:pt idx="0">
                  <c:v>1</c:v>
                </c:pt>
                <c:pt idx="1">
                  <c:v>1</c:v>
                </c:pt>
                <c:pt idx="2">
                  <c:v>0.701597646737258</c:v>
                </c:pt>
                <c:pt idx="3">
                  <c:v>0.56427510160651495</c:v>
                </c:pt>
                <c:pt idx="4">
                  <c:v>0.49326741480625602</c:v>
                </c:pt>
                <c:pt idx="5">
                  <c:v>0.38201323668346698</c:v>
                </c:pt>
                <c:pt idx="6">
                  <c:v>0.3083952241047892</c:v>
                </c:pt>
                <c:pt idx="7">
                  <c:v>0.19109327330238521</c:v>
                </c:pt>
                <c:pt idx="8">
                  <c:v>0.19109327330238521</c:v>
                </c:pt>
                <c:pt idx="9">
                  <c:v>8.1035753474510211E-2</c:v>
                </c:pt>
                <c:pt idx="10">
                  <c:v>8.1035753474510211E-2</c:v>
                </c:pt>
                <c:pt idx="11">
                  <c:v>-1.0963452368173421E-15</c:v>
                </c:pt>
              </c:numCache>
            </c:numRef>
          </c:yVal>
          <c:smooth val="1"/>
          <c:extLst>
            <c:ext xmlns:c16="http://schemas.microsoft.com/office/drawing/2014/chart" uri="{C3380CC4-5D6E-409C-BE32-E72D297353CC}">
              <c16:uniqueId val="{00000003-6983-A345-871C-AB8507CD544D}"/>
            </c:ext>
          </c:extLst>
        </c:ser>
        <c:ser>
          <c:idx val="15"/>
          <c:order val="4"/>
          <c:tx>
            <c:strRef>
              <c:f>'9. Sample D Conf. Intervals'!$A$81:$A$92</c:f>
              <c:strCache>
                <c:ptCount val="12"/>
                <c:pt idx="0">
                  <c:v>-150/+0</c:v>
                </c:pt>
              </c:strCache>
            </c:strRef>
          </c:tx>
          <c:spPr>
            <a:ln w="9525" cap="rnd">
              <a:solidFill>
                <a:schemeClr val="accent4">
                  <a:lumMod val="80000"/>
                  <a:lumOff val="20000"/>
                </a:schemeClr>
              </a:solidFill>
              <a:round/>
            </a:ln>
            <a:effectLst/>
          </c:spPr>
          <c:marker>
            <c:symbol val="x"/>
            <c:size val="10"/>
            <c:spPr>
              <a:noFill/>
              <a:ln w="19050">
                <a:solidFill>
                  <a:schemeClr val="tx1"/>
                </a:solidFill>
                <a:round/>
              </a:ln>
              <a:effectLst/>
            </c:spPr>
          </c:marker>
          <c:errBars>
            <c:errDir val="y"/>
            <c:errBarType val="both"/>
            <c:errValType val="cust"/>
            <c:noEndCap val="0"/>
            <c:plus>
              <c:numRef>
                <c:f>'9. Sample D Conf. Intervals'!$J$81:$J$92</c:f>
                <c:numCache>
                  <c:formatCode>General</c:formatCode>
                  <c:ptCount val="12"/>
                  <c:pt idx="0">
                    <c:v>0</c:v>
                  </c:pt>
                  <c:pt idx="1">
                    <c:v>0</c:v>
                  </c:pt>
                  <c:pt idx="2">
                    <c:v>1.2010129754627115E-3</c:v>
                  </c:pt>
                  <c:pt idx="3">
                    <c:v>2.2125874567709121E-3</c:v>
                  </c:pt>
                  <c:pt idx="4">
                    <c:v>2.8209300309512391E-3</c:v>
                  </c:pt>
                  <c:pt idx="5">
                    <c:v>3.5706624332385896E-3</c:v>
                  </c:pt>
                  <c:pt idx="6">
                    <c:v>4.2022863658251605E-3</c:v>
                  </c:pt>
                  <c:pt idx="7">
                    <c:v>4.673829270001228E-3</c:v>
                  </c:pt>
                  <c:pt idx="8">
                    <c:v>5.288220586903568E-3</c:v>
                  </c:pt>
                  <c:pt idx="9">
                    <c:v>5.8114203205499298E-3</c:v>
                  </c:pt>
                  <c:pt idx="10">
                    <c:v>6.1298181641394204E-3</c:v>
                  </c:pt>
                  <c:pt idx="11">
                    <c:v>0</c:v>
                  </c:pt>
                </c:numCache>
              </c:numRef>
            </c:plus>
            <c:minus>
              <c:numRef>
                <c:f>'9. Sample D Conf. Intervals'!$J$81:$J$92</c:f>
                <c:numCache>
                  <c:formatCode>General</c:formatCode>
                  <c:ptCount val="12"/>
                  <c:pt idx="0">
                    <c:v>0</c:v>
                  </c:pt>
                  <c:pt idx="1">
                    <c:v>0</c:v>
                  </c:pt>
                  <c:pt idx="2">
                    <c:v>1.2010129754627115E-3</c:v>
                  </c:pt>
                  <c:pt idx="3">
                    <c:v>2.2125874567709121E-3</c:v>
                  </c:pt>
                  <c:pt idx="4">
                    <c:v>2.8209300309512391E-3</c:v>
                  </c:pt>
                  <c:pt idx="5">
                    <c:v>3.5706624332385896E-3</c:v>
                  </c:pt>
                  <c:pt idx="6">
                    <c:v>4.2022863658251605E-3</c:v>
                  </c:pt>
                  <c:pt idx="7">
                    <c:v>4.673829270001228E-3</c:v>
                  </c:pt>
                  <c:pt idx="8">
                    <c:v>5.288220586903568E-3</c:v>
                  </c:pt>
                  <c:pt idx="9">
                    <c:v>5.8114203205499298E-3</c:v>
                  </c:pt>
                  <c:pt idx="10">
                    <c:v>6.1298181641394204E-3</c:v>
                  </c:pt>
                  <c:pt idx="11">
                    <c:v>0</c:v>
                  </c:pt>
                </c:numCache>
              </c:numRef>
            </c:minus>
            <c:spPr>
              <a:noFill/>
              <a:ln w="9525">
                <a:solidFill>
                  <a:schemeClr val="tx2">
                    <a:lumMod val="75000"/>
                  </a:schemeClr>
                </a:solidFill>
                <a:round/>
              </a:ln>
              <a:effectLst/>
            </c:spPr>
          </c:errBars>
          <c:errBars>
            <c:errDir val="x"/>
            <c:errBarType val="both"/>
            <c:errValType val="fixedVal"/>
            <c:noEndCap val="0"/>
            <c:val val="0"/>
            <c:spPr>
              <a:noFill/>
              <a:ln w="9525">
                <a:solidFill>
                  <a:schemeClr val="tx2">
                    <a:lumMod val="75000"/>
                  </a:schemeClr>
                </a:solidFill>
                <a:round/>
              </a:ln>
              <a:effectLst/>
            </c:spPr>
          </c:errBars>
          <c:xVal>
            <c:numRef>
              <c:f>'9. Sample D Conf. Intervals'!$B$81:$B$92</c:f>
              <c:numCache>
                <c:formatCode>0%</c:formatCode>
                <c:ptCount val="12"/>
                <c:pt idx="0">
                  <c:v>0</c:v>
                </c:pt>
                <c:pt idx="1">
                  <c:v>0.05</c:v>
                </c:pt>
                <c:pt idx="2">
                  <c:v>0.15000000000000002</c:v>
                </c:pt>
                <c:pt idx="3">
                  <c:v>0.25</c:v>
                </c:pt>
                <c:pt idx="4">
                  <c:v>0.35</c:v>
                </c:pt>
                <c:pt idx="5">
                  <c:v>0.45</c:v>
                </c:pt>
                <c:pt idx="6">
                  <c:v>0.55000000000000004</c:v>
                </c:pt>
                <c:pt idx="7">
                  <c:v>0.64999999999999991</c:v>
                </c:pt>
                <c:pt idx="8">
                  <c:v>0.75</c:v>
                </c:pt>
                <c:pt idx="9">
                  <c:v>0.85000000000000009</c:v>
                </c:pt>
                <c:pt idx="10">
                  <c:v>0.95</c:v>
                </c:pt>
                <c:pt idx="11">
                  <c:v>1</c:v>
                </c:pt>
              </c:numCache>
            </c:numRef>
          </c:xVal>
          <c:yVal>
            <c:numRef>
              <c:f>'9. Sample D Conf. Intervals'!$E$81:$E$92</c:f>
              <c:numCache>
                <c:formatCode>0%</c:formatCode>
                <c:ptCount val="12"/>
                <c:pt idx="0">
                  <c:v>1</c:v>
                </c:pt>
                <c:pt idx="1">
                  <c:v>1</c:v>
                </c:pt>
                <c:pt idx="2">
                  <c:v>0.93589561548180578</c:v>
                </c:pt>
                <c:pt idx="3">
                  <c:v>0.88018633619260433</c:v>
                </c:pt>
                <c:pt idx="4">
                  <c:v>0.84482844318563233</c:v>
                </c:pt>
                <c:pt idx="5">
                  <c:v>0.80011014872795905</c:v>
                </c:pt>
                <c:pt idx="6">
                  <c:v>0.75167712781356422</c:v>
                </c:pt>
                <c:pt idx="7">
                  <c:v>0.70967631900575379</c:v>
                </c:pt>
                <c:pt idx="8">
                  <c:v>0.6516049505590813</c:v>
                </c:pt>
                <c:pt idx="9">
                  <c:v>0.58733001192741108</c:v>
                </c:pt>
                <c:pt idx="10">
                  <c:v>0.47547879932996306</c:v>
                </c:pt>
                <c:pt idx="11">
                  <c:v>0.25881778862052407</c:v>
                </c:pt>
              </c:numCache>
            </c:numRef>
          </c:yVal>
          <c:smooth val="1"/>
          <c:extLst>
            <c:ext xmlns:c16="http://schemas.microsoft.com/office/drawing/2014/chart" uri="{C3380CC4-5D6E-409C-BE32-E72D297353CC}">
              <c16:uniqueId val="{00000004-6983-A345-871C-AB8507CD544D}"/>
            </c:ext>
          </c:extLst>
        </c:ser>
        <c:dLbls>
          <c:showLegendKey val="0"/>
          <c:showVal val="0"/>
          <c:showCatName val="0"/>
          <c:showSerName val="0"/>
          <c:showPercent val="0"/>
          <c:showBubbleSize val="0"/>
        </c:dLbls>
        <c:axId val="182050152"/>
        <c:axId val="130788960"/>
      </c:scatterChart>
      <c:valAx>
        <c:axId val="182050152"/>
        <c:scaling>
          <c:orientation val="minMax"/>
          <c:max val="1"/>
        </c:scaling>
        <c:delete val="0"/>
        <c:axPos val="b"/>
        <c:title>
          <c:tx>
            <c:rich>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Lberation class (% liberation)</a:t>
                </a:r>
              </a:p>
            </c:rich>
          </c:tx>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30788960"/>
        <c:crosses val="autoZero"/>
        <c:crossBetween val="midCat"/>
      </c:valAx>
      <c:valAx>
        <c:axId val="130788960"/>
        <c:scaling>
          <c:orientation val="minMax"/>
          <c:max val="1"/>
          <c:min val="0"/>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ZA"/>
                  <a:t>Cumulative liberation yield (%)</a:t>
                </a:r>
              </a:p>
            </c:rich>
          </c:tx>
          <c:layout>
            <c:manualLayout>
              <c:xMode val="edge"/>
              <c:yMode val="edge"/>
              <c:x val="4.3356936055683783E-3"/>
              <c:y val="0.18218059416271981"/>
            </c:manualLayout>
          </c:layout>
          <c:overlay val="0"/>
          <c:spPr>
            <a:noFill/>
            <a:ln>
              <a:noFill/>
            </a:ln>
            <a:effectLst/>
          </c:spPr>
          <c:txPr>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82050152"/>
        <c:crosses val="autoZero"/>
        <c:crossBetween val="midCat"/>
      </c:valAx>
      <c:spPr>
        <a:noFill/>
        <a:ln>
          <a:noFill/>
        </a:ln>
        <a:effectLst/>
      </c:spPr>
    </c:plotArea>
    <c:legend>
      <c:legendPos val="b"/>
      <c:layout>
        <c:manualLayout>
          <c:xMode val="edge"/>
          <c:yMode val="edge"/>
          <c:x val="1.9173564235624621E-2"/>
          <c:y val="0.93402409341525094"/>
          <c:w val="0.96165287152875079"/>
          <c:h val="6.5975906584749069E-2"/>
        </c:manualLayout>
      </c:layout>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600" b="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31813051952855"/>
          <c:y val="4.0512593564387578E-2"/>
          <c:w val="0.67266201739241549"/>
          <c:h val="0.83507890089316772"/>
        </c:manualLayout>
      </c:layout>
      <c:barChart>
        <c:barDir val="col"/>
        <c:grouping val="percentStacked"/>
        <c:varyColors val="0"/>
        <c:ser>
          <c:idx val="0"/>
          <c:order val="0"/>
          <c:tx>
            <c:strRef>
              <c:f>'3. Fe-Sulfide Lib. and Assoc.'!$A$21</c:f>
              <c:strCache>
                <c:ptCount val="1"/>
                <c:pt idx="0">
                  <c:v>Other</c:v>
                </c:pt>
              </c:strCache>
            </c:strRef>
          </c:tx>
          <c:spPr>
            <a:solidFill>
              <a:srgbClr val="A6A6A6"/>
            </a:solidFill>
            <a:ln>
              <a:noFill/>
            </a:ln>
            <a:effectLst/>
          </c:spPr>
          <c:invertIfNegative val="0"/>
          <c:cat>
            <c:strRef>
              <c:f>'3. Fe-Sulfide Lib. and Assoc.'!$B$3:$AI$3</c:f>
              <c:strCache>
                <c:ptCount val="34"/>
                <c:pt idx="0">
                  <c:v>A</c:v>
                </c:pt>
                <c:pt idx="1">
                  <c:v>B</c:v>
                </c:pt>
                <c:pt idx="2">
                  <c:v>C</c:v>
                </c:pt>
                <c:pt idx="3">
                  <c:v>D</c:v>
                </c:pt>
                <c:pt idx="6">
                  <c:v>A</c:v>
                </c:pt>
                <c:pt idx="7">
                  <c:v>B</c:v>
                </c:pt>
                <c:pt idx="8">
                  <c:v>C</c:v>
                </c:pt>
                <c:pt idx="9">
                  <c:v>D</c:v>
                </c:pt>
                <c:pt idx="12">
                  <c:v>A</c:v>
                </c:pt>
                <c:pt idx="13">
                  <c:v>B</c:v>
                </c:pt>
                <c:pt idx="14">
                  <c:v>C</c:v>
                </c:pt>
                <c:pt idx="15">
                  <c:v>D</c:v>
                </c:pt>
                <c:pt idx="18">
                  <c:v>A</c:v>
                </c:pt>
                <c:pt idx="19">
                  <c:v>B</c:v>
                </c:pt>
                <c:pt idx="20">
                  <c:v>C</c:v>
                </c:pt>
                <c:pt idx="21">
                  <c:v>D</c:v>
                </c:pt>
                <c:pt idx="24">
                  <c:v>A</c:v>
                </c:pt>
                <c:pt idx="25">
                  <c:v>B</c:v>
                </c:pt>
                <c:pt idx="26">
                  <c:v>C</c:v>
                </c:pt>
                <c:pt idx="27">
                  <c:v>D</c:v>
                </c:pt>
                <c:pt idx="30">
                  <c:v>A</c:v>
                </c:pt>
                <c:pt idx="31">
                  <c:v>B</c:v>
                </c:pt>
                <c:pt idx="32">
                  <c:v>C</c:v>
                </c:pt>
                <c:pt idx="33">
                  <c:v>D</c:v>
                </c:pt>
              </c:strCache>
            </c:strRef>
          </c:cat>
          <c:val>
            <c:numRef>
              <c:f>'3. Fe-Sulfide Lib. and Assoc.'!$B$21:$AI$21</c:f>
              <c:numCache>
                <c:formatCode>0%</c:formatCode>
                <c:ptCount val="34"/>
                <c:pt idx="0">
                  <c:v>3.1999807201041099E-2</c:v>
                </c:pt>
                <c:pt idx="1">
                  <c:v>2.1015722763935478E-2</c:v>
                </c:pt>
                <c:pt idx="2">
                  <c:v>8.8834268411363219E-3</c:v>
                </c:pt>
                <c:pt idx="3">
                  <c:v>5.7825948608759541E-3</c:v>
                </c:pt>
                <c:pt idx="6">
                  <c:v>3.156889020504465E-2</c:v>
                </c:pt>
                <c:pt idx="7">
                  <c:v>1.8845497272300192E-2</c:v>
                </c:pt>
                <c:pt idx="8">
                  <c:v>7.6562231399478816E-3</c:v>
                </c:pt>
                <c:pt idx="9">
                  <c:v>7.5194402722588748E-3</c:v>
                </c:pt>
                <c:pt idx="12">
                  <c:v>2.8455188769895605E-2</c:v>
                </c:pt>
                <c:pt idx="13">
                  <c:v>2.3216296052409838E-2</c:v>
                </c:pt>
                <c:pt idx="14">
                  <c:v>9.0076176463002016E-3</c:v>
                </c:pt>
                <c:pt idx="15">
                  <c:v>6.9755069065400299E-3</c:v>
                </c:pt>
                <c:pt idx="18">
                  <c:v>2.8977063364617514E-2</c:v>
                </c:pt>
                <c:pt idx="19">
                  <c:v>2.048103921380082E-2</c:v>
                </c:pt>
                <c:pt idx="20">
                  <c:v>1.0717634045861861E-2</c:v>
                </c:pt>
                <c:pt idx="21">
                  <c:v>6.8486322846753305E-3</c:v>
                </c:pt>
                <c:pt idx="24">
                  <c:v>4.3566706736967907E-2</c:v>
                </c:pt>
                <c:pt idx="25">
                  <c:v>9.909514375666284E-3</c:v>
                </c:pt>
                <c:pt idx="26">
                  <c:v>2.3626859272419202E-3</c:v>
                </c:pt>
                <c:pt idx="27">
                  <c:v>2.1100214957135571E-3</c:v>
                </c:pt>
                <c:pt idx="30">
                  <c:v>3.1885459816047811E-2</c:v>
                </c:pt>
                <c:pt idx="31">
                  <c:v>2.0139487263251404E-2</c:v>
                </c:pt>
                <c:pt idx="32">
                  <c:v>7.925546790734983E-3</c:v>
                </c:pt>
                <c:pt idx="33">
                  <c:v>6.2439882269315853E-3</c:v>
                </c:pt>
              </c:numCache>
            </c:numRef>
          </c:val>
          <c:extLst>
            <c:ext xmlns:c16="http://schemas.microsoft.com/office/drawing/2014/chart" uri="{C3380CC4-5D6E-409C-BE32-E72D297353CC}">
              <c16:uniqueId val="{00000000-45F7-F248-B115-EFCFFCEECE43}"/>
            </c:ext>
          </c:extLst>
        </c:ser>
        <c:ser>
          <c:idx val="1"/>
          <c:order val="1"/>
          <c:tx>
            <c:strRef>
              <c:f>'3. Fe-Sulfide Lib. and Assoc.'!$A$20</c:f>
              <c:strCache>
                <c:ptCount val="1"/>
                <c:pt idx="0">
                  <c:v>Inert</c:v>
                </c:pt>
              </c:strCache>
            </c:strRef>
          </c:tx>
          <c:spPr>
            <a:solidFill>
              <a:srgbClr val="EBA8DD"/>
            </a:solidFill>
            <a:ln>
              <a:noFill/>
            </a:ln>
            <a:effectLst/>
          </c:spPr>
          <c:invertIfNegative val="0"/>
          <c:cat>
            <c:strRef>
              <c:f>'3. Fe-Sulfide Lib. and Assoc.'!$B$3:$AI$3</c:f>
              <c:strCache>
                <c:ptCount val="34"/>
                <c:pt idx="0">
                  <c:v>A</c:v>
                </c:pt>
                <c:pt idx="1">
                  <c:v>B</c:v>
                </c:pt>
                <c:pt idx="2">
                  <c:v>C</c:v>
                </c:pt>
                <c:pt idx="3">
                  <c:v>D</c:v>
                </c:pt>
                <c:pt idx="6">
                  <c:v>A</c:v>
                </c:pt>
                <c:pt idx="7">
                  <c:v>B</c:v>
                </c:pt>
                <c:pt idx="8">
                  <c:v>C</c:v>
                </c:pt>
                <c:pt idx="9">
                  <c:v>D</c:v>
                </c:pt>
                <c:pt idx="12">
                  <c:v>A</c:v>
                </c:pt>
                <c:pt idx="13">
                  <c:v>B</c:v>
                </c:pt>
                <c:pt idx="14">
                  <c:v>C</c:v>
                </c:pt>
                <c:pt idx="15">
                  <c:v>D</c:v>
                </c:pt>
                <c:pt idx="18">
                  <c:v>A</c:v>
                </c:pt>
                <c:pt idx="19">
                  <c:v>B</c:v>
                </c:pt>
                <c:pt idx="20">
                  <c:v>C</c:v>
                </c:pt>
                <c:pt idx="21">
                  <c:v>D</c:v>
                </c:pt>
                <c:pt idx="24">
                  <c:v>A</c:v>
                </c:pt>
                <c:pt idx="25">
                  <c:v>B</c:v>
                </c:pt>
                <c:pt idx="26">
                  <c:v>C</c:v>
                </c:pt>
                <c:pt idx="27">
                  <c:v>D</c:v>
                </c:pt>
                <c:pt idx="30">
                  <c:v>A</c:v>
                </c:pt>
                <c:pt idx="31">
                  <c:v>B</c:v>
                </c:pt>
                <c:pt idx="32">
                  <c:v>C</c:v>
                </c:pt>
                <c:pt idx="33">
                  <c:v>D</c:v>
                </c:pt>
              </c:strCache>
            </c:strRef>
          </c:cat>
          <c:val>
            <c:numRef>
              <c:f>'3. Fe-Sulfide Lib. and Assoc.'!$B$20:$AI$20</c:f>
              <c:numCache>
                <c:formatCode>0%</c:formatCode>
                <c:ptCount val="34"/>
                <c:pt idx="0">
                  <c:v>0.43060201474912019</c:v>
                </c:pt>
                <c:pt idx="1">
                  <c:v>0.35671469812045487</c:v>
                </c:pt>
                <c:pt idx="2">
                  <c:v>0.29004394090950192</c:v>
                </c:pt>
                <c:pt idx="3">
                  <c:v>8.3541210809366884E-2</c:v>
                </c:pt>
                <c:pt idx="6">
                  <c:v>0.38031049196142652</c:v>
                </c:pt>
                <c:pt idx="7">
                  <c:v>0.39992164173055772</c:v>
                </c:pt>
                <c:pt idx="8">
                  <c:v>0.20754998945992728</c:v>
                </c:pt>
                <c:pt idx="9">
                  <c:v>0.43193211273139759</c:v>
                </c:pt>
                <c:pt idx="12">
                  <c:v>0.36746302540384601</c:v>
                </c:pt>
                <c:pt idx="13">
                  <c:v>0.28957820912396892</c:v>
                </c:pt>
                <c:pt idx="14">
                  <c:v>0.26495864548913306</c:v>
                </c:pt>
                <c:pt idx="15">
                  <c:v>9.2671776783779025E-2</c:v>
                </c:pt>
                <c:pt idx="18">
                  <c:v>0.32183019163771676</c:v>
                </c:pt>
                <c:pt idx="19">
                  <c:v>0.18374124390858956</c:v>
                </c:pt>
                <c:pt idx="20">
                  <c:v>0.25291606343188655</c:v>
                </c:pt>
                <c:pt idx="21">
                  <c:v>0.37009346916796709</c:v>
                </c:pt>
                <c:pt idx="24">
                  <c:v>0.14685605072414509</c:v>
                </c:pt>
                <c:pt idx="25">
                  <c:v>7.2104636623672405E-2</c:v>
                </c:pt>
                <c:pt idx="26">
                  <c:v>9.4137165414511989E-2</c:v>
                </c:pt>
                <c:pt idx="27">
                  <c:v>0.21139401070627414</c:v>
                </c:pt>
                <c:pt idx="30">
                  <c:v>0.37121127625546191</c:v>
                </c:pt>
                <c:pt idx="31">
                  <c:v>0.31183953741826259</c:v>
                </c:pt>
                <c:pt idx="32">
                  <c:v>0.23802847366465982</c:v>
                </c:pt>
                <c:pt idx="33">
                  <c:v>0.24349980931792342</c:v>
                </c:pt>
              </c:numCache>
            </c:numRef>
          </c:val>
          <c:extLst>
            <c:ext xmlns:c16="http://schemas.microsoft.com/office/drawing/2014/chart" uri="{C3380CC4-5D6E-409C-BE32-E72D297353CC}">
              <c16:uniqueId val="{00000001-45F7-F248-B115-EFCFFCEECE43}"/>
            </c:ext>
          </c:extLst>
        </c:ser>
        <c:ser>
          <c:idx val="2"/>
          <c:order val="2"/>
          <c:tx>
            <c:strRef>
              <c:f>'3. Fe-Sulfide Lib. and Assoc.'!$A$19</c:f>
              <c:strCache>
                <c:ptCount val="1"/>
                <c:pt idx="0">
                  <c:v>Slow Weathering</c:v>
                </c:pt>
              </c:strCache>
            </c:strRef>
          </c:tx>
          <c:spPr>
            <a:solidFill>
              <a:srgbClr val="9A99F9"/>
            </a:solidFill>
            <a:ln>
              <a:noFill/>
            </a:ln>
            <a:effectLst/>
          </c:spPr>
          <c:invertIfNegative val="0"/>
          <c:cat>
            <c:strRef>
              <c:f>'3. Fe-Sulfide Lib. and Assoc.'!$B$3:$AI$3</c:f>
              <c:strCache>
                <c:ptCount val="34"/>
                <c:pt idx="0">
                  <c:v>A</c:v>
                </c:pt>
                <c:pt idx="1">
                  <c:v>B</c:v>
                </c:pt>
                <c:pt idx="2">
                  <c:v>C</c:v>
                </c:pt>
                <c:pt idx="3">
                  <c:v>D</c:v>
                </c:pt>
                <c:pt idx="6">
                  <c:v>A</c:v>
                </c:pt>
                <c:pt idx="7">
                  <c:v>B</c:v>
                </c:pt>
                <c:pt idx="8">
                  <c:v>C</c:v>
                </c:pt>
                <c:pt idx="9">
                  <c:v>D</c:v>
                </c:pt>
                <c:pt idx="12">
                  <c:v>A</c:v>
                </c:pt>
                <c:pt idx="13">
                  <c:v>B</c:v>
                </c:pt>
                <c:pt idx="14">
                  <c:v>C</c:v>
                </c:pt>
                <c:pt idx="15">
                  <c:v>D</c:v>
                </c:pt>
                <c:pt idx="18">
                  <c:v>A</c:v>
                </c:pt>
                <c:pt idx="19">
                  <c:v>B</c:v>
                </c:pt>
                <c:pt idx="20">
                  <c:v>C</c:v>
                </c:pt>
                <c:pt idx="21">
                  <c:v>D</c:v>
                </c:pt>
                <c:pt idx="24">
                  <c:v>A</c:v>
                </c:pt>
                <c:pt idx="25">
                  <c:v>B</c:v>
                </c:pt>
                <c:pt idx="26">
                  <c:v>C</c:v>
                </c:pt>
                <c:pt idx="27">
                  <c:v>D</c:v>
                </c:pt>
                <c:pt idx="30">
                  <c:v>A</c:v>
                </c:pt>
                <c:pt idx="31">
                  <c:v>B</c:v>
                </c:pt>
                <c:pt idx="32">
                  <c:v>C</c:v>
                </c:pt>
                <c:pt idx="33">
                  <c:v>D</c:v>
                </c:pt>
              </c:strCache>
            </c:strRef>
          </c:cat>
          <c:val>
            <c:numRef>
              <c:f>'3. Fe-Sulfide Lib. and Assoc.'!$B$19:$AI$19</c:f>
              <c:numCache>
                <c:formatCode>0%</c:formatCode>
                <c:ptCount val="34"/>
                <c:pt idx="0">
                  <c:v>8.9075528992143438E-2</c:v>
                </c:pt>
                <c:pt idx="1">
                  <c:v>0.29389302573379106</c:v>
                </c:pt>
                <c:pt idx="2">
                  <c:v>8.9806285274368583E-2</c:v>
                </c:pt>
                <c:pt idx="3">
                  <c:v>0.1166968498214548</c:v>
                </c:pt>
                <c:pt idx="6">
                  <c:v>0.11354514976139429</c:v>
                </c:pt>
                <c:pt idx="7">
                  <c:v>0.27747331600893865</c:v>
                </c:pt>
                <c:pt idx="8">
                  <c:v>7.1565486223002614E-2</c:v>
                </c:pt>
                <c:pt idx="9">
                  <c:v>0.12612252916833061</c:v>
                </c:pt>
                <c:pt idx="12">
                  <c:v>8.0618539557552604E-2</c:v>
                </c:pt>
                <c:pt idx="13">
                  <c:v>0.26618320120551603</c:v>
                </c:pt>
                <c:pt idx="14">
                  <c:v>7.1882784175814896E-2</c:v>
                </c:pt>
                <c:pt idx="15">
                  <c:v>9.5233403613864259E-2</c:v>
                </c:pt>
                <c:pt idx="18">
                  <c:v>7.7199544753354526E-2</c:v>
                </c:pt>
                <c:pt idx="19">
                  <c:v>0.17162505622760685</c:v>
                </c:pt>
                <c:pt idx="20">
                  <c:v>2.4008792408831265E-2</c:v>
                </c:pt>
                <c:pt idx="21">
                  <c:v>7.0064818020173017E-2</c:v>
                </c:pt>
                <c:pt idx="24">
                  <c:v>0.15956357253960218</c:v>
                </c:pt>
                <c:pt idx="25">
                  <c:v>6.8305838340594505E-2</c:v>
                </c:pt>
                <c:pt idx="26">
                  <c:v>9.7108154808096085E-3</c:v>
                </c:pt>
                <c:pt idx="27">
                  <c:v>7.1559871868914285E-2</c:v>
                </c:pt>
                <c:pt idx="30">
                  <c:v>9.8263184562026151E-2</c:v>
                </c:pt>
                <c:pt idx="31">
                  <c:v>0.25845209258799606</c:v>
                </c:pt>
                <c:pt idx="32">
                  <c:v>7.0302456470801467E-2</c:v>
                </c:pt>
                <c:pt idx="33">
                  <c:v>0.11119333134309008</c:v>
                </c:pt>
              </c:numCache>
            </c:numRef>
          </c:val>
          <c:extLst>
            <c:ext xmlns:c16="http://schemas.microsoft.com/office/drawing/2014/chart" uri="{C3380CC4-5D6E-409C-BE32-E72D297353CC}">
              <c16:uniqueId val="{00000002-45F7-F248-B115-EFCFFCEECE43}"/>
            </c:ext>
          </c:extLst>
        </c:ser>
        <c:ser>
          <c:idx val="3"/>
          <c:order val="3"/>
          <c:tx>
            <c:strRef>
              <c:f>'3. Fe-Sulfide Lib. and Assoc.'!$A$18</c:f>
              <c:strCache>
                <c:ptCount val="1"/>
                <c:pt idx="0">
                  <c:v>Intermediate Weathering</c:v>
                </c:pt>
              </c:strCache>
            </c:strRef>
          </c:tx>
          <c:spPr>
            <a:solidFill>
              <a:srgbClr val="8FEA76"/>
            </a:solidFill>
            <a:ln>
              <a:noFill/>
            </a:ln>
            <a:effectLst/>
          </c:spPr>
          <c:invertIfNegative val="0"/>
          <c:cat>
            <c:strRef>
              <c:f>'3. Fe-Sulfide Lib. and Assoc.'!$B$3:$AI$3</c:f>
              <c:strCache>
                <c:ptCount val="34"/>
                <c:pt idx="0">
                  <c:v>A</c:v>
                </c:pt>
                <c:pt idx="1">
                  <c:v>B</c:v>
                </c:pt>
                <c:pt idx="2">
                  <c:v>C</c:v>
                </c:pt>
                <c:pt idx="3">
                  <c:v>D</c:v>
                </c:pt>
                <c:pt idx="6">
                  <c:v>A</c:v>
                </c:pt>
                <c:pt idx="7">
                  <c:v>B</c:v>
                </c:pt>
                <c:pt idx="8">
                  <c:v>C</c:v>
                </c:pt>
                <c:pt idx="9">
                  <c:v>D</c:v>
                </c:pt>
                <c:pt idx="12">
                  <c:v>A</c:v>
                </c:pt>
                <c:pt idx="13">
                  <c:v>B</c:v>
                </c:pt>
                <c:pt idx="14">
                  <c:v>C</c:v>
                </c:pt>
                <c:pt idx="15">
                  <c:v>D</c:v>
                </c:pt>
                <c:pt idx="18">
                  <c:v>A</c:v>
                </c:pt>
                <c:pt idx="19">
                  <c:v>B</c:v>
                </c:pt>
                <c:pt idx="20">
                  <c:v>C</c:v>
                </c:pt>
                <c:pt idx="21">
                  <c:v>D</c:v>
                </c:pt>
                <c:pt idx="24">
                  <c:v>A</c:v>
                </c:pt>
                <c:pt idx="25">
                  <c:v>B</c:v>
                </c:pt>
                <c:pt idx="26">
                  <c:v>C</c:v>
                </c:pt>
                <c:pt idx="27">
                  <c:v>D</c:v>
                </c:pt>
                <c:pt idx="30">
                  <c:v>A</c:v>
                </c:pt>
                <c:pt idx="31">
                  <c:v>B</c:v>
                </c:pt>
                <c:pt idx="32">
                  <c:v>C</c:v>
                </c:pt>
                <c:pt idx="33">
                  <c:v>D</c:v>
                </c:pt>
              </c:strCache>
            </c:strRef>
          </c:cat>
          <c:val>
            <c:numRef>
              <c:f>'3. Fe-Sulfide Lib. and Assoc.'!$B$18:$AI$18</c:f>
              <c:numCache>
                <c:formatCode>0%</c:formatCode>
                <c:ptCount val="34"/>
                <c:pt idx="0">
                  <c:v>0.41355617679664558</c:v>
                </c:pt>
                <c:pt idx="1">
                  <c:v>0.27409894562079473</c:v>
                </c:pt>
                <c:pt idx="2">
                  <c:v>0.40648141546698491</c:v>
                </c:pt>
                <c:pt idx="3">
                  <c:v>0.73273569377388947</c:v>
                </c:pt>
                <c:pt idx="6">
                  <c:v>0.38599280789097706</c:v>
                </c:pt>
                <c:pt idx="7">
                  <c:v>0.22812588781559465</c:v>
                </c:pt>
                <c:pt idx="8">
                  <c:v>0.33472492030651368</c:v>
                </c:pt>
                <c:pt idx="9">
                  <c:v>0.37472986418743776</c:v>
                </c:pt>
                <c:pt idx="12">
                  <c:v>0.33110511596136399</c:v>
                </c:pt>
                <c:pt idx="13">
                  <c:v>0.20923910207066854</c:v>
                </c:pt>
                <c:pt idx="14">
                  <c:v>0.28881386706428369</c:v>
                </c:pt>
                <c:pt idx="15">
                  <c:v>0.73853671993536829</c:v>
                </c:pt>
                <c:pt idx="18">
                  <c:v>0.19628712513069405</c:v>
                </c:pt>
                <c:pt idx="19">
                  <c:v>0.11030755410410314</c:v>
                </c:pt>
                <c:pt idx="20">
                  <c:v>0.2446283819141723</c:v>
                </c:pt>
                <c:pt idx="21">
                  <c:v>0.41723191777419888</c:v>
                </c:pt>
                <c:pt idx="24">
                  <c:v>0.10525792375559749</c:v>
                </c:pt>
                <c:pt idx="25">
                  <c:v>3.7389604103611862E-2</c:v>
                </c:pt>
                <c:pt idx="26">
                  <c:v>9.8025018003742206E-2</c:v>
                </c:pt>
                <c:pt idx="27">
                  <c:v>0.20620938645966319</c:v>
                </c:pt>
                <c:pt idx="30">
                  <c:v>0.34258655087032569</c:v>
                </c:pt>
                <c:pt idx="31">
                  <c:v>0.21411651116666525</c:v>
                </c:pt>
                <c:pt idx="32">
                  <c:v>0.33148687853832604</c:v>
                </c:pt>
                <c:pt idx="33">
                  <c:v>0.51707401818329068</c:v>
                </c:pt>
              </c:numCache>
            </c:numRef>
          </c:val>
          <c:extLst>
            <c:ext xmlns:c16="http://schemas.microsoft.com/office/drawing/2014/chart" uri="{C3380CC4-5D6E-409C-BE32-E72D297353CC}">
              <c16:uniqueId val="{00000003-45F7-F248-B115-EFCFFCEECE43}"/>
            </c:ext>
          </c:extLst>
        </c:ser>
        <c:ser>
          <c:idx val="4"/>
          <c:order val="4"/>
          <c:tx>
            <c:strRef>
              <c:f>'3. Fe-Sulfide Lib. and Assoc.'!$A$17</c:f>
              <c:strCache>
                <c:ptCount val="1"/>
                <c:pt idx="0">
                  <c:v>Fast Weathering</c:v>
                </c:pt>
              </c:strCache>
            </c:strRef>
          </c:tx>
          <c:spPr>
            <a:solidFill>
              <a:srgbClr val="2F6C16"/>
            </a:solidFill>
            <a:ln>
              <a:noFill/>
            </a:ln>
            <a:effectLst/>
          </c:spPr>
          <c:invertIfNegative val="0"/>
          <c:cat>
            <c:strRef>
              <c:f>'3. Fe-Sulfide Lib. and Assoc.'!$B$3:$AI$3</c:f>
              <c:strCache>
                <c:ptCount val="34"/>
                <c:pt idx="0">
                  <c:v>A</c:v>
                </c:pt>
                <c:pt idx="1">
                  <c:v>B</c:v>
                </c:pt>
                <c:pt idx="2">
                  <c:v>C</c:v>
                </c:pt>
                <c:pt idx="3">
                  <c:v>D</c:v>
                </c:pt>
                <c:pt idx="6">
                  <c:v>A</c:v>
                </c:pt>
                <c:pt idx="7">
                  <c:v>B</c:v>
                </c:pt>
                <c:pt idx="8">
                  <c:v>C</c:v>
                </c:pt>
                <c:pt idx="9">
                  <c:v>D</c:v>
                </c:pt>
                <c:pt idx="12">
                  <c:v>A</c:v>
                </c:pt>
                <c:pt idx="13">
                  <c:v>B</c:v>
                </c:pt>
                <c:pt idx="14">
                  <c:v>C</c:v>
                </c:pt>
                <c:pt idx="15">
                  <c:v>D</c:v>
                </c:pt>
                <c:pt idx="18">
                  <c:v>A</c:v>
                </c:pt>
                <c:pt idx="19">
                  <c:v>B</c:v>
                </c:pt>
                <c:pt idx="20">
                  <c:v>C</c:v>
                </c:pt>
                <c:pt idx="21">
                  <c:v>D</c:v>
                </c:pt>
                <c:pt idx="24">
                  <c:v>A</c:v>
                </c:pt>
                <c:pt idx="25">
                  <c:v>B</c:v>
                </c:pt>
                <c:pt idx="26">
                  <c:v>C</c:v>
                </c:pt>
                <c:pt idx="27">
                  <c:v>D</c:v>
                </c:pt>
                <c:pt idx="30">
                  <c:v>A</c:v>
                </c:pt>
                <c:pt idx="31">
                  <c:v>B</c:v>
                </c:pt>
                <c:pt idx="32">
                  <c:v>C</c:v>
                </c:pt>
                <c:pt idx="33">
                  <c:v>D</c:v>
                </c:pt>
              </c:strCache>
            </c:strRef>
          </c:cat>
          <c:val>
            <c:numRef>
              <c:f>'3. Fe-Sulfide Lib. and Assoc.'!$B$17:$AI$17</c:f>
              <c:numCache>
                <c:formatCode>0%</c:formatCode>
                <c:ptCount val="34"/>
                <c:pt idx="0">
                  <c:v>2.0304140357642102E-2</c:v>
                </c:pt>
                <c:pt idx="1">
                  <c:v>3.5038594491457178E-3</c:v>
                </c:pt>
                <c:pt idx="2">
                  <c:v>4.5235330218312371E-3</c:v>
                </c:pt>
                <c:pt idx="3">
                  <c:v>9.77777079396756E-3</c:v>
                </c:pt>
                <c:pt idx="6">
                  <c:v>1.0614296372853832E-2</c:v>
                </c:pt>
                <c:pt idx="7">
                  <c:v>3.1734501177682101E-3</c:v>
                </c:pt>
                <c:pt idx="8">
                  <c:v>3.2196289604377736E-3</c:v>
                </c:pt>
                <c:pt idx="9">
                  <c:v>9.5664518255160272E-3</c:v>
                </c:pt>
                <c:pt idx="12">
                  <c:v>9.7367991904571752E-3</c:v>
                </c:pt>
                <c:pt idx="13">
                  <c:v>2.5344591911657982E-3</c:v>
                </c:pt>
                <c:pt idx="14">
                  <c:v>2.3979931471360869E-3</c:v>
                </c:pt>
                <c:pt idx="15">
                  <c:v>9.9312301720230946E-3</c:v>
                </c:pt>
                <c:pt idx="18">
                  <c:v>1.0417540741777045E-2</c:v>
                </c:pt>
                <c:pt idx="19">
                  <c:v>2.2610793221815289E-3</c:v>
                </c:pt>
                <c:pt idx="20">
                  <c:v>7.3580541841985515E-4</c:v>
                </c:pt>
                <c:pt idx="21">
                  <c:v>6.3012508938927302E-3</c:v>
                </c:pt>
                <c:pt idx="24">
                  <c:v>4.290146253936384E-3</c:v>
                </c:pt>
                <c:pt idx="25">
                  <c:v>7.6157292548579062E-4</c:v>
                </c:pt>
                <c:pt idx="26">
                  <c:v>9.300871840448602E-4</c:v>
                </c:pt>
                <c:pt idx="27">
                  <c:v>2.9841732582234649E-3</c:v>
                </c:pt>
                <c:pt idx="30">
                  <c:v>1.4383102916812048E-2</c:v>
                </c:pt>
                <c:pt idx="31">
                  <c:v>2.9389893243095353E-3</c:v>
                </c:pt>
                <c:pt idx="32">
                  <c:v>3.330169155908295E-3</c:v>
                </c:pt>
                <c:pt idx="33">
                  <c:v>8.9526720798423533E-3</c:v>
                </c:pt>
              </c:numCache>
            </c:numRef>
          </c:val>
          <c:extLst>
            <c:ext xmlns:c16="http://schemas.microsoft.com/office/drawing/2014/chart" uri="{C3380CC4-5D6E-409C-BE32-E72D297353CC}">
              <c16:uniqueId val="{00000004-45F7-F248-B115-EFCFFCEECE43}"/>
            </c:ext>
          </c:extLst>
        </c:ser>
        <c:ser>
          <c:idx val="5"/>
          <c:order val="5"/>
          <c:tx>
            <c:strRef>
              <c:f>'3. Fe-Sulfide Lib. and Assoc.'!$A$16</c:f>
              <c:strCache>
                <c:ptCount val="1"/>
                <c:pt idx="0">
                  <c:v>Dissolving</c:v>
                </c:pt>
              </c:strCache>
            </c:strRef>
          </c:tx>
          <c:spPr>
            <a:solidFill>
              <a:srgbClr val="6DFBFC"/>
            </a:solidFill>
            <a:ln>
              <a:noFill/>
            </a:ln>
            <a:effectLst/>
          </c:spPr>
          <c:invertIfNegative val="0"/>
          <c:cat>
            <c:strRef>
              <c:f>'3. Fe-Sulfide Lib. and Assoc.'!$B$3:$AI$3</c:f>
              <c:strCache>
                <c:ptCount val="34"/>
                <c:pt idx="0">
                  <c:v>A</c:v>
                </c:pt>
                <c:pt idx="1">
                  <c:v>B</c:v>
                </c:pt>
                <c:pt idx="2">
                  <c:v>C</c:v>
                </c:pt>
                <c:pt idx="3">
                  <c:v>D</c:v>
                </c:pt>
                <c:pt idx="6">
                  <c:v>A</c:v>
                </c:pt>
                <c:pt idx="7">
                  <c:v>B</c:v>
                </c:pt>
                <c:pt idx="8">
                  <c:v>C</c:v>
                </c:pt>
                <c:pt idx="9">
                  <c:v>D</c:v>
                </c:pt>
                <c:pt idx="12">
                  <c:v>A</c:v>
                </c:pt>
                <c:pt idx="13">
                  <c:v>B</c:v>
                </c:pt>
                <c:pt idx="14">
                  <c:v>C</c:v>
                </c:pt>
                <c:pt idx="15">
                  <c:v>D</c:v>
                </c:pt>
                <c:pt idx="18">
                  <c:v>A</c:v>
                </c:pt>
                <c:pt idx="19">
                  <c:v>B</c:v>
                </c:pt>
                <c:pt idx="20">
                  <c:v>C</c:v>
                </c:pt>
                <c:pt idx="21">
                  <c:v>D</c:v>
                </c:pt>
                <c:pt idx="24">
                  <c:v>A</c:v>
                </c:pt>
                <c:pt idx="25">
                  <c:v>B</c:v>
                </c:pt>
                <c:pt idx="26">
                  <c:v>C</c:v>
                </c:pt>
                <c:pt idx="27">
                  <c:v>D</c:v>
                </c:pt>
                <c:pt idx="30">
                  <c:v>A</c:v>
                </c:pt>
                <c:pt idx="31">
                  <c:v>B</c:v>
                </c:pt>
                <c:pt idx="32">
                  <c:v>C</c:v>
                </c:pt>
                <c:pt idx="33">
                  <c:v>D</c:v>
                </c:pt>
              </c:strCache>
            </c:strRef>
          </c:cat>
          <c:val>
            <c:numRef>
              <c:f>'3. Fe-Sulfide Lib. and Assoc.'!$B$16:$AI$16</c:f>
              <c:numCache>
                <c:formatCode>0%</c:formatCode>
                <c:ptCount val="34"/>
                <c:pt idx="0">
                  <c:v>1.3257338410372559E-2</c:v>
                </c:pt>
                <c:pt idx="1">
                  <c:v>4.8090099242978052E-2</c:v>
                </c:pt>
                <c:pt idx="2">
                  <c:v>0.12169356574262294</c:v>
                </c:pt>
                <c:pt idx="3">
                  <c:v>4.4850465711019513E-2</c:v>
                </c:pt>
                <c:pt idx="6">
                  <c:v>2.0988316775392892E-2</c:v>
                </c:pt>
                <c:pt idx="7">
                  <c:v>5.1773528019757993E-2</c:v>
                </c:pt>
                <c:pt idx="8">
                  <c:v>9.6507903034810522E-2</c:v>
                </c:pt>
                <c:pt idx="9">
                  <c:v>4.1215912187640577E-2</c:v>
                </c:pt>
                <c:pt idx="12">
                  <c:v>1.1840595137425764E-2</c:v>
                </c:pt>
                <c:pt idx="13">
                  <c:v>5.1046607555403509E-2</c:v>
                </c:pt>
                <c:pt idx="14">
                  <c:v>8.700118673643667E-2</c:v>
                </c:pt>
                <c:pt idx="15">
                  <c:v>4.6877770990561347E-2</c:v>
                </c:pt>
                <c:pt idx="18">
                  <c:v>1.2620475383531577E-2</c:v>
                </c:pt>
                <c:pt idx="19">
                  <c:v>3.6320014061607779E-2</c:v>
                </c:pt>
                <c:pt idx="20">
                  <c:v>5.1140271227541965E-2</c:v>
                </c:pt>
                <c:pt idx="21">
                  <c:v>3.3033830443740739E-2</c:v>
                </c:pt>
                <c:pt idx="24">
                  <c:v>9.5034885372008576E-3</c:v>
                </c:pt>
                <c:pt idx="25">
                  <c:v>1.390777223446669E-2</c:v>
                </c:pt>
                <c:pt idx="26">
                  <c:v>3.7190263373395684E-2</c:v>
                </c:pt>
                <c:pt idx="27">
                  <c:v>2.0889212807564263E-2</c:v>
                </c:pt>
                <c:pt idx="30">
                  <c:v>1.4686116160818901E-2</c:v>
                </c:pt>
                <c:pt idx="31">
                  <c:v>4.611687181104155E-2</c:v>
                </c:pt>
                <c:pt idx="32">
                  <c:v>9.7057415157304455E-2</c:v>
                </c:pt>
                <c:pt idx="33">
                  <c:v>4.0151161124852133E-2</c:v>
                </c:pt>
              </c:numCache>
            </c:numRef>
          </c:val>
          <c:extLst>
            <c:ext xmlns:c16="http://schemas.microsoft.com/office/drawing/2014/chart" uri="{C3380CC4-5D6E-409C-BE32-E72D297353CC}">
              <c16:uniqueId val="{00000005-45F7-F248-B115-EFCFFCEECE43}"/>
            </c:ext>
          </c:extLst>
        </c:ser>
        <c:ser>
          <c:idx val="6"/>
          <c:order val="6"/>
          <c:tx>
            <c:strRef>
              <c:f>'3. Fe-Sulfide Lib. and Assoc.'!$A$15</c:f>
              <c:strCache>
                <c:ptCount val="1"/>
                <c:pt idx="0">
                  <c:v>Other Sulfide</c:v>
                </c:pt>
              </c:strCache>
            </c:strRef>
          </c:tx>
          <c:spPr>
            <a:solidFill>
              <a:srgbClr val="FF0000"/>
            </a:solidFill>
            <a:ln>
              <a:noFill/>
            </a:ln>
            <a:effectLst/>
          </c:spPr>
          <c:invertIfNegative val="0"/>
          <c:cat>
            <c:strRef>
              <c:f>'3. Fe-Sulfide Lib. and Assoc.'!$B$3:$AI$3</c:f>
              <c:strCache>
                <c:ptCount val="34"/>
                <c:pt idx="0">
                  <c:v>A</c:v>
                </c:pt>
                <c:pt idx="1">
                  <c:v>B</c:v>
                </c:pt>
                <c:pt idx="2">
                  <c:v>C</c:v>
                </c:pt>
                <c:pt idx="3">
                  <c:v>D</c:v>
                </c:pt>
                <c:pt idx="6">
                  <c:v>A</c:v>
                </c:pt>
                <c:pt idx="7">
                  <c:v>B</c:v>
                </c:pt>
                <c:pt idx="8">
                  <c:v>C</c:v>
                </c:pt>
                <c:pt idx="9">
                  <c:v>D</c:v>
                </c:pt>
                <c:pt idx="12">
                  <c:v>A</c:v>
                </c:pt>
                <c:pt idx="13">
                  <c:v>B</c:v>
                </c:pt>
                <c:pt idx="14">
                  <c:v>C</c:v>
                </c:pt>
                <c:pt idx="15">
                  <c:v>D</c:v>
                </c:pt>
                <c:pt idx="18">
                  <c:v>A</c:v>
                </c:pt>
                <c:pt idx="19">
                  <c:v>B</c:v>
                </c:pt>
                <c:pt idx="20">
                  <c:v>C</c:v>
                </c:pt>
                <c:pt idx="21">
                  <c:v>D</c:v>
                </c:pt>
                <c:pt idx="24">
                  <c:v>A</c:v>
                </c:pt>
                <c:pt idx="25">
                  <c:v>B</c:v>
                </c:pt>
                <c:pt idx="26">
                  <c:v>C</c:v>
                </c:pt>
                <c:pt idx="27">
                  <c:v>D</c:v>
                </c:pt>
                <c:pt idx="30">
                  <c:v>A</c:v>
                </c:pt>
                <c:pt idx="31">
                  <c:v>B</c:v>
                </c:pt>
                <c:pt idx="32">
                  <c:v>C</c:v>
                </c:pt>
                <c:pt idx="33">
                  <c:v>D</c:v>
                </c:pt>
              </c:strCache>
            </c:strRef>
          </c:cat>
          <c:val>
            <c:numRef>
              <c:f>'3. Fe-Sulfide Lib. and Assoc.'!$B$15:$AI$15</c:f>
              <c:numCache>
                <c:formatCode>0%</c:formatCode>
                <c:ptCount val="34"/>
                <c:pt idx="0">
                  <c:v>1.2049934930351371E-3</c:v>
                </c:pt>
                <c:pt idx="1">
                  <c:v>2.6836490689001471E-3</c:v>
                </c:pt>
                <c:pt idx="2">
                  <c:v>5.1840899360284668E-3</c:v>
                </c:pt>
                <c:pt idx="3">
                  <c:v>6.6154142294260285E-3</c:v>
                </c:pt>
                <c:pt idx="6">
                  <c:v>1.5133170761932164E-3</c:v>
                </c:pt>
                <c:pt idx="7">
                  <c:v>3.6028976732482743E-3</c:v>
                </c:pt>
                <c:pt idx="8">
                  <c:v>6.6532389064422456E-3</c:v>
                </c:pt>
                <c:pt idx="9">
                  <c:v>8.9136896274185449E-3</c:v>
                </c:pt>
                <c:pt idx="12">
                  <c:v>2.0498524611488752E-3</c:v>
                </c:pt>
                <c:pt idx="13">
                  <c:v>6.6773251767252781E-3</c:v>
                </c:pt>
                <c:pt idx="14">
                  <c:v>7.607303668849247E-3</c:v>
                </c:pt>
                <c:pt idx="15">
                  <c:v>9.7735915978639943E-3</c:v>
                </c:pt>
                <c:pt idx="18">
                  <c:v>3.5666560866502266E-3</c:v>
                </c:pt>
                <c:pt idx="19">
                  <c:v>6.3721326352388459E-3</c:v>
                </c:pt>
                <c:pt idx="20">
                  <c:v>6.2166584619667798E-3</c:v>
                </c:pt>
                <c:pt idx="21">
                  <c:v>1.5390327940841084E-2</c:v>
                </c:pt>
                <c:pt idx="24">
                  <c:v>1.1702867312953051E-2</c:v>
                </c:pt>
                <c:pt idx="25">
                  <c:v>4.8776932608494625E-3</c:v>
                </c:pt>
                <c:pt idx="26">
                  <c:v>8.3134807066758531E-3</c:v>
                </c:pt>
                <c:pt idx="27">
                  <c:v>9.3745240738131088E-3</c:v>
                </c:pt>
                <c:pt idx="30">
                  <c:v>2.4942891666595991E-3</c:v>
                </c:pt>
                <c:pt idx="31">
                  <c:v>4.2243893491185512E-3</c:v>
                </c:pt>
                <c:pt idx="32">
                  <c:v>5.8457898203345422E-3</c:v>
                </c:pt>
                <c:pt idx="33">
                  <c:v>7.9987691601530846E-3</c:v>
                </c:pt>
              </c:numCache>
            </c:numRef>
          </c:val>
          <c:extLst>
            <c:ext xmlns:c16="http://schemas.microsoft.com/office/drawing/2014/chart" uri="{C3380CC4-5D6E-409C-BE32-E72D297353CC}">
              <c16:uniqueId val="{00000006-45F7-F248-B115-EFCFFCEECE43}"/>
            </c:ext>
          </c:extLst>
        </c:ser>
        <c:ser>
          <c:idx val="7"/>
          <c:order val="7"/>
          <c:tx>
            <c:strRef>
              <c:f>'3. Fe-Sulfide Lib. and Assoc.'!$A$22</c:f>
              <c:strCache>
                <c:ptCount val="1"/>
                <c:pt idx="0">
                  <c:v>Liberated Fe-Sulfide</c:v>
                </c:pt>
              </c:strCache>
            </c:strRef>
          </c:tx>
          <c:spPr>
            <a:solidFill>
              <a:srgbClr val="FEF951"/>
            </a:solidFill>
            <a:ln>
              <a:noFill/>
            </a:ln>
            <a:effectLst/>
          </c:spPr>
          <c:invertIfNegative val="0"/>
          <c:cat>
            <c:strRef>
              <c:f>'3. Fe-Sulfide Lib. and Assoc.'!$B$3:$AI$3</c:f>
              <c:strCache>
                <c:ptCount val="34"/>
                <c:pt idx="0">
                  <c:v>A</c:v>
                </c:pt>
                <c:pt idx="1">
                  <c:v>B</c:v>
                </c:pt>
                <c:pt idx="2">
                  <c:v>C</c:v>
                </c:pt>
                <c:pt idx="3">
                  <c:v>D</c:v>
                </c:pt>
                <c:pt idx="6">
                  <c:v>A</c:v>
                </c:pt>
                <c:pt idx="7">
                  <c:v>B</c:v>
                </c:pt>
                <c:pt idx="8">
                  <c:v>C</c:v>
                </c:pt>
                <c:pt idx="9">
                  <c:v>D</c:v>
                </c:pt>
                <c:pt idx="12">
                  <c:v>A</c:v>
                </c:pt>
                <c:pt idx="13">
                  <c:v>B</c:v>
                </c:pt>
                <c:pt idx="14">
                  <c:v>C</c:v>
                </c:pt>
                <c:pt idx="15">
                  <c:v>D</c:v>
                </c:pt>
                <c:pt idx="18">
                  <c:v>A</c:v>
                </c:pt>
                <c:pt idx="19">
                  <c:v>B</c:v>
                </c:pt>
                <c:pt idx="20">
                  <c:v>C</c:v>
                </c:pt>
                <c:pt idx="21">
                  <c:v>D</c:v>
                </c:pt>
                <c:pt idx="24">
                  <c:v>A</c:v>
                </c:pt>
                <c:pt idx="25">
                  <c:v>B</c:v>
                </c:pt>
                <c:pt idx="26">
                  <c:v>C</c:v>
                </c:pt>
                <c:pt idx="27">
                  <c:v>D</c:v>
                </c:pt>
                <c:pt idx="30">
                  <c:v>A</c:v>
                </c:pt>
                <c:pt idx="31">
                  <c:v>B</c:v>
                </c:pt>
                <c:pt idx="32">
                  <c:v>C</c:v>
                </c:pt>
                <c:pt idx="33">
                  <c:v>D</c:v>
                </c:pt>
              </c:strCache>
            </c:strRef>
          </c:cat>
          <c:val>
            <c:numRef>
              <c:f>'3. Fe-Sulfide Lib. and Assoc.'!$B$22:$AI$22</c:f>
              <c:numCache>
                <c:formatCode>0%</c:formatCode>
                <c:ptCount val="34"/>
                <c:pt idx="0">
                  <c:v>0</c:v>
                </c:pt>
                <c:pt idx="1">
                  <c:v>0</c:v>
                </c:pt>
                <c:pt idx="2">
                  <c:v>7.3383742807525604E-2</c:v>
                </c:pt>
                <c:pt idx="3">
                  <c:v>0</c:v>
                </c:pt>
                <c:pt idx="6">
                  <c:v>5.5466729956717392E-2</c:v>
                </c:pt>
                <c:pt idx="7">
                  <c:v>1.7083781361834225E-2</c:v>
                </c:pt>
                <c:pt idx="8">
                  <c:v>0.27212260996891796</c:v>
                </c:pt>
                <c:pt idx="9">
                  <c:v>0</c:v>
                </c:pt>
                <c:pt idx="12">
                  <c:v>0.16873088351831</c:v>
                </c:pt>
                <c:pt idx="13">
                  <c:v>0.151524799624142</c:v>
                </c:pt>
                <c:pt idx="14">
                  <c:v>0.26833060207204623</c:v>
                </c:pt>
                <c:pt idx="15">
                  <c:v>0</c:v>
                </c:pt>
                <c:pt idx="18">
                  <c:v>0.34910140290165848</c:v>
                </c:pt>
                <c:pt idx="19">
                  <c:v>0.46889188052687142</c:v>
                </c:pt>
                <c:pt idx="20">
                  <c:v>0.40963639309131944</c:v>
                </c:pt>
                <c:pt idx="21">
                  <c:v>8.1035753474511321E-2</c:v>
                </c:pt>
                <c:pt idx="24">
                  <c:v>0.51925924413959701</c:v>
                </c:pt>
                <c:pt idx="25">
                  <c:v>0.79274336813565294</c:v>
                </c:pt>
                <c:pt idx="26">
                  <c:v>0.7493304839095779</c:v>
                </c:pt>
                <c:pt idx="27">
                  <c:v>0.47547879932983389</c:v>
                </c:pt>
                <c:pt idx="30">
                  <c:v>0.12449002025184797</c:v>
                </c:pt>
                <c:pt idx="31">
                  <c:v>0.14217212107935492</c:v>
                </c:pt>
                <c:pt idx="32">
                  <c:v>0.24602327040193028</c:v>
                </c:pt>
                <c:pt idx="33">
                  <c:v>6.4886250563916809E-2</c:v>
                </c:pt>
              </c:numCache>
            </c:numRef>
          </c:val>
          <c:extLst>
            <c:ext xmlns:c16="http://schemas.microsoft.com/office/drawing/2014/chart" uri="{C3380CC4-5D6E-409C-BE32-E72D297353CC}">
              <c16:uniqueId val="{00000007-45F7-F248-B115-EFCFFCEECE43}"/>
            </c:ext>
          </c:extLst>
        </c:ser>
        <c:dLbls>
          <c:showLegendKey val="0"/>
          <c:showVal val="0"/>
          <c:showCatName val="0"/>
          <c:showSerName val="0"/>
          <c:showPercent val="0"/>
          <c:showBubbleSize val="0"/>
        </c:dLbls>
        <c:gapWidth val="10"/>
        <c:overlap val="100"/>
        <c:axId val="227210736"/>
        <c:axId val="227211128"/>
      </c:barChart>
      <c:catAx>
        <c:axId val="227210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27211128"/>
        <c:crosses val="autoZero"/>
        <c:auto val="1"/>
        <c:lblAlgn val="ctr"/>
        <c:lblOffset val="100"/>
        <c:noMultiLvlLbl val="0"/>
      </c:catAx>
      <c:valAx>
        <c:axId val="2272111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ZA"/>
                  <a:t>Fe-sulfide liberation and association %</a:t>
                </a:r>
              </a:p>
            </c:rich>
          </c:tx>
          <c:overlay val="0"/>
          <c:spPr>
            <a:noFill/>
            <a:ln>
              <a:noFill/>
            </a:ln>
            <a:effectLst/>
          </c:spPr>
          <c:txPr>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27210736"/>
        <c:crosses val="autoZero"/>
        <c:crossBetween val="between"/>
      </c:valAx>
      <c:spPr>
        <a:noFill/>
        <a:ln>
          <a:noFill/>
        </a:ln>
        <a:effectLst/>
      </c:spPr>
    </c:plotArea>
    <c:legend>
      <c:legendPos val="r"/>
      <c:layout>
        <c:manualLayout>
          <c:xMode val="edge"/>
          <c:yMode val="edge"/>
          <c:x val="0.7796123629397006"/>
          <c:y val="0.13207789745418358"/>
          <c:w val="0.21333177771079959"/>
          <c:h val="0.57768969793873193"/>
        </c:manualLayout>
      </c:layout>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cap="none" spc="120" normalizeH="0" baseline="0">
                <a:solidFill>
                  <a:sysClr val="windowText" lastClr="000000"/>
                </a:solidFill>
                <a:latin typeface="Times New Roman" panose="02020603050405020304" pitchFamily="18" charset="0"/>
                <a:ea typeface="+mn-ea"/>
                <a:cs typeface="Times New Roman" panose="02020603050405020304" pitchFamily="18" charset="0"/>
              </a:defRPr>
            </a:pPr>
            <a:r>
              <a:rPr lang="en-GB"/>
              <a:t>Sample</a:t>
            </a:r>
            <a:r>
              <a:rPr lang="en-GB" baseline="0"/>
              <a:t> A - Fe-sulfide Grain Size Distribution </a:t>
            </a:r>
            <a:endParaRPr lang="en-GB"/>
          </a:p>
        </c:rich>
      </c:tx>
      <c:overlay val="0"/>
      <c:spPr>
        <a:noFill/>
        <a:ln>
          <a:noFill/>
        </a:ln>
        <a:effectLst/>
      </c:spPr>
      <c:txPr>
        <a:bodyPr rot="0" spcFirstLastPara="1" vertOverflow="ellipsis" vert="horz" wrap="square" anchor="ctr" anchorCtr="1"/>
        <a:lstStyle/>
        <a:p>
          <a:pPr>
            <a:defRPr sz="1440" b="1" i="0" u="none" strike="noStrike" kern="1200" cap="none" spc="120" normalizeH="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7.3020875521845774E-2"/>
          <c:y val="0.12470003328823137"/>
          <c:w val="0.72996815445497998"/>
          <c:h val="0.74873181775272968"/>
        </c:manualLayout>
      </c:layout>
      <c:scatterChart>
        <c:scatterStyle val="smoothMarker"/>
        <c:varyColors val="0"/>
        <c:ser>
          <c:idx val="0"/>
          <c:order val="0"/>
          <c:tx>
            <c:strRef>
              <c:f>'5. Grain Size Distribution'!$B$3</c:f>
              <c:strCache>
                <c:ptCount val="1"/>
                <c:pt idx="0">
                  <c:v>HCT</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xVal>
            <c:numRef>
              <c:f>'5. Grain Size Distribution'!$A$5:$A$37</c:f>
              <c:numCache>
                <c:formatCode>0.00</c:formatCode>
                <c:ptCount val="33"/>
                <c:pt idx="0" formatCode="General">
                  <c:v>0.5</c:v>
                </c:pt>
                <c:pt idx="1">
                  <c:v>2</c:v>
                </c:pt>
                <c:pt idx="2" formatCode="General">
                  <c:v>4</c:v>
                </c:pt>
                <c:pt idx="3">
                  <c:v>6</c:v>
                </c:pt>
                <c:pt idx="4" formatCode="General">
                  <c:v>8.5</c:v>
                </c:pt>
                <c:pt idx="5" formatCode="General">
                  <c:v>12.5</c:v>
                </c:pt>
                <c:pt idx="6" formatCode="General">
                  <c:v>17.5</c:v>
                </c:pt>
                <c:pt idx="7" formatCode="General">
                  <c:v>21</c:v>
                </c:pt>
                <c:pt idx="8" formatCode="General">
                  <c:v>22.5</c:v>
                </c:pt>
                <c:pt idx="9" formatCode="General">
                  <c:v>24</c:v>
                </c:pt>
                <c:pt idx="10" formatCode="General">
                  <c:v>27.5</c:v>
                </c:pt>
                <c:pt idx="11" formatCode="General">
                  <c:v>34</c:v>
                </c:pt>
                <c:pt idx="12" formatCode="General">
                  <c:v>41.5</c:v>
                </c:pt>
                <c:pt idx="13" formatCode="General">
                  <c:v>49</c:v>
                </c:pt>
                <c:pt idx="14" formatCode="General">
                  <c:v>59</c:v>
                </c:pt>
                <c:pt idx="15" formatCode="General">
                  <c:v>70</c:v>
                </c:pt>
                <c:pt idx="16" formatCode="General">
                  <c:v>77.5</c:v>
                </c:pt>
                <c:pt idx="17" formatCode="General">
                  <c:v>85</c:v>
                </c:pt>
                <c:pt idx="18" formatCode="General">
                  <c:v>92.5</c:v>
                </c:pt>
                <c:pt idx="19" formatCode="General">
                  <c:v>97.5</c:v>
                </c:pt>
                <c:pt idx="20" formatCode="General">
                  <c:v>102.5</c:v>
                </c:pt>
                <c:pt idx="21" formatCode="General">
                  <c:v>107.5</c:v>
                </c:pt>
                <c:pt idx="22" formatCode="General">
                  <c:v>112.5</c:v>
                </c:pt>
                <c:pt idx="23" formatCode="General">
                  <c:v>117.5</c:v>
                </c:pt>
                <c:pt idx="24" formatCode="General">
                  <c:v>122.5</c:v>
                </c:pt>
                <c:pt idx="25" formatCode="General">
                  <c:v>137.5</c:v>
                </c:pt>
                <c:pt idx="26" formatCode="General">
                  <c:v>225</c:v>
                </c:pt>
                <c:pt idx="27" formatCode="General">
                  <c:v>350</c:v>
                </c:pt>
                <c:pt idx="28" formatCode="General">
                  <c:v>450</c:v>
                </c:pt>
                <c:pt idx="29" formatCode="General">
                  <c:v>750</c:v>
                </c:pt>
                <c:pt idx="30" formatCode="General">
                  <c:v>1500</c:v>
                </c:pt>
                <c:pt idx="31" formatCode="General">
                  <c:v>3000</c:v>
                </c:pt>
                <c:pt idx="32" formatCode="0">
                  <c:v>5350</c:v>
                </c:pt>
              </c:numCache>
            </c:numRef>
          </c:xVal>
          <c:yVal>
            <c:numRef>
              <c:f>'5. Grain Size Distribution'!$B$5:$B$37</c:f>
              <c:numCache>
                <c:formatCode>0%</c:formatCode>
                <c:ptCount val="33"/>
                <c:pt idx="0">
                  <c:v>0</c:v>
                </c:pt>
                <c:pt idx="1">
                  <c:v>0</c:v>
                </c:pt>
                <c:pt idx="2">
                  <c:v>0</c:v>
                </c:pt>
                <c:pt idx="3">
                  <c:v>9.1626120974974933E-3</c:v>
                </c:pt>
                <c:pt idx="4">
                  <c:v>1.8260673155877507E-2</c:v>
                </c:pt>
                <c:pt idx="5">
                  <c:v>4.5429290210092392E-2</c:v>
                </c:pt>
                <c:pt idx="6">
                  <c:v>5.3207761045736726E-2</c:v>
                </c:pt>
                <c:pt idx="7">
                  <c:v>6.4773221948359105E-2</c:v>
                </c:pt>
                <c:pt idx="8">
                  <c:v>0.15885387051059577</c:v>
                </c:pt>
                <c:pt idx="9">
                  <c:v>0.16632008410797242</c:v>
                </c:pt>
                <c:pt idx="10">
                  <c:v>0.19559501182430605</c:v>
                </c:pt>
                <c:pt idx="11">
                  <c:v>0.256166834750578</c:v>
                </c:pt>
                <c:pt idx="12">
                  <c:v>0.33016346144856124</c:v>
                </c:pt>
                <c:pt idx="13">
                  <c:v>0.38284329826531743</c:v>
                </c:pt>
                <c:pt idx="14">
                  <c:v>0.46474401969557322</c:v>
                </c:pt>
                <c:pt idx="15">
                  <c:v>0.5316435323824078</c:v>
                </c:pt>
                <c:pt idx="16">
                  <c:v>0.55608862930410052</c:v>
                </c:pt>
                <c:pt idx="17">
                  <c:v>0.60536272163002169</c:v>
                </c:pt>
                <c:pt idx="18">
                  <c:v>0.62483670354436682</c:v>
                </c:pt>
                <c:pt idx="19">
                  <c:v>0.64626287175801633</c:v>
                </c:pt>
                <c:pt idx="20">
                  <c:v>0.66221893587358072</c:v>
                </c:pt>
                <c:pt idx="21">
                  <c:v>0.67580303181143087</c:v>
                </c:pt>
                <c:pt idx="22">
                  <c:v>0.69249118041590196</c:v>
                </c:pt>
                <c:pt idx="23">
                  <c:v>0.70487061535176054</c:v>
                </c:pt>
                <c:pt idx="24">
                  <c:v>0.72484705150917483</c:v>
                </c:pt>
                <c:pt idx="25">
                  <c:v>0.78189466707084365</c:v>
                </c:pt>
                <c:pt idx="26">
                  <c:v>0.94824257901724318</c:v>
                </c:pt>
                <c:pt idx="27">
                  <c:v>0.97043308523497407</c:v>
                </c:pt>
                <c:pt idx="28">
                  <c:v>0.98536938220776182</c:v>
                </c:pt>
                <c:pt idx="29">
                  <c:v>1</c:v>
                </c:pt>
                <c:pt idx="30">
                  <c:v>1</c:v>
                </c:pt>
                <c:pt idx="31">
                  <c:v>1</c:v>
                </c:pt>
                <c:pt idx="32">
                  <c:v>1</c:v>
                </c:pt>
              </c:numCache>
            </c:numRef>
          </c:yVal>
          <c:smooth val="1"/>
          <c:extLst>
            <c:ext xmlns:c16="http://schemas.microsoft.com/office/drawing/2014/chart" uri="{C3380CC4-5D6E-409C-BE32-E72D297353CC}">
              <c16:uniqueId val="{00000006-A142-714D-8CF9-89DC2661A963}"/>
            </c:ext>
          </c:extLst>
        </c:ser>
        <c:ser>
          <c:idx val="1"/>
          <c:order val="1"/>
          <c:tx>
            <c:strRef>
              <c:f>'5. Grain Size Distribution'!$D$3</c:f>
              <c:strCache>
                <c:ptCount val="1"/>
                <c:pt idx="0">
                  <c:v>-6700/+2000</c:v>
                </c:pt>
              </c:strCache>
            </c:strRef>
          </c:tx>
          <c:spPr>
            <a:ln w="22225" cap="rnd">
              <a:solidFill>
                <a:schemeClr val="accent2"/>
              </a:solidFill>
              <a:round/>
            </a:ln>
            <a:effectLst/>
          </c:spPr>
          <c:marker>
            <c:symbol val="diamond"/>
            <c:size val="6"/>
            <c:spPr>
              <a:solidFill>
                <a:schemeClr val="accent2"/>
              </a:solidFill>
              <a:ln w="9525">
                <a:solidFill>
                  <a:schemeClr val="accent2"/>
                </a:solidFill>
                <a:round/>
              </a:ln>
              <a:effectLst/>
            </c:spPr>
          </c:marker>
          <c:xVal>
            <c:numRef>
              <c:f>'5. Grain Size Distribution'!$C$5:$C$29</c:f>
              <c:numCache>
                <c:formatCode>General</c:formatCode>
                <c:ptCount val="25"/>
                <c:pt idx="0">
                  <c:v>2.5</c:v>
                </c:pt>
                <c:pt idx="1">
                  <c:v>7.5</c:v>
                </c:pt>
                <c:pt idx="2">
                  <c:v>17.5</c:v>
                </c:pt>
                <c:pt idx="3">
                  <c:v>37.5</c:v>
                </c:pt>
                <c:pt idx="4">
                  <c:v>62.5</c:v>
                </c:pt>
                <c:pt idx="5">
                  <c:v>87.5</c:v>
                </c:pt>
                <c:pt idx="6">
                  <c:v>112.5</c:v>
                </c:pt>
                <c:pt idx="7">
                  <c:v>137.5</c:v>
                </c:pt>
                <c:pt idx="8">
                  <c:v>162.5</c:v>
                </c:pt>
                <c:pt idx="9">
                  <c:v>187.5</c:v>
                </c:pt>
                <c:pt idx="10">
                  <c:v>212.5</c:v>
                </c:pt>
                <c:pt idx="11">
                  <c:v>237.5</c:v>
                </c:pt>
                <c:pt idx="12">
                  <c:v>262.5</c:v>
                </c:pt>
                <c:pt idx="13">
                  <c:v>287.5</c:v>
                </c:pt>
                <c:pt idx="14">
                  <c:v>312.5</c:v>
                </c:pt>
                <c:pt idx="15">
                  <c:v>337.5</c:v>
                </c:pt>
                <c:pt idx="16">
                  <c:v>362.5</c:v>
                </c:pt>
                <c:pt idx="17">
                  <c:v>387.5</c:v>
                </c:pt>
                <c:pt idx="18">
                  <c:v>412.5</c:v>
                </c:pt>
                <c:pt idx="19">
                  <c:v>437.5</c:v>
                </c:pt>
                <c:pt idx="20">
                  <c:v>465</c:v>
                </c:pt>
                <c:pt idx="21">
                  <c:v>485</c:v>
                </c:pt>
                <c:pt idx="22">
                  <c:v>495</c:v>
                </c:pt>
                <c:pt idx="23">
                  <c:v>750</c:v>
                </c:pt>
                <c:pt idx="24">
                  <c:v>1000</c:v>
                </c:pt>
              </c:numCache>
            </c:numRef>
          </c:xVal>
          <c:yVal>
            <c:numRef>
              <c:f>'5. Grain Size Distribution'!$D$5:$D$29</c:f>
              <c:numCache>
                <c:formatCode>0%</c:formatCode>
                <c:ptCount val="25"/>
                <c:pt idx="0">
                  <c:v>0</c:v>
                </c:pt>
                <c:pt idx="1">
                  <c:v>0</c:v>
                </c:pt>
                <c:pt idx="2">
                  <c:v>2.8609094007148769E-2</c:v>
                </c:pt>
                <c:pt idx="3">
                  <c:v>9.0347870754196785E-2</c:v>
                </c:pt>
                <c:pt idx="4">
                  <c:v>0.18708884215292626</c:v>
                </c:pt>
                <c:pt idx="5">
                  <c:v>0.3067825791287826</c:v>
                </c:pt>
                <c:pt idx="6">
                  <c:v>0.44985893587422493</c:v>
                </c:pt>
                <c:pt idx="7">
                  <c:v>0.58620284317184879</c:v>
                </c:pt>
                <c:pt idx="8">
                  <c:v>0.68702977240233842</c:v>
                </c:pt>
                <c:pt idx="9">
                  <c:v>0.77398858378330992</c:v>
                </c:pt>
                <c:pt idx="10">
                  <c:v>0.82133498284113993</c:v>
                </c:pt>
                <c:pt idx="11">
                  <c:v>0.84191308515930996</c:v>
                </c:pt>
                <c:pt idx="12">
                  <c:v>0.86058259448883545</c:v>
                </c:pt>
                <c:pt idx="13">
                  <c:v>0.90416694485484883</c:v>
                </c:pt>
                <c:pt idx="14">
                  <c:v>0.90990300708588645</c:v>
                </c:pt>
                <c:pt idx="15">
                  <c:v>0.91420501579018332</c:v>
                </c:pt>
                <c:pt idx="16">
                  <c:v>0.91607798754848957</c:v>
                </c:pt>
                <c:pt idx="17">
                  <c:v>0.91683923182447835</c:v>
                </c:pt>
                <c:pt idx="18">
                  <c:v>0.91854109954362184</c:v>
                </c:pt>
                <c:pt idx="19">
                  <c:v>0.92636397798600367</c:v>
                </c:pt>
                <c:pt idx="20">
                  <c:v>0.98769420957520415</c:v>
                </c:pt>
                <c:pt idx="21">
                  <c:v>0.9996268418521097</c:v>
                </c:pt>
                <c:pt idx="22">
                  <c:v>0.9996268418521097</c:v>
                </c:pt>
                <c:pt idx="23">
                  <c:v>1</c:v>
                </c:pt>
                <c:pt idx="24">
                  <c:v>1</c:v>
                </c:pt>
              </c:numCache>
            </c:numRef>
          </c:yVal>
          <c:smooth val="1"/>
          <c:extLst>
            <c:ext xmlns:c16="http://schemas.microsoft.com/office/drawing/2014/chart" uri="{C3380CC4-5D6E-409C-BE32-E72D297353CC}">
              <c16:uniqueId val="{00000007-A142-714D-8CF9-89DC2661A963}"/>
            </c:ext>
          </c:extLst>
        </c:ser>
        <c:ser>
          <c:idx val="2"/>
          <c:order val="2"/>
          <c:tx>
            <c:strRef>
              <c:f>'5. Grain Size Distribution'!$E$3</c:f>
              <c:strCache>
                <c:ptCount val="1"/>
                <c:pt idx="0">
                  <c:v>-2000/+1000</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xVal>
            <c:numRef>
              <c:f>'5. Grain Size Distribution'!$C$5:$C$29</c:f>
              <c:numCache>
                <c:formatCode>General</c:formatCode>
                <c:ptCount val="25"/>
                <c:pt idx="0">
                  <c:v>2.5</c:v>
                </c:pt>
                <c:pt idx="1">
                  <c:v>7.5</c:v>
                </c:pt>
                <c:pt idx="2">
                  <c:v>17.5</c:v>
                </c:pt>
                <c:pt idx="3">
                  <c:v>37.5</c:v>
                </c:pt>
                <c:pt idx="4">
                  <c:v>62.5</c:v>
                </c:pt>
                <c:pt idx="5">
                  <c:v>87.5</c:v>
                </c:pt>
                <c:pt idx="6">
                  <c:v>112.5</c:v>
                </c:pt>
                <c:pt idx="7">
                  <c:v>137.5</c:v>
                </c:pt>
                <c:pt idx="8">
                  <c:v>162.5</c:v>
                </c:pt>
                <c:pt idx="9">
                  <c:v>187.5</c:v>
                </c:pt>
                <c:pt idx="10">
                  <c:v>212.5</c:v>
                </c:pt>
                <c:pt idx="11">
                  <c:v>237.5</c:v>
                </c:pt>
                <c:pt idx="12">
                  <c:v>262.5</c:v>
                </c:pt>
                <c:pt idx="13">
                  <c:v>287.5</c:v>
                </c:pt>
                <c:pt idx="14">
                  <c:v>312.5</c:v>
                </c:pt>
                <c:pt idx="15">
                  <c:v>337.5</c:v>
                </c:pt>
                <c:pt idx="16">
                  <c:v>362.5</c:v>
                </c:pt>
                <c:pt idx="17">
                  <c:v>387.5</c:v>
                </c:pt>
                <c:pt idx="18">
                  <c:v>412.5</c:v>
                </c:pt>
                <c:pt idx="19">
                  <c:v>437.5</c:v>
                </c:pt>
                <c:pt idx="20">
                  <c:v>465</c:v>
                </c:pt>
                <c:pt idx="21">
                  <c:v>485</c:v>
                </c:pt>
                <c:pt idx="22">
                  <c:v>495</c:v>
                </c:pt>
                <c:pt idx="23">
                  <c:v>750</c:v>
                </c:pt>
                <c:pt idx="24">
                  <c:v>1000</c:v>
                </c:pt>
              </c:numCache>
            </c:numRef>
          </c:xVal>
          <c:yVal>
            <c:numRef>
              <c:f>'5. Grain Size Distribution'!$E$5:$E$29</c:f>
              <c:numCache>
                <c:formatCode>0%</c:formatCode>
                <c:ptCount val="25"/>
                <c:pt idx="0">
                  <c:v>0</c:v>
                </c:pt>
                <c:pt idx="1">
                  <c:v>0</c:v>
                </c:pt>
                <c:pt idx="2">
                  <c:v>0.12457109034393403</c:v>
                </c:pt>
                <c:pt idx="3">
                  <c:v>0.29240891878457365</c:v>
                </c:pt>
                <c:pt idx="4">
                  <c:v>0.47934945651562549</c:v>
                </c:pt>
                <c:pt idx="5">
                  <c:v>0.61768201368113818</c:v>
                </c:pt>
                <c:pt idx="6">
                  <c:v>0.70618468184144689</c:v>
                </c:pt>
                <c:pt idx="7">
                  <c:v>0.77488737654533824</c:v>
                </c:pt>
                <c:pt idx="8">
                  <c:v>0.85950495199699595</c:v>
                </c:pt>
                <c:pt idx="9">
                  <c:v>0.87822448796450336</c:v>
                </c:pt>
                <c:pt idx="10">
                  <c:v>0.90086172286575494</c:v>
                </c:pt>
                <c:pt idx="11">
                  <c:v>0.91308792707714392</c:v>
                </c:pt>
                <c:pt idx="12">
                  <c:v>0.92325728148846653</c:v>
                </c:pt>
                <c:pt idx="13">
                  <c:v>0.94655049486006437</c:v>
                </c:pt>
                <c:pt idx="14">
                  <c:v>0.94731125324520671</c:v>
                </c:pt>
                <c:pt idx="15">
                  <c:v>0.94994680933936904</c:v>
                </c:pt>
                <c:pt idx="16">
                  <c:v>0.9634723346760532</c:v>
                </c:pt>
                <c:pt idx="17">
                  <c:v>0.9634723346760532</c:v>
                </c:pt>
                <c:pt idx="18">
                  <c:v>0.9634723346760532</c:v>
                </c:pt>
                <c:pt idx="19">
                  <c:v>0.9634723346760532</c:v>
                </c:pt>
                <c:pt idx="20">
                  <c:v>0.98397961270298262</c:v>
                </c:pt>
                <c:pt idx="21">
                  <c:v>0.98397961270298262</c:v>
                </c:pt>
                <c:pt idx="22">
                  <c:v>0.98397961270298262</c:v>
                </c:pt>
                <c:pt idx="23">
                  <c:v>1</c:v>
                </c:pt>
                <c:pt idx="24">
                  <c:v>1</c:v>
                </c:pt>
              </c:numCache>
            </c:numRef>
          </c:yVal>
          <c:smooth val="1"/>
          <c:extLst>
            <c:ext xmlns:c16="http://schemas.microsoft.com/office/drawing/2014/chart" uri="{C3380CC4-5D6E-409C-BE32-E72D297353CC}">
              <c16:uniqueId val="{00000008-A142-714D-8CF9-89DC2661A963}"/>
            </c:ext>
          </c:extLst>
        </c:ser>
        <c:ser>
          <c:idx val="3"/>
          <c:order val="3"/>
          <c:tx>
            <c:strRef>
              <c:f>'5. Grain Size Distribution'!$F$3</c:f>
              <c:strCache>
                <c:ptCount val="1"/>
                <c:pt idx="0">
                  <c:v>-1000/+425</c:v>
                </c:pt>
              </c:strCache>
            </c:strRef>
          </c:tx>
          <c:spPr>
            <a:ln w="22225" cap="rnd">
              <a:solidFill>
                <a:schemeClr val="accent4"/>
              </a:solidFill>
              <a:round/>
            </a:ln>
            <a:effectLst/>
          </c:spPr>
          <c:marker>
            <c:symbol val="square"/>
            <c:size val="6"/>
            <c:spPr>
              <a:solidFill>
                <a:schemeClr val="accent4"/>
              </a:solidFill>
              <a:ln w="9525">
                <a:solidFill>
                  <a:schemeClr val="accent4"/>
                </a:solidFill>
                <a:round/>
              </a:ln>
              <a:effectLst/>
            </c:spPr>
          </c:marker>
          <c:xVal>
            <c:numRef>
              <c:f>'5. Grain Size Distribution'!$C$5:$C$29</c:f>
              <c:numCache>
                <c:formatCode>General</c:formatCode>
                <c:ptCount val="25"/>
                <c:pt idx="0">
                  <c:v>2.5</c:v>
                </c:pt>
                <c:pt idx="1">
                  <c:v>7.5</c:v>
                </c:pt>
                <c:pt idx="2">
                  <c:v>17.5</c:v>
                </c:pt>
                <c:pt idx="3">
                  <c:v>37.5</c:v>
                </c:pt>
                <c:pt idx="4">
                  <c:v>62.5</c:v>
                </c:pt>
                <c:pt idx="5">
                  <c:v>87.5</c:v>
                </c:pt>
                <c:pt idx="6">
                  <c:v>112.5</c:v>
                </c:pt>
                <c:pt idx="7">
                  <c:v>137.5</c:v>
                </c:pt>
                <c:pt idx="8">
                  <c:v>162.5</c:v>
                </c:pt>
                <c:pt idx="9">
                  <c:v>187.5</c:v>
                </c:pt>
                <c:pt idx="10">
                  <c:v>212.5</c:v>
                </c:pt>
                <c:pt idx="11">
                  <c:v>237.5</c:v>
                </c:pt>
                <c:pt idx="12">
                  <c:v>262.5</c:v>
                </c:pt>
                <c:pt idx="13">
                  <c:v>287.5</c:v>
                </c:pt>
                <c:pt idx="14">
                  <c:v>312.5</c:v>
                </c:pt>
                <c:pt idx="15">
                  <c:v>337.5</c:v>
                </c:pt>
                <c:pt idx="16">
                  <c:v>362.5</c:v>
                </c:pt>
                <c:pt idx="17">
                  <c:v>387.5</c:v>
                </c:pt>
                <c:pt idx="18">
                  <c:v>412.5</c:v>
                </c:pt>
                <c:pt idx="19">
                  <c:v>437.5</c:v>
                </c:pt>
                <c:pt idx="20">
                  <c:v>465</c:v>
                </c:pt>
                <c:pt idx="21">
                  <c:v>485</c:v>
                </c:pt>
                <c:pt idx="22">
                  <c:v>495</c:v>
                </c:pt>
                <c:pt idx="23">
                  <c:v>750</c:v>
                </c:pt>
                <c:pt idx="24">
                  <c:v>1000</c:v>
                </c:pt>
              </c:numCache>
            </c:numRef>
          </c:xVal>
          <c:yVal>
            <c:numRef>
              <c:f>'5. Grain Size Distribution'!$F$5:$F$29</c:f>
              <c:numCache>
                <c:formatCode>0%</c:formatCode>
                <c:ptCount val="25"/>
                <c:pt idx="0">
                  <c:v>0</c:v>
                </c:pt>
                <c:pt idx="1">
                  <c:v>0</c:v>
                </c:pt>
                <c:pt idx="2">
                  <c:v>0.10641945672554876</c:v>
                </c:pt>
                <c:pt idx="3">
                  <c:v>0.29940111868510938</c:v>
                </c:pt>
                <c:pt idx="4">
                  <c:v>0.4830003813228802</c:v>
                </c:pt>
                <c:pt idx="5">
                  <c:v>0.58306665679563396</c:v>
                </c:pt>
                <c:pt idx="6">
                  <c:v>0.68624413441353971</c:v>
                </c:pt>
                <c:pt idx="7">
                  <c:v>0.71172242329963387</c:v>
                </c:pt>
                <c:pt idx="8">
                  <c:v>0.73016362872345897</c:v>
                </c:pt>
                <c:pt idx="9">
                  <c:v>0.75582245630039069</c:v>
                </c:pt>
                <c:pt idx="10">
                  <c:v>0.80455617649789513</c:v>
                </c:pt>
                <c:pt idx="11">
                  <c:v>0.88159464841092217</c:v>
                </c:pt>
                <c:pt idx="12">
                  <c:v>0.88159464841092217</c:v>
                </c:pt>
                <c:pt idx="13">
                  <c:v>0.94616250379768996</c:v>
                </c:pt>
                <c:pt idx="14">
                  <c:v>0.94616250379768996</c:v>
                </c:pt>
                <c:pt idx="15">
                  <c:v>0.94616250379768996</c:v>
                </c:pt>
                <c:pt idx="16">
                  <c:v>0.94616250379768996</c:v>
                </c:pt>
                <c:pt idx="17">
                  <c:v>1</c:v>
                </c:pt>
                <c:pt idx="18">
                  <c:v>1</c:v>
                </c:pt>
                <c:pt idx="19">
                  <c:v>1</c:v>
                </c:pt>
                <c:pt idx="20">
                  <c:v>1</c:v>
                </c:pt>
                <c:pt idx="21">
                  <c:v>1</c:v>
                </c:pt>
                <c:pt idx="22">
                  <c:v>1</c:v>
                </c:pt>
                <c:pt idx="23">
                  <c:v>1</c:v>
                </c:pt>
                <c:pt idx="24">
                  <c:v>1</c:v>
                </c:pt>
              </c:numCache>
            </c:numRef>
          </c:yVal>
          <c:smooth val="1"/>
          <c:extLst>
            <c:ext xmlns:c16="http://schemas.microsoft.com/office/drawing/2014/chart" uri="{C3380CC4-5D6E-409C-BE32-E72D297353CC}">
              <c16:uniqueId val="{00000009-A142-714D-8CF9-89DC2661A963}"/>
            </c:ext>
          </c:extLst>
        </c:ser>
        <c:ser>
          <c:idx val="4"/>
          <c:order val="4"/>
          <c:tx>
            <c:strRef>
              <c:f>'5. Grain Size Distribution'!$G$3</c:f>
              <c:strCache>
                <c:ptCount val="1"/>
                <c:pt idx="0">
                  <c:v>-425/+150</c:v>
                </c:pt>
              </c:strCache>
            </c:strRef>
          </c:tx>
          <c:spPr>
            <a:ln w="22225" cap="rnd">
              <a:solidFill>
                <a:schemeClr val="accent5"/>
              </a:solidFill>
              <a:round/>
            </a:ln>
            <a:effectLst/>
          </c:spPr>
          <c:marker>
            <c:symbol val="star"/>
            <c:size val="6"/>
            <c:spPr>
              <a:noFill/>
              <a:ln w="9525">
                <a:solidFill>
                  <a:schemeClr val="accent5"/>
                </a:solidFill>
                <a:round/>
              </a:ln>
              <a:effectLst/>
            </c:spPr>
          </c:marker>
          <c:xVal>
            <c:numRef>
              <c:f>'5. Grain Size Distribution'!$C$5:$C$29</c:f>
              <c:numCache>
                <c:formatCode>General</c:formatCode>
                <c:ptCount val="25"/>
                <c:pt idx="0">
                  <c:v>2.5</c:v>
                </c:pt>
                <c:pt idx="1">
                  <c:v>7.5</c:v>
                </c:pt>
                <c:pt idx="2">
                  <c:v>17.5</c:v>
                </c:pt>
                <c:pt idx="3">
                  <c:v>37.5</c:v>
                </c:pt>
                <c:pt idx="4">
                  <c:v>62.5</c:v>
                </c:pt>
                <c:pt idx="5">
                  <c:v>87.5</c:v>
                </c:pt>
                <c:pt idx="6">
                  <c:v>112.5</c:v>
                </c:pt>
                <c:pt idx="7">
                  <c:v>137.5</c:v>
                </c:pt>
                <c:pt idx="8">
                  <c:v>162.5</c:v>
                </c:pt>
                <c:pt idx="9">
                  <c:v>187.5</c:v>
                </c:pt>
                <c:pt idx="10">
                  <c:v>212.5</c:v>
                </c:pt>
                <c:pt idx="11">
                  <c:v>237.5</c:v>
                </c:pt>
                <c:pt idx="12">
                  <c:v>262.5</c:v>
                </c:pt>
                <c:pt idx="13">
                  <c:v>287.5</c:v>
                </c:pt>
                <c:pt idx="14">
                  <c:v>312.5</c:v>
                </c:pt>
                <c:pt idx="15">
                  <c:v>337.5</c:v>
                </c:pt>
                <c:pt idx="16">
                  <c:v>362.5</c:v>
                </c:pt>
                <c:pt idx="17">
                  <c:v>387.5</c:v>
                </c:pt>
                <c:pt idx="18">
                  <c:v>412.5</c:v>
                </c:pt>
                <c:pt idx="19">
                  <c:v>437.5</c:v>
                </c:pt>
                <c:pt idx="20">
                  <c:v>465</c:v>
                </c:pt>
                <c:pt idx="21">
                  <c:v>485</c:v>
                </c:pt>
                <c:pt idx="22">
                  <c:v>495</c:v>
                </c:pt>
                <c:pt idx="23">
                  <c:v>750</c:v>
                </c:pt>
                <c:pt idx="24">
                  <c:v>1000</c:v>
                </c:pt>
              </c:numCache>
            </c:numRef>
          </c:xVal>
          <c:yVal>
            <c:numRef>
              <c:f>'5. Grain Size Distribution'!$G$5:$G$29</c:f>
              <c:numCache>
                <c:formatCode>0%</c:formatCode>
                <c:ptCount val="25"/>
                <c:pt idx="0">
                  <c:v>0</c:v>
                </c:pt>
                <c:pt idx="1">
                  <c:v>2.3485882195548782E-2</c:v>
                </c:pt>
                <c:pt idx="2">
                  <c:v>0.13288740371772512</c:v>
                </c:pt>
                <c:pt idx="3">
                  <c:v>0.33910104166020821</c:v>
                </c:pt>
                <c:pt idx="4">
                  <c:v>0.4750405753983904</c:v>
                </c:pt>
                <c:pt idx="5">
                  <c:v>0.58156692118698483</c:v>
                </c:pt>
                <c:pt idx="6">
                  <c:v>0.65757262456833254</c:v>
                </c:pt>
                <c:pt idx="7">
                  <c:v>0.74215951622235499</c:v>
                </c:pt>
                <c:pt idx="8">
                  <c:v>0.83369575560652809</c:v>
                </c:pt>
                <c:pt idx="9">
                  <c:v>0.88170431687871431</c:v>
                </c:pt>
                <c:pt idx="10">
                  <c:v>0.91682141241526971</c:v>
                </c:pt>
                <c:pt idx="11">
                  <c:v>0.93066645858224639</c:v>
                </c:pt>
                <c:pt idx="12">
                  <c:v>0.97661444036374279</c:v>
                </c:pt>
                <c:pt idx="13">
                  <c:v>0.97661444036374279</c:v>
                </c:pt>
                <c:pt idx="14">
                  <c:v>1</c:v>
                </c:pt>
                <c:pt idx="15">
                  <c:v>1</c:v>
                </c:pt>
                <c:pt idx="16">
                  <c:v>1</c:v>
                </c:pt>
                <c:pt idx="17">
                  <c:v>1</c:v>
                </c:pt>
                <c:pt idx="18">
                  <c:v>1</c:v>
                </c:pt>
                <c:pt idx="19">
                  <c:v>1</c:v>
                </c:pt>
                <c:pt idx="20">
                  <c:v>1</c:v>
                </c:pt>
                <c:pt idx="21">
                  <c:v>1</c:v>
                </c:pt>
                <c:pt idx="22">
                  <c:v>1</c:v>
                </c:pt>
                <c:pt idx="23">
                  <c:v>1</c:v>
                </c:pt>
                <c:pt idx="24">
                  <c:v>1</c:v>
                </c:pt>
              </c:numCache>
            </c:numRef>
          </c:yVal>
          <c:smooth val="1"/>
          <c:extLst>
            <c:ext xmlns:c16="http://schemas.microsoft.com/office/drawing/2014/chart" uri="{C3380CC4-5D6E-409C-BE32-E72D297353CC}">
              <c16:uniqueId val="{0000000A-A142-714D-8CF9-89DC2661A963}"/>
            </c:ext>
          </c:extLst>
        </c:ser>
        <c:ser>
          <c:idx val="5"/>
          <c:order val="5"/>
          <c:tx>
            <c:strRef>
              <c:f>'5. Grain Size Distribution'!$I$3</c:f>
              <c:strCache>
                <c:ptCount val="1"/>
                <c:pt idx="0">
                  <c:v>-150/+0</c:v>
                </c:pt>
              </c:strCache>
            </c:strRef>
          </c:tx>
          <c:spPr>
            <a:ln w="22225" cap="rnd">
              <a:solidFill>
                <a:schemeClr val="accent6"/>
              </a:solidFill>
              <a:round/>
            </a:ln>
            <a:effectLst/>
          </c:spPr>
          <c:marker>
            <c:symbol val="circle"/>
            <c:size val="6"/>
            <c:spPr>
              <a:solidFill>
                <a:schemeClr val="accent6"/>
              </a:solidFill>
              <a:ln w="9525">
                <a:solidFill>
                  <a:schemeClr val="accent6"/>
                </a:solidFill>
                <a:round/>
              </a:ln>
              <a:effectLst/>
            </c:spPr>
          </c:marker>
          <c:xVal>
            <c:numRef>
              <c:f>'5. Grain Size Distribution'!$H$5:$H$29</c:f>
              <c:numCache>
                <c:formatCode>General</c:formatCode>
                <c:ptCount val="25"/>
                <c:pt idx="0">
                  <c:v>0.5</c:v>
                </c:pt>
                <c:pt idx="1">
                  <c:v>2</c:v>
                </c:pt>
                <c:pt idx="2">
                  <c:v>4</c:v>
                </c:pt>
                <c:pt idx="3">
                  <c:v>6</c:v>
                </c:pt>
                <c:pt idx="4">
                  <c:v>8.5</c:v>
                </c:pt>
                <c:pt idx="5">
                  <c:v>12.5</c:v>
                </c:pt>
                <c:pt idx="6">
                  <c:v>17.5</c:v>
                </c:pt>
                <c:pt idx="7">
                  <c:v>22.5</c:v>
                </c:pt>
                <c:pt idx="8">
                  <c:v>27.5</c:v>
                </c:pt>
                <c:pt idx="9">
                  <c:v>34</c:v>
                </c:pt>
                <c:pt idx="10">
                  <c:v>41.5</c:v>
                </c:pt>
                <c:pt idx="11">
                  <c:v>49</c:v>
                </c:pt>
                <c:pt idx="12">
                  <c:v>64</c:v>
                </c:pt>
                <c:pt idx="13">
                  <c:v>77.5</c:v>
                </c:pt>
                <c:pt idx="14">
                  <c:v>85</c:v>
                </c:pt>
                <c:pt idx="15">
                  <c:v>92.5</c:v>
                </c:pt>
                <c:pt idx="16">
                  <c:v>97.5</c:v>
                </c:pt>
                <c:pt idx="17">
                  <c:v>102.5</c:v>
                </c:pt>
                <c:pt idx="18">
                  <c:v>107.5</c:v>
                </c:pt>
                <c:pt idx="19">
                  <c:v>112.5</c:v>
                </c:pt>
                <c:pt idx="20">
                  <c:v>117.5</c:v>
                </c:pt>
                <c:pt idx="21">
                  <c:v>122.5</c:v>
                </c:pt>
                <c:pt idx="22">
                  <c:v>137.5</c:v>
                </c:pt>
                <c:pt idx="23">
                  <c:v>225</c:v>
                </c:pt>
                <c:pt idx="24">
                  <c:v>300</c:v>
                </c:pt>
              </c:numCache>
            </c:numRef>
          </c:xVal>
          <c:yVal>
            <c:numRef>
              <c:f>'5. Grain Size Distribution'!$I$5:$I$29</c:f>
              <c:numCache>
                <c:formatCode>0%</c:formatCode>
                <c:ptCount val="25"/>
                <c:pt idx="0">
                  <c:v>0</c:v>
                </c:pt>
                <c:pt idx="1">
                  <c:v>0</c:v>
                </c:pt>
                <c:pt idx="2">
                  <c:v>0</c:v>
                </c:pt>
                <c:pt idx="3">
                  <c:v>6.6488147488703672E-2</c:v>
                </c:pt>
                <c:pt idx="4">
                  <c:v>0.11849953149795216</c:v>
                </c:pt>
                <c:pt idx="5">
                  <c:v>0.24478952244593177</c:v>
                </c:pt>
                <c:pt idx="6">
                  <c:v>0.35843464378972251</c:v>
                </c:pt>
                <c:pt idx="7">
                  <c:v>0.452112429256603</c:v>
                </c:pt>
                <c:pt idx="8">
                  <c:v>0.53995155651324445</c:v>
                </c:pt>
                <c:pt idx="9">
                  <c:v>0.65467601630155114</c:v>
                </c:pt>
                <c:pt idx="10">
                  <c:v>0.73592904927301894</c:v>
                </c:pt>
                <c:pt idx="11">
                  <c:v>0.8107921894225929</c:v>
                </c:pt>
                <c:pt idx="12">
                  <c:v>0.92894341737051211</c:v>
                </c:pt>
                <c:pt idx="13">
                  <c:v>0.93466023896351913</c:v>
                </c:pt>
                <c:pt idx="14">
                  <c:v>0.9596804904211178</c:v>
                </c:pt>
                <c:pt idx="15">
                  <c:v>0.96864398619880221</c:v>
                </c:pt>
                <c:pt idx="16">
                  <c:v>0.97158261289540382</c:v>
                </c:pt>
                <c:pt idx="17">
                  <c:v>0.97417772119649026</c:v>
                </c:pt>
                <c:pt idx="18">
                  <c:v>0.97993352281026214</c:v>
                </c:pt>
                <c:pt idx="19">
                  <c:v>0.9848261736914381</c:v>
                </c:pt>
                <c:pt idx="20">
                  <c:v>0.9848261736914381</c:v>
                </c:pt>
                <c:pt idx="21">
                  <c:v>0.98899400278354244</c:v>
                </c:pt>
                <c:pt idx="22">
                  <c:v>1</c:v>
                </c:pt>
                <c:pt idx="23">
                  <c:v>1</c:v>
                </c:pt>
                <c:pt idx="24">
                  <c:v>1</c:v>
                </c:pt>
              </c:numCache>
            </c:numRef>
          </c:yVal>
          <c:smooth val="1"/>
          <c:extLst>
            <c:ext xmlns:c16="http://schemas.microsoft.com/office/drawing/2014/chart" uri="{C3380CC4-5D6E-409C-BE32-E72D297353CC}">
              <c16:uniqueId val="{0000000B-A142-714D-8CF9-89DC2661A963}"/>
            </c:ext>
          </c:extLst>
        </c:ser>
        <c:ser>
          <c:idx val="12"/>
          <c:order val="6"/>
          <c:tx>
            <c:strRef>
              <c:f>'5. Grain Size Distribution'!$K$3</c:f>
              <c:strCache>
                <c:ptCount val="1"/>
                <c:pt idx="0">
                  <c:v>SCT</c:v>
                </c:pt>
              </c:strCache>
            </c:strRef>
          </c:tx>
          <c:spPr>
            <a:ln w="22225" cap="rnd">
              <a:solidFill>
                <a:schemeClr val="accent2"/>
              </a:solidFill>
              <a:round/>
            </a:ln>
            <a:effectLst/>
          </c:spPr>
          <c:marker>
            <c:symbol val="plus"/>
            <c:size val="10"/>
            <c:spPr>
              <a:noFill/>
              <a:ln w="9525">
                <a:solidFill>
                  <a:schemeClr val="accent2"/>
                </a:solidFill>
                <a:round/>
              </a:ln>
              <a:effectLst/>
            </c:spPr>
          </c:marker>
          <c:xVal>
            <c:numRef>
              <c:f>'5. Grain Size Distribution'!$J$5:$J$29</c:f>
              <c:numCache>
                <c:formatCode>General</c:formatCode>
                <c:ptCount val="25"/>
                <c:pt idx="0">
                  <c:v>0.5</c:v>
                </c:pt>
                <c:pt idx="1">
                  <c:v>2</c:v>
                </c:pt>
                <c:pt idx="2">
                  <c:v>4</c:v>
                </c:pt>
                <c:pt idx="3">
                  <c:v>6</c:v>
                </c:pt>
                <c:pt idx="4">
                  <c:v>8.5</c:v>
                </c:pt>
                <c:pt idx="5">
                  <c:v>12.5</c:v>
                </c:pt>
                <c:pt idx="6">
                  <c:v>17.5</c:v>
                </c:pt>
                <c:pt idx="7">
                  <c:v>22.5</c:v>
                </c:pt>
                <c:pt idx="8">
                  <c:v>27.5</c:v>
                </c:pt>
                <c:pt idx="9">
                  <c:v>34</c:v>
                </c:pt>
                <c:pt idx="10">
                  <c:v>41.5</c:v>
                </c:pt>
                <c:pt idx="11">
                  <c:v>49</c:v>
                </c:pt>
                <c:pt idx="12">
                  <c:v>64</c:v>
                </c:pt>
                <c:pt idx="13">
                  <c:v>77.5</c:v>
                </c:pt>
                <c:pt idx="14">
                  <c:v>85</c:v>
                </c:pt>
                <c:pt idx="15">
                  <c:v>92.5</c:v>
                </c:pt>
                <c:pt idx="16">
                  <c:v>97.5</c:v>
                </c:pt>
                <c:pt idx="17">
                  <c:v>102.5</c:v>
                </c:pt>
                <c:pt idx="18">
                  <c:v>107.5</c:v>
                </c:pt>
                <c:pt idx="19">
                  <c:v>112.5</c:v>
                </c:pt>
                <c:pt idx="20">
                  <c:v>117.5</c:v>
                </c:pt>
                <c:pt idx="21">
                  <c:v>122.5</c:v>
                </c:pt>
                <c:pt idx="22">
                  <c:v>137.5</c:v>
                </c:pt>
                <c:pt idx="23">
                  <c:v>225</c:v>
                </c:pt>
                <c:pt idx="24">
                  <c:v>300</c:v>
                </c:pt>
              </c:numCache>
            </c:numRef>
          </c:xVal>
          <c:yVal>
            <c:numRef>
              <c:f>'5. Grain Size Distribution'!$K$5:$K$29</c:f>
              <c:numCache>
                <c:formatCode>0%</c:formatCode>
                <c:ptCount val="25"/>
                <c:pt idx="0">
                  <c:v>0</c:v>
                </c:pt>
                <c:pt idx="1">
                  <c:v>5.6527458510909519E-2</c:v>
                </c:pt>
                <c:pt idx="2">
                  <c:v>0.10609376337618179</c:v>
                </c:pt>
                <c:pt idx="3">
                  <c:v>0.21254959689710209</c:v>
                </c:pt>
                <c:pt idx="4">
                  <c:v>0.33955394385864079</c:v>
                </c:pt>
                <c:pt idx="5">
                  <c:v>0.50928847436914537</c:v>
                </c:pt>
                <c:pt idx="6">
                  <c:v>0.63522009068966767</c:v>
                </c:pt>
                <c:pt idx="7">
                  <c:v>0.7228794577644615</c:v>
                </c:pt>
                <c:pt idx="8">
                  <c:v>0.78851675620735173</c:v>
                </c:pt>
                <c:pt idx="9">
                  <c:v>0.83887592294233404</c:v>
                </c:pt>
                <c:pt idx="10">
                  <c:v>0.87480718143231539</c:v>
                </c:pt>
                <c:pt idx="11">
                  <c:v>0.93416999849167881</c:v>
                </c:pt>
                <c:pt idx="12">
                  <c:v>1</c:v>
                </c:pt>
                <c:pt idx="13">
                  <c:v>1</c:v>
                </c:pt>
                <c:pt idx="14">
                  <c:v>1</c:v>
                </c:pt>
                <c:pt idx="15">
                  <c:v>1</c:v>
                </c:pt>
                <c:pt idx="16">
                  <c:v>1</c:v>
                </c:pt>
                <c:pt idx="17">
                  <c:v>1</c:v>
                </c:pt>
                <c:pt idx="18">
                  <c:v>1</c:v>
                </c:pt>
                <c:pt idx="19">
                  <c:v>1</c:v>
                </c:pt>
                <c:pt idx="20">
                  <c:v>1</c:v>
                </c:pt>
                <c:pt idx="21">
                  <c:v>1</c:v>
                </c:pt>
                <c:pt idx="22">
                  <c:v>1</c:v>
                </c:pt>
                <c:pt idx="23">
                  <c:v>1</c:v>
                </c:pt>
                <c:pt idx="24">
                  <c:v>1</c:v>
                </c:pt>
              </c:numCache>
            </c:numRef>
          </c:yVal>
          <c:smooth val="1"/>
          <c:extLst>
            <c:ext xmlns:c16="http://schemas.microsoft.com/office/drawing/2014/chart" uri="{C3380CC4-5D6E-409C-BE32-E72D297353CC}">
              <c16:uniqueId val="{00000002-1D88-2645-8FCB-801EF73ADB3C}"/>
            </c:ext>
          </c:extLst>
        </c:ser>
        <c:ser>
          <c:idx val="6"/>
          <c:order val="7"/>
          <c:tx>
            <c:strRef>
              <c:f>'5. Grain Size Distribution'!$Q$29</c:f>
              <c:strCache>
                <c:ptCount val="1"/>
                <c:pt idx="0">
                  <c:v>HCT L85</c:v>
                </c:pt>
              </c:strCache>
            </c:strRef>
          </c:tx>
          <c:spPr>
            <a:ln w="22225" cap="rnd">
              <a:noFill/>
              <a:round/>
            </a:ln>
            <a:effectLst/>
          </c:spPr>
          <c:marker>
            <c:symbol val="diamond"/>
            <c:size val="10"/>
            <c:spPr>
              <a:solidFill>
                <a:schemeClr val="accent1"/>
              </a:solidFill>
              <a:ln w="9525">
                <a:noFill/>
                <a:round/>
              </a:ln>
              <a:effectLst/>
            </c:spPr>
          </c:marker>
          <c:dPt>
            <c:idx val="0"/>
            <c:marker>
              <c:symbol val="diamond"/>
              <c:size val="10"/>
              <c:spPr>
                <a:solidFill>
                  <a:schemeClr val="accent1"/>
                </a:solidFill>
                <a:ln w="9525">
                  <a:noFill/>
                  <a:round/>
                </a:ln>
                <a:effectLst/>
              </c:spPr>
            </c:marker>
            <c:bubble3D val="0"/>
            <c:spPr>
              <a:ln w="22225" cap="rnd">
                <a:noFill/>
                <a:round/>
              </a:ln>
              <a:effectLst/>
            </c:spPr>
            <c:extLst>
              <c:ext xmlns:c16="http://schemas.microsoft.com/office/drawing/2014/chart" uri="{C3380CC4-5D6E-409C-BE32-E72D297353CC}">
                <c16:uniqueId val="{00000012-A142-714D-8CF9-89DC2661A963}"/>
              </c:ext>
            </c:extLst>
          </c:dPt>
          <c:xVal>
            <c:numRef>
              <c:f>'5. Grain Size Distribution'!$R$29</c:f>
              <c:numCache>
                <c:formatCode>General</c:formatCode>
                <c:ptCount val="1"/>
                <c:pt idx="0">
                  <c:v>220</c:v>
                </c:pt>
              </c:numCache>
            </c:numRef>
          </c:xVal>
          <c:yVal>
            <c:numRef>
              <c:f>'5. Grain Size Distribution'!$S$29</c:f>
              <c:numCache>
                <c:formatCode>0%</c:formatCode>
                <c:ptCount val="1"/>
                <c:pt idx="0">
                  <c:v>0.85</c:v>
                </c:pt>
              </c:numCache>
            </c:numRef>
          </c:yVal>
          <c:smooth val="1"/>
          <c:extLst>
            <c:ext xmlns:c16="http://schemas.microsoft.com/office/drawing/2014/chart" uri="{C3380CC4-5D6E-409C-BE32-E72D297353CC}">
              <c16:uniqueId val="{0000000C-A142-714D-8CF9-89DC2661A963}"/>
            </c:ext>
          </c:extLst>
        </c:ser>
        <c:ser>
          <c:idx val="7"/>
          <c:order val="8"/>
          <c:tx>
            <c:strRef>
              <c:f>'5. Grain Size Distribution'!$Q$30</c:f>
              <c:strCache>
                <c:ptCount val="1"/>
                <c:pt idx="0">
                  <c:v>-6700/+2000 L85</c:v>
                </c:pt>
              </c:strCache>
            </c:strRef>
          </c:tx>
          <c:spPr>
            <a:ln w="22225" cap="rnd">
              <a:noFill/>
              <a:round/>
            </a:ln>
            <a:effectLst/>
          </c:spPr>
          <c:marker>
            <c:symbol val="diamond"/>
            <c:size val="10"/>
            <c:spPr>
              <a:solidFill>
                <a:schemeClr val="accent2"/>
              </a:solidFill>
              <a:ln w="9525">
                <a:noFill/>
                <a:round/>
              </a:ln>
              <a:effectLst/>
            </c:spPr>
          </c:marker>
          <c:xVal>
            <c:numRef>
              <c:f>'5. Grain Size Distribution'!$R$30</c:f>
              <c:numCache>
                <c:formatCode>General</c:formatCode>
                <c:ptCount val="1"/>
                <c:pt idx="0">
                  <c:v>250</c:v>
                </c:pt>
              </c:numCache>
            </c:numRef>
          </c:xVal>
          <c:yVal>
            <c:numRef>
              <c:f>'5. Grain Size Distribution'!$S$30</c:f>
              <c:numCache>
                <c:formatCode>0%</c:formatCode>
                <c:ptCount val="1"/>
                <c:pt idx="0">
                  <c:v>0.85</c:v>
                </c:pt>
              </c:numCache>
            </c:numRef>
          </c:yVal>
          <c:smooth val="1"/>
          <c:extLst>
            <c:ext xmlns:c16="http://schemas.microsoft.com/office/drawing/2014/chart" uri="{C3380CC4-5D6E-409C-BE32-E72D297353CC}">
              <c16:uniqueId val="{0000000D-A142-714D-8CF9-89DC2661A963}"/>
            </c:ext>
          </c:extLst>
        </c:ser>
        <c:ser>
          <c:idx val="8"/>
          <c:order val="9"/>
          <c:tx>
            <c:strRef>
              <c:f>'5. Grain Size Distribution'!$Q$31</c:f>
              <c:strCache>
                <c:ptCount val="1"/>
                <c:pt idx="0">
                  <c:v>-2000/+1000 L85</c:v>
                </c:pt>
              </c:strCache>
            </c:strRef>
          </c:tx>
          <c:spPr>
            <a:ln w="22225" cap="rnd">
              <a:noFill/>
              <a:round/>
            </a:ln>
            <a:effectLst/>
          </c:spPr>
          <c:marker>
            <c:symbol val="triangle"/>
            <c:size val="10"/>
            <c:spPr>
              <a:solidFill>
                <a:schemeClr val="accent3"/>
              </a:solidFill>
              <a:ln w="9525">
                <a:noFill/>
                <a:round/>
              </a:ln>
              <a:effectLst/>
            </c:spPr>
          </c:marker>
          <c:xVal>
            <c:numRef>
              <c:f>'5. Grain Size Distribution'!$R$31</c:f>
              <c:numCache>
                <c:formatCode>General</c:formatCode>
                <c:ptCount val="1"/>
                <c:pt idx="0">
                  <c:v>220</c:v>
                </c:pt>
              </c:numCache>
            </c:numRef>
          </c:xVal>
          <c:yVal>
            <c:numRef>
              <c:f>'5. Grain Size Distribution'!$S$31</c:f>
              <c:numCache>
                <c:formatCode>0%</c:formatCode>
                <c:ptCount val="1"/>
                <c:pt idx="0">
                  <c:v>0.85</c:v>
                </c:pt>
              </c:numCache>
            </c:numRef>
          </c:yVal>
          <c:smooth val="1"/>
          <c:extLst>
            <c:ext xmlns:c16="http://schemas.microsoft.com/office/drawing/2014/chart" uri="{C3380CC4-5D6E-409C-BE32-E72D297353CC}">
              <c16:uniqueId val="{0000000E-A142-714D-8CF9-89DC2661A963}"/>
            </c:ext>
          </c:extLst>
        </c:ser>
        <c:ser>
          <c:idx val="9"/>
          <c:order val="10"/>
          <c:tx>
            <c:strRef>
              <c:f>'5. Grain Size Distribution'!$Q$32</c:f>
              <c:strCache>
                <c:ptCount val="1"/>
                <c:pt idx="0">
                  <c:v>-1000/+425 L85</c:v>
                </c:pt>
              </c:strCache>
            </c:strRef>
          </c:tx>
          <c:spPr>
            <a:ln w="22225" cap="rnd">
              <a:noFill/>
              <a:round/>
            </a:ln>
            <a:effectLst/>
          </c:spPr>
          <c:marker>
            <c:symbol val="square"/>
            <c:size val="10"/>
            <c:spPr>
              <a:solidFill>
                <a:schemeClr val="accent4"/>
              </a:solidFill>
              <a:ln w="9525">
                <a:noFill/>
                <a:round/>
              </a:ln>
              <a:effectLst/>
            </c:spPr>
          </c:marker>
          <c:xVal>
            <c:numRef>
              <c:f>'5. Grain Size Distribution'!$R$32</c:f>
              <c:numCache>
                <c:formatCode>General</c:formatCode>
                <c:ptCount val="1"/>
                <c:pt idx="0">
                  <c:v>220</c:v>
                </c:pt>
              </c:numCache>
            </c:numRef>
          </c:xVal>
          <c:yVal>
            <c:numRef>
              <c:f>'5. Grain Size Distribution'!$S$32</c:f>
              <c:numCache>
                <c:formatCode>0%</c:formatCode>
                <c:ptCount val="1"/>
                <c:pt idx="0">
                  <c:v>0.85</c:v>
                </c:pt>
              </c:numCache>
            </c:numRef>
          </c:yVal>
          <c:smooth val="1"/>
          <c:extLst>
            <c:ext xmlns:c16="http://schemas.microsoft.com/office/drawing/2014/chart" uri="{C3380CC4-5D6E-409C-BE32-E72D297353CC}">
              <c16:uniqueId val="{0000000F-A142-714D-8CF9-89DC2661A963}"/>
            </c:ext>
          </c:extLst>
        </c:ser>
        <c:ser>
          <c:idx val="10"/>
          <c:order val="11"/>
          <c:tx>
            <c:strRef>
              <c:f>'5. Grain Size Distribution'!$Q$33</c:f>
              <c:strCache>
                <c:ptCount val="1"/>
                <c:pt idx="0">
                  <c:v>-425/+150 L85</c:v>
                </c:pt>
              </c:strCache>
            </c:strRef>
          </c:tx>
          <c:spPr>
            <a:ln w="22225" cap="rnd">
              <a:noFill/>
              <a:round/>
            </a:ln>
            <a:effectLst/>
          </c:spPr>
          <c:marker>
            <c:symbol val="star"/>
            <c:size val="10"/>
            <c:spPr>
              <a:noFill/>
              <a:ln w="9525">
                <a:solidFill>
                  <a:schemeClr val="accent5"/>
                </a:solidFill>
                <a:round/>
              </a:ln>
              <a:effectLst/>
            </c:spPr>
          </c:marker>
          <c:xVal>
            <c:numRef>
              <c:f>'5. Grain Size Distribution'!$R$33</c:f>
              <c:numCache>
                <c:formatCode>General</c:formatCode>
                <c:ptCount val="1"/>
                <c:pt idx="0">
                  <c:v>170</c:v>
                </c:pt>
              </c:numCache>
            </c:numRef>
          </c:xVal>
          <c:yVal>
            <c:numRef>
              <c:f>'5. Grain Size Distribution'!$S$33</c:f>
              <c:numCache>
                <c:formatCode>0%</c:formatCode>
                <c:ptCount val="1"/>
                <c:pt idx="0">
                  <c:v>0.85</c:v>
                </c:pt>
              </c:numCache>
            </c:numRef>
          </c:yVal>
          <c:smooth val="1"/>
          <c:extLst>
            <c:ext xmlns:c16="http://schemas.microsoft.com/office/drawing/2014/chart" uri="{C3380CC4-5D6E-409C-BE32-E72D297353CC}">
              <c16:uniqueId val="{00000010-A142-714D-8CF9-89DC2661A963}"/>
            </c:ext>
          </c:extLst>
        </c:ser>
        <c:ser>
          <c:idx val="11"/>
          <c:order val="12"/>
          <c:tx>
            <c:strRef>
              <c:f>'5. Grain Size Distribution'!$Q$34</c:f>
              <c:strCache>
                <c:ptCount val="1"/>
                <c:pt idx="0">
                  <c:v>-150/+0 L85</c:v>
                </c:pt>
              </c:strCache>
            </c:strRef>
          </c:tx>
          <c:spPr>
            <a:ln w="22225" cap="rnd">
              <a:noFill/>
              <a:round/>
            </a:ln>
            <a:effectLst/>
          </c:spPr>
          <c:marker>
            <c:symbol val="circle"/>
            <c:size val="10"/>
            <c:spPr>
              <a:solidFill>
                <a:schemeClr val="accent6"/>
              </a:solidFill>
              <a:ln w="9525">
                <a:noFill/>
                <a:round/>
              </a:ln>
              <a:effectLst/>
            </c:spPr>
          </c:marker>
          <c:xVal>
            <c:numRef>
              <c:f>'5. Grain Size Distribution'!$R$34</c:f>
              <c:numCache>
                <c:formatCode>General</c:formatCode>
                <c:ptCount val="1"/>
                <c:pt idx="0">
                  <c:v>53</c:v>
                </c:pt>
              </c:numCache>
            </c:numRef>
          </c:xVal>
          <c:yVal>
            <c:numRef>
              <c:f>'5. Grain Size Distribution'!$S$34</c:f>
              <c:numCache>
                <c:formatCode>0%</c:formatCode>
                <c:ptCount val="1"/>
                <c:pt idx="0">
                  <c:v>0.85</c:v>
                </c:pt>
              </c:numCache>
            </c:numRef>
          </c:yVal>
          <c:smooth val="1"/>
          <c:extLst>
            <c:ext xmlns:c16="http://schemas.microsoft.com/office/drawing/2014/chart" uri="{C3380CC4-5D6E-409C-BE32-E72D297353CC}">
              <c16:uniqueId val="{00000011-A142-714D-8CF9-89DC2661A963}"/>
            </c:ext>
          </c:extLst>
        </c:ser>
        <c:ser>
          <c:idx val="13"/>
          <c:order val="13"/>
          <c:tx>
            <c:strRef>
              <c:f>'5. Grain Size Distribution'!$Q$35</c:f>
              <c:strCache>
                <c:ptCount val="1"/>
                <c:pt idx="0">
                  <c:v>SCT L85</c:v>
                </c:pt>
              </c:strCache>
            </c:strRef>
          </c:tx>
          <c:spPr>
            <a:ln w="22225" cap="rnd">
              <a:noFill/>
              <a:round/>
            </a:ln>
            <a:effectLst/>
          </c:spPr>
          <c:marker>
            <c:symbol val="plus"/>
            <c:size val="10"/>
            <c:spPr>
              <a:noFill/>
              <a:ln w="9525">
                <a:solidFill>
                  <a:schemeClr val="accent2"/>
                </a:solidFill>
                <a:round/>
              </a:ln>
              <a:effectLst/>
            </c:spPr>
          </c:marker>
          <c:xVal>
            <c:numRef>
              <c:f>'5. Grain Size Distribution'!$R$35</c:f>
              <c:numCache>
                <c:formatCode>General</c:formatCode>
                <c:ptCount val="1"/>
                <c:pt idx="0">
                  <c:v>35</c:v>
                </c:pt>
              </c:numCache>
            </c:numRef>
          </c:xVal>
          <c:yVal>
            <c:numRef>
              <c:f>'5. Grain Size Distribution'!$S$35</c:f>
              <c:numCache>
                <c:formatCode>0%</c:formatCode>
                <c:ptCount val="1"/>
                <c:pt idx="0">
                  <c:v>0.85</c:v>
                </c:pt>
              </c:numCache>
            </c:numRef>
          </c:yVal>
          <c:smooth val="1"/>
          <c:extLst>
            <c:ext xmlns:c16="http://schemas.microsoft.com/office/drawing/2014/chart" uri="{C3380CC4-5D6E-409C-BE32-E72D297353CC}">
              <c16:uniqueId val="{00000003-1D88-2645-8FCB-801EF73ADB3C}"/>
            </c:ext>
          </c:extLst>
        </c:ser>
        <c:dLbls>
          <c:showLegendKey val="0"/>
          <c:showVal val="0"/>
          <c:showCatName val="0"/>
          <c:showSerName val="0"/>
          <c:showPercent val="0"/>
          <c:showBubbleSize val="0"/>
        </c:dLbls>
        <c:axId val="269554336"/>
        <c:axId val="269554728"/>
      </c:scatterChart>
      <c:valAx>
        <c:axId val="269554336"/>
        <c:scaling>
          <c:logBase val="10"/>
          <c:orientation val="minMax"/>
          <c:min val="0.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r>
                  <a:rPr lang="en-GB"/>
                  <a:t>Aperture size [µm]</a:t>
                </a:r>
              </a:p>
            </c:rich>
          </c:tx>
          <c:overlay val="0"/>
          <c:spPr>
            <a:noFill/>
            <a:ln>
              <a:noFill/>
            </a:ln>
            <a:effectLst/>
          </c:spPr>
          <c:txPr>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69554728"/>
        <c:crosses val="autoZero"/>
        <c:crossBetween val="midCat"/>
      </c:valAx>
      <c:valAx>
        <c:axId val="269554728"/>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r>
                  <a:rPr lang="en-GB"/>
                  <a:t>Cumulative % passing</a:t>
                </a:r>
              </a:p>
            </c:rich>
          </c:tx>
          <c:overlay val="0"/>
          <c:spPr>
            <a:noFill/>
            <a:ln>
              <a:noFill/>
            </a:ln>
            <a:effectLst/>
          </c:spPr>
          <c:txPr>
            <a:bodyPr rot="-54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low"/>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69554336"/>
        <c:crosses val="autoZero"/>
        <c:crossBetween val="midCat"/>
      </c:valAx>
      <c:spPr>
        <a:noFill/>
        <a:ln>
          <a:noFill/>
        </a:ln>
        <a:effectLst/>
      </c:spPr>
    </c:plotArea>
    <c:legend>
      <c:legendPos val="t"/>
      <c:layout>
        <c:manualLayout>
          <c:xMode val="edge"/>
          <c:yMode val="edge"/>
          <c:x val="0.81245480921146429"/>
          <c:y val="9.2043024388420422E-2"/>
          <c:w val="0.18638750442564353"/>
          <c:h val="0.87503054248780598"/>
        </c:manualLayout>
      </c:layout>
      <c:overlay val="0"/>
      <c:spPr>
        <a:noFill/>
        <a:ln>
          <a:noFill/>
        </a:ln>
        <a:effectLst/>
      </c:spPr>
      <c:txPr>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lt1"/>
    </a:solidFill>
    <a:ln w="9525" cap="flat" cmpd="sng" algn="ctr">
      <a:noFill/>
      <a:round/>
    </a:ln>
    <a:effectLst/>
  </c:spPr>
  <c:txPr>
    <a:bodyPr/>
    <a:lstStyle/>
    <a:p>
      <a:pPr>
        <a:defRPr sz="1200" cap="none" baseline="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cap="none" spc="120" normalizeH="0" baseline="0">
                <a:solidFill>
                  <a:sysClr val="windowText" lastClr="000000"/>
                </a:solidFill>
                <a:latin typeface="Times New Roman" panose="02020603050405020304" pitchFamily="18" charset="0"/>
                <a:ea typeface="+mn-ea"/>
                <a:cs typeface="Times New Roman" panose="02020603050405020304" pitchFamily="18" charset="0"/>
              </a:defRPr>
            </a:pPr>
            <a:r>
              <a:rPr lang="en-GB"/>
              <a:t>Sample</a:t>
            </a:r>
            <a:r>
              <a:rPr lang="en-GB" baseline="0"/>
              <a:t> B - Fe-sulfide Grain Size Distribution </a:t>
            </a:r>
            <a:endParaRPr lang="en-GB"/>
          </a:p>
        </c:rich>
      </c:tx>
      <c:overlay val="0"/>
      <c:spPr>
        <a:noFill/>
        <a:ln>
          <a:noFill/>
        </a:ln>
        <a:effectLst/>
      </c:spPr>
      <c:txPr>
        <a:bodyPr rot="0" spcFirstLastPara="1" vertOverflow="ellipsis" vert="horz" wrap="square" anchor="ctr" anchorCtr="1"/>
        <a:lstStyle/>
        <a:p>
          <a:pPr>
            <a:defRPr sz="1440" b="1" i="0" u="none" strike="noStrike" kern="1200" cap="none" spc="120" normalizeH="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7.3020875521845774E-2"/>
          <c:y val="0.12470003328823137"/>
          <c:w val="0.72996815445497998"/>
          <c:h val="0.74873181775272968"/>
        </c:manualLayout>
      </c:layout>
      <c:scatterChart>
        <c:scatterStyle val="smoothMarker"/>
        <c:varyColors val="0"/>
        <c:ser>
          <c:idx val="0"/>
          <c:order val="0"/>
          <c:tx>
            <c:strRef>
              <c:f>'5. Grain Size Distribution'!$B$3</c:f>
              <c:strCache>
                <c:ptCount val="1"/>
                <c:pt idx="0">
                  <c:v>HCT</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xVal>
            <c:numRef>
              <c:f>'5. Grain Size Distribution'!$A$43:$A$75</c:f>
              <c:numCache>
                <c:formatCode>0.00</c:formatCode>
                <c:ptCount val="33"/>
                <c:pt idx="0" formatCode="General">
                  <c:v>0.5</c:v>
                </c:pt>
                <c:pt idx="1">
                  <c:v>2</c:v>
                </c:pt>
                <c:pt idx="2" formatCode="General">
                  <c:v>4</c:v>
                </c:pt>
                <c:pt idx="3">
                  <c:v>6</c:v>
                </c:pt>
                <c:pt idx="4" formatCode="General">
                  <c:v>8.5</c:v>
                </c:pt>
                <c:pt idx="5" formatCode="General">
                  <c:v>12.5</c:v>
                </c:pt>
                <c:pt idx="6" formatCode="General">
                  <c:v>17.5</c:v>
                </c:pt>
                <c:pt idx="7" formatCode="General">
                  <c:v>21</c:v>
                </c:pt>
                <c:pt idx="8" formatCode="General">
                  <c:v>22.5</c:v>
                </c:pt>
                <c:pt idx="9" formatCode="General">
                  <c:v>24</c:v>
                </c:pt>
                <c:pt idx="10" formatCode="General">
                  <c:v>27.5</c:v>
                </c:pt>
                <c:pt idx="11" formatCode="General">
                  <c:v>34</c:v>
                </c:pt>
                <c:pt idx="12" formatCode="General">
                  <c:v>41.5</c:v>
                </c:pt>
                <c:pt idx="13" formatCode="General">
                  <c:v>49</c:v>
                </c:pt>
                <c:pt idx="14" formatCode="General">
                  <c:v>59</c:v>
                </c:pt>
                <c:pt idx="15" formatCode="General">
                  <c:v>70</c:v>
                </c:pt>
                <c:pt idx="16" formatCode="General">
                  <c:v>77.5</c:v>
                </c:pt>
                <c:pt idx="17" formatCode="General">
                  <c:v>85</c:v>
                </c:pt>
                <c:pt idx="18" formatCode="General">
                  <c:v>92.5</c:v>
                </c:pt>
                <c:pt idx="19" formatCode="General">
                  <c:v>97.5</c:v>
                </c:pt>
                <c:pt idx="20" formatCode="General">
                  <c:v>102.5</c:v>
                </c:pt>
                <c:pt idx="21" formatCode="General">
                  <c:v>107.5</c:v>
                </c:pt>
                <c:pt idx="22" formatCode="General">
                  <c:v>112.5</c:v>
                </c:pt>
                <c:pt idx="23" formatCode="General">
                  <c:v>117.5</c:v>
                </c:pt>
                <c:pt idx="24" formatCode="General">
                  <c:v>122.5</c:v>
                </c:pt>
                <c:pt idx="25" formatCode="General">
                  <c:v>137.5</c:v>
                </c:pt>
                <c:pt idx="26" formatCode="General">
                  <c:v>225</c:v>
                </c:pt>
                <c:pt idx="27" formatCode="General">
                  <c:v>350</c:v>
                </c:pt>
                <c:pt idx="28" formatCode="General">
                  <c:v>450</c:v>
                </c:pt>
                <c:pt idx="29" formatCode="General">
                  <c:v>750</c:v>
                </c:pt>
                <c:pt idx="30" formatCode="General">
                  <c:v>1500</c:v>
                </c:pt>
                <c:pt idx="31" formatCode="General">
                  <c:v>3000</c:v>
                </c:pt>
                <c:pt idx="32" formatCode="0">
                  <c:v>5350</c:v>
                </c:pt>
              </c:numCache>
            </c:numRef>
          </c:xVal>
          <c:yVal>
            <c:numRef>
              <c:f>'5. Grain Size Distribution'!$B$43:$B$75</c:f>
              <c:numCache>
                <c:formatCode>0%</c:formatCode>
                <c:ptCount val="33"/>
                <c:pt idx="0">
                  <c:v>0</c:v>
                </c:pt>
                <c:pt idx="1">
                  <c:v>0</c:v>
                </c:pt>
                <c:pt idx="2">
                  <c:v>0</c:v>
                </c:pt>
                <c:pt idx="3">
                  <c:v>0</c:v>
                </c:pt>
                <c:pt idx="4">
                  <c:v>1.0958190981283459E-2</c:v>
                </c:pt>
                <c:pt idx="5">
                  <c:v>2.2297026328490538E-2</c:v>
                </c:pt>
                <c:pt idx="6">
                  <c:v>2.5081936576150616E-2</c:v>
                </c:pt>
                <c:pt idx="7">
                  <c:v>2.9999769621204812E-2</c:v>
                </c:pt>
                <c:pt idx="8">
                  <c:v>5.6489671205201049E-2</c:v>
                </c:pt>
                <c:pt idx="9">
                  <c:v>5.9613073540250229E-2</c:v>
                </c:pt>
                <c:pt idx="10">
                  <c:v>7.2769615594902595E-2</c:v>
                </c:pt>
                <c:pt idx="11">
                  <c:v>9.9784854038388715E-2</c:v>
                </c:pt>
                <c:pt idx="12">
                  <c:v>0.13477518058596472</c:v>
                </c:pt>
                <c:pt idx="13">
                  <c:v>0.16338484382645724</c:v>
                </c:pt>
                <c:pt idx="14">
                  <c:v>0.21213521581736797</c:v>
                </c:pt>
                <c:pt idx="15">
                  <c:v>0.26489038766119233</c:v>
                </c:pt>
                <c:pt idx="16">
                  <c:v>0.29025003486048684</c:v>
                </c:pt>
                <c:pt idx="17">
                  <c:v>0.3386970541581289</c:v>
                </c:pt>
                <c:pt idx="18">
                  <c:v>0.36214598361181866</c:v>
                </c:pt>
                <c:pt idx="19">
                  <c:v>0.38871481563310356</c:v>
                </c:pt>
                <c:pt idx="20">
                  <c:v>0.41362151000536174</c:v>
                </c:pt>
                <c:pt idx="21">
                  <c:v>0.4380979735191351</c:v>
                </c:pt>
                <c:pt idx="22">
                  <c:v>0.46140042157180178</c:v>
                </c:pt>
                <c:pt idx="23">
                  <c:v>0.48694984921149087</c:v>
                </c:pt>
                <c:pt idx="24">
                  <c:v>0.51890558925467234</c:v>
                </c:pt>
                <c:pt idx="25">
                  <c:v>0.63918961874069924</c:v>
                </c:pt>
                <c:pt idx="26">
                  <c:v>0.92109432862400242</c:v>
                </c:pt>
                <c:pt idx="27">
                  <c:v>0.9389522024237883</c:v>
                </c:pt>
                <c:pt idx="28">
                  <c:v>0.99339637957502458</c:v>
                </c:pt>
                <c:pt idx="29">
                  <c:v>1</c:v>
                </c:pt>
                <c:pt idx="30">
                  <c:v>1</c:v>
                </c:pt>
                <c:pt idx="31">
                  <c:v>1</c:v>
                </c:pt>
                <c:pt idx="32">
                  <c:v>1</c:v>
                </c:pt>
              </c:numCache>
            </c:numRef>
          </c:yVal>
          <c:smooth val="1"/>
          <c:extLst>
            <c:ext xmlns:c16="http://schemas.microsoft.com/office/drawing/2014/chart" uri="{C3380CC4-5D6E-409C-BE32-E72D297353CC}">
              <c16:uniqueId val="{00000000-3CFD-1940-91CC-B7EDAE612256}"/>
            </c:ext>
          </c:extLst>
        </c:ser>
        <c:ser>
          <c:idx val="1"/>
          <c:order val="1"/>
          <c:tx>
            <c:strRef>
              <c:f>'5. Grain Size Distribution'!$D$3</c:f>
              <c:strCache>
                <c:ptCount val="1"/>
                <c:pt idx="0">
                  <c:v>-6700/+2000</c:v>
                </c:pt>
              </c:strCache>
            </c:strRef>
          </c:tx>
          <c:spPr>
            <a:ln w="22225" cap="rnd">
              <a:solidFill>
                <a:schemeClr val="accent2"/>
              </a:solidFill>
              <a:round/>
            </a:ln>
            <a:effectLst/>
          </c:spPr>
          <c:marker>
            <c:symbol val="diamond"/>
            <c:size val="6"/>
            <c:spPr>
              <a:solidFill>
                <a:schemeClr val="accent2"/>
              </a:solidFill>
              <a:ln w="9525">
                <a:solidFill>
                  <a:schemeClr val="accent2"/>
                </a:solidFill>
                <a:round/>
              </a:ln>
              <a:effectLst/>
            </c:spPr>
          </c:marker>
          <c:xVal>
            <c:numRef>
              <c:f>'5. Grain Size Distribution'!$C$43:$C$67</c:f>
              <c:numCache>
                <c:formatCode>General</c:formatCode>
                <c:ptCount val="25"/>
                <c:pt idx="0">
                  <c:v>2.5</c:v>
                </c:pt>
                <c:pt idx="1">
                  <c:v>7.5</c:v>
                </c:pt>
                <c:pt idx="2">
                  <c:v>17.5</c:v>
                </c:pt>
                <c:pt idx="3">
                  <c:v>37.5</c:v>
                </c:pt>
                <c:pt idx="4">
                  <c:v>62.5</c:v>
                </c:pt>
                <c:pt idx="5">
                  <c:v>87.5</c:v>
                </c:pt>
                <c:pt idx="6">
                  <c:v>112.5</c:v>
                </c:pt>
                <c:pt idx="7">
                  <c:v>137.5</c:v>
                </c:pt>
                <c:pt idx="8">
                  <c:v>162.5</c:v>
                </c:pt>
                <c:pt idx="9">
                  <c:v>187.5</c:v>
                </c:pt>
                <c:pt idx="10">
                  <c:v>212.5</c:v>
                </c:pt>
                <c:pt idx="11">
                  <c:v>237.5</c:v>
                </c:pt>
                <c:pt idx="12">
                  <c:v>262.5</c:v>
                </c:pt>
                <c:pt idx="13">
                  <c:v>287.5</c:v>
                </c:pt>
                <c:pt idx="14">
                  <c:v>312.5</c:v>
                </c:pt>
                <c:pt idx="15">
                  <c:v>337.5</c:v>
                </c:pt>
                <c:pt idx="16">
                  <c:v>362.5</c:v>
                </c:pt>
                <c:pt idx="17">
                  <c:v>387.5</c:v>
                </c:pt>
                <c:pt idx="18">
                  <c:v>412.5</c:v>
                </c:pt>
                <c:pt idx="19">
                  <c:v>437.5</c:v>
                </c:pt>
                <c:pt idx="20">
                  <c:v>465</c:v>
                </c:pt>
                <c:pt idx="21">
                  <c:v>485</c:v>
                </c:pt>
                <c:pt idx="22">
                  <c:v>495</c:v>
                </c:pt>
                <c:pt idx="23">
                  <c:v>750</c:v>
                </c:pt>
                <c:pt idx="24">
                  <c:v>1000</c:v>
                </c:pt>
              </c:numCache>
            </c:numRef>
          </c:xVal>
          <c:yVal>
            <c:numRef>
              <c:f>'5. Grain Size Distribution'!$D$43:$D$67</c:f>
              <c:numCache>
                <c:formatCode>0%</c:formatCode>
                <c:ptCount val="25"/>
                <c:pt idx="0">
                  <c:v>0</c:v>
                </c:pt>
                <c:pt idx="1">
                  <c:v>0</c:v>
                </c:pt>
                <c:pt idx="2">
                  <c:v>2.8619773708899024E-2</c:v>
                </c:pt>
                <c:pt idx="3">
                  <c:v>9.0381597383679846E-2</c:v>
                </c:pt>
                <c:pt idx="4">
                  <c:v>0.18715868194004062</c:v>
                </c:pt>
                <c:pt idx="5">
                  <c:v>0.30689710028231687</c:v>
                </c:pt>
                <c:pt idx="6">
                  <c:v>0.45002686706644029</c:v>
                </c:pt>
                <c:pt idx="7">
                  <c:v>0.58642167119655519</c:v>
                </c:pt>
                <c:pt idx="8">
                  <c:v>0.68728623886230278</c:v>
                </c:pt>
                <c:pt idx="9">
                  <c:v>0.77427751174554604</c:v>
                </c:pt>
                <c:pt idx="10">
                  <c:v>0.82164158509326291</c:v>
                </c:pt>
                <c:pt idx="11">
                  <c:v>0.84222736916448993</c:v>
                </c:pt>
                <c:pt idx="12">
                  <c:v>0.8609038477741825</c:v>
                </c:pt>
                <c:pt idx="13">
                  <c:v>0.9045044680669112</c:v>
                </c:pt>
                <c:pt idx="14">
                  <c:v>0.91024267155533478</c:v>
                </c:pt>
                <c:pt idx="15">
                  <c:v>0.91454628618849743</c:v>
                </c:pt>
                <c:pt idx="16">
                  <c:v>0.91641995712237911</c:v>
                </c:pt>
                <c:pt idx="17">
                  <c:v>0.91718148556891255</c:v>
                </c:pt>
                <c:pt idx="18">
                  <c:v>0.91888398859093046</c:v>
                </c:pt>
                <c:pt idx="19">
                  <c:v>0.92670978729386211</c:v>
                </c:pt>
                <c:pt idx="20">
                  <c:v>0.98806291330193108</c:v>
                </c:pt>
                <c:pt idx="21">
                  <c:v>1</c:v>
                </c:pt>
                <c:pt idx="22">
                  <c:v>1</c:v>
                </c:pt>
                <c:pt idx="23">
                  <c:v>1.0003732974468742</c:v>
                </c:pt>
                <c:pt idx="24">
                  <c:v>1.0003732974468742</c:v>
                </c:pt>
              </c:numCache>
            </c:numRef>
          </c:yVal>
          <c:smooth val="1"/>
          <c:extLst>
            <c:ext xmlns:c16="http://schemas.microsoft.com/office/drawing/2014/chart" uri="{C3380CC4-5D6E-409C-BE32-E72D297353CC}">
              <c16:uniqueId val="{00000001-3CFD-1940-91CC-B7EDAE612256}"/>
            </c:ext>
          </c:extLst>
        </c:ser>
        <c:ser>
          <c:idx val="2"/>
          <c:order val="2"/>
          <c:tx>
            <c:strRef>
              <c:f>'5. Grain Size Distribution'!$E$3</c:f>
              <c:strCache>
                <c:ptCount val="1"/>
                <c:pt idx="0">
                  <c:v>-2000/+1000</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xVal>
            <c:numRef>
              <c:f>'5. Grain Size Distribution'!$C$43:$C$67</c:f>
              <c:numCache>
                <c:formatCode>General</c:formatCode>
                <c:ptCount val="25"/>
                <c:pt idx="0">
                  <c:v>2.5</c:v>
                </c:pt>
                <c:pt idx="1">
                  <c:v>7.5</c:v>
                </c:pt>
                <c:pt idx="2">
                  <c:v>17.5</c:v>
                </c:pt>
                <c:pt idx="3">
                  <c:v>37.5</c:v>
                </c:pt>
                <c:pt idx="4">
                  <c:v>62.5</c:v>
                </c:pt>
                <c:pt idx="5">
                  <c:v>87.5</c:v>
                </c:pt>
                <c:pt idx="6">
                  <c:v>112.5</c:v>
                </c:pt>
                <c:pt idx="7">
                  <c:v>137.5</c:v>
                </c:pt>
                <c:pt idx="8">
                  <c:v>162.5</c:v>
                </c:pt>
                <c:pt idx="9">
                  <c:v>187.5</c:v>
                </c:pt>
                <c:pt idx="10">
                  <c:v>212.5</c:v>
                </c:pt>
                <c:pt idx="11">
                  <c:v>237.5</c:v>
                </c:pt>
                <c:pt idx="12">
                  <c:v>262.5</c:v>
                </c:pt>
                <c:pt idx="13">
                  <c:v>287.5</c:v>
                </c:pt>
                <c:pt idx="14">
                  <c:v>312.5</c:v>
                </c:pt>
                <c:pt idx="15">
                  <c:v>337.5</c:v>
                </c:pt>
                <c:pt idx="16">
                  <c:v>362.5</c:v>
                </c:pt>
                <c:pt idx="17">
                  <c:v>387.5</c:v>
                </c:pt>
                <c:pt idx="18">
                  <c:v>412.5</c:v>
                </c:pt>
                <c:pt idx="19">
                  <c:v>437.5</c:v>
                </c:pt>
                <c:pt idx="20">
                  <c:v>465</c:v>
                </c:pt>
                <c:pt idx="21">
                  <c:v>485</c:v>
                </c:pt>
                <c:pt idx="22">
                  <c:v>495</c:v>
                </c:pt>
                <c:pt idx="23">
                  <c:v>750</c:v>
                </c:pt>
                <c:pt idx="24">
                  <c:v>1000</c:v>
                </c:pt>
              </c:numCache>
            </c:numRef>
          </c:xVal>
          <c:yVal>
            <c:numRef>
              <c:f>'5. Grain Size Distribution'!$E$43:$E$67</c:f>
              <c:numCache>
                <c:formatCode>0%</c:formatCode>
                <c:ptCount val="25"/>
                <c:pt idx="0">
                  <c:v>0</c:v>
                </c:pt>
                <c:pt idx="1">
                  <c:v>0</c:v>
                </c:pt>
                <c:pt idx="2">
                  <c:v>2.8077425367775168E-2</c:v>
                </c:pt>
                <c:pt idx="3">
                  <c:v>8.799001260282667E-2</c:v>
                </c:pt>
                <c:pt idx="4">
                  <c:v>0.18753809058983678</c:v>
                </c:pt>
                <c:pt idx="5">
                  <c:v>0.3106746439450499</c:v>
                </c:pt>
                <c:pt idx="6">
                  <c:v>0.43295724079980719</c:v>
                </c:pt>
                <c:pt idx="7">
                  <c:v>0.56316722642257955</c:v>
                </c:pt>
                <c:pt idx="8">
                  <c:v>0.71316338239460209</c:v>
                </c:pt>
                <c:pt idx="9">
                  <c:v>0.78524207645309008</c:v>
                </c:pt>
                <c:pt idx="10">
                  <c:v>0.82600019187479734</c:v>
                </c:pt>
                <c:pt idx="11">
                  <c:v>0.87864824810642317</c:v>
                </c:pt>
                <c:pt idx="12">
                  <c:v>0.89681154268882468</c:v>
                </c:pt>
                <c:pt idx="13">
                  <c:v>0.90390636116555811</c:v>
                </c:pt>
                <c:pt idx="14">
                  <c:v>0.9175051280746741</c:v>
                </c:pt>
                <c:pt idx="15">
                  <c:v>0.9175051280746741</c:v>
                </c:pt>
                <c:pt idx="16">
                  <c:v>0.93631542747671959</c:v>
                </c:pt>
                <c:pt idx="17">
                  <c:v>0.94095875320804923</c:v>
                </c:pt>
                <c:pt idx="18">
                  <c:v>0.94226624980301743</c:v>
                </c:pt>
                <c:pt idx="19">
                  <c:v>0.94226624980301743</c:v>
                </c:pt>
                <c:pt idx="20">
                  <c:v>0.95839050149228322</c:v>
                </c:pt>
                <c:pt idx="21">
                  <c:v>0.95839050149228322</c:v>
                </c:pt>
                <c:pt idx="22">
                  <c:v>0.95839050149228322</c:v>
                </c:pt>
                <c:pt idx="23">
                  <c:v>1</c:v>
                </c:pt>
                <c:pt idx="24">
                  <c:v>1</c:v>
                </c:pt>
              </c:numCache>
            </c:numRef>
          </c:yVal>
          <c:smooth val="1"/>
          <c:extLst>
            <c:ext xmlns:c16="http://schemas.microsoft.com/office/drawing/2014/chart" uri="{C3380CC4-5D6E-409C-BE32-E72D297353CC}">
              <c16:uniqueId val="{00000002-3CFD-1940-91CC-B7EDAE612256}"/>
            </c:ext>
          </c:extLst>
        </c:ser>
        <c:ser>
          <c:idx val="3"/>
          <c:order val="3"/>
          <c:tx>
            <c:strRef>
              <c:f>'5. Grain Size Distribution'!$F$3</c:f>
              <c:strCache>
                <c:ptCount val="1"/>
                <c:pt idx="0">
                  <c:v>-1000/+425</c:v>
                </c:pt>
              </c:strCache>
            </c:strRef>
          </c:tx>
          <c:spPr>
            <a:ln w="22225" cap="rnd">
              <a:solidFill>
                <a:schemeClr val="accent4"/>
              </a:solidFill>
              <a:round/>
            </a:ln>
            <a:effectLst/>
          </c:spPr>
          <c:marker>
            <c:symbol val="square"/>
            <c:size val="6"/>
            <c:spPr>
              <a:solidFill>
                <a:schemeClr val="accent4"/>
              </a:solidFill>
              <a:ln w="9525">
                <a:solidFill>
                  <a:schemeClr val="accent4"/>
                </a:solidFill>
                <a:round/>
              </a:ln>
              <a:effectLst/>
            </c:spPr>
          </c:marker>
          <c:xVal>
            <c:numRef>
              <c:f>'5. Grain Size Distribution'!$C$43:$C$67</c:f>
              <c:numCache>
                <c:formatCode>General</c:formatCode>
                <c:ptCount val="25"/>
                <c:pt idx="0">
                  <c:v>2.5</c:v>
                </c:pt>
                <c:pt idx="1">
                  <c:v>7.5</c:v>
                </c:pt>
                <c:pt idx="2">
                  <c:v>17.5</c:v>
                </c:pt>
                <c:pt idx="3">
                  <c:v>37.5</c:v>
                </c:pt>
                <c:pt idx="4">
                  <c:v>62.5</c:v>
                </c:pt>
                <c:pt idx="5">
                  <c:v>87.5</c:v>
                </c:pt>
                <c:pt idx="6">
                  <c:v>112.5</c:v>
                </c:pt>
                <c:pt idx="7">
                  <c:v>137.5</c:v>
                </c:pt>
                <c:pt idx="8">
                  <c:v>162.5</c:v>
                </c:pt>
                <c:pt idx="9">
                  <c:v>187.5</c:v>
                </c:pt>
                <c:pt idx="10">
                  <c:v>212.5</c:v>
                </c:pt>
                <c:pt idx="11">
                  <c:v>237.5</c:v>
                </c:pt>
                <c:pt idx="12">
                  <c:v>262.5</c:v>
                </c:pt>
                <c:pt idx="13">
                  <c:v>287.5</c:v>
                </c:pt>
                <c:pt idx="14">
                  <c:v>312.5</c:v>
                </c:pt>
                <c:pt idx="15">
                  <c:v>337.5</c:v>
                </c:pt>
                <c:pt idx="16">
                  <c:v>362.5</c:v>
                </c:pt>
                <c:pt idx="17">
                  <c:v>387.5</c:v>
                </c:pt>
                <c:pt idx="18">
                  <c:v>412.5</c:v>
                </c:pt>
                <c:pt idx="19">
                  <c:v>437.5</c:v>
                </c:pt>
                <c:pt idx="20">
                  <c:v>465</c:v>
                </c:pt>
                <c:pt idx="21">
                  <c:v>485</c:v>
                </c:pt>
                <c:pt idx="22">
                  <c:v>495</c:v>
                </c:pt>
                <c:pt idx="23">
                  <c:v>750</c:v>
                </c:pt>
                <c:pt idx="24">
                  <c:v>1000</c:v>
                </c:pt>
              </c:numCache>
            </c:numRef>
          </c:xVal>
          <c:yVal>
            <c:numRef>
              <c:f>'5. Grain Size Distribution'!$F$43:$F$67</c:f>
              <c:numCache>
                <c:formatCode>0%</c:formatCode>
                <c:ptCount val="25"/>
                <c:pt idx="0">
                  <c:v>0</c:v>
                </c:pt>
                <c:pt idx="1">
                  <c:v>0</c:v>
                </c:pt>
                <c:pt idx="2">
                  <c:v>3.2791873065555407E-2</c:v>
                </c:pt>
                <c:pt idx="3">
                  <c:v>0.1204768800827687</c:v>
                </c:pt>
                <c:pt idx="4">
                  <c:v>0.26860348877629353</c:v>
                </c:pt>
                <c:pt idx="5">
                  <c:v>0.40712195793562994</c:v>
                </c:pt>
                <c:pt idx="6">
                  <c:v>0.5210365980655024</c:v>
                </c:pt>
                <c:pt idx="7">
                  <c:v>0.61911049376600302</c:v>
                </c:pt>
                <c:pt idx="8">
                  <c:v>0.6909484629395034</c:v>
                </c:pt>
                <c:pt idx="9">
                  <c:v>0.73950557559932284</c:v>
                </c:pt>
                <c:pt idx="10">
                  <c:v>0.81640460100440515</c:v>
                </c:pt>
                <c:pt idx="11">
                  <c:v>0.82000851665707564</c:v>
                </c:pt>
                <c:pt idx="12">
                  <c:v>0.88080365222862544</c:v>
                </c:pt>
                <c:pt idx="13">
                  <c:v>0.88585865710026557</c:v>
                </c:pt>
                <c:pt idx="14">
                  <c:v>0.90599421573900951</c:v>
                </c:pt>
                <c:pt idx="15">
                  <c:v>0.9376412414305122</c:v>
                </c:pt>
                <c:pt idx="16">
                  <c:v>0.96307174539680507</c:v>
                </c:pt>
                <c:pt idx="17">
                  <c:v>0.96307174539680507</c:v>
                </c:pt>
                <c:pt idx="18">
                  <c:v>0.96307174539680507</c:v>
                </c:pt>
                <c:pt idx="19">
                  <c:v>0.97461006972973674</c:v>
                </c:pt>
                <c:pt idx="20">
                  <c:v>0.97461006972973674</c:v>
                </c:pt>
                <c:pt idx="21">
                  <c:v>0.97461006972973674</c:v>
                </c:pt>
                <c:pt idx="22">
                  <c:v>0.97461006972973674</c:v>
                </c:pt>
                <c:pt idx="23">
                  <c:v>1</c:v>
                </c:pt>
                <c:pt idx="24">
                  <c:v>1</c:v>
                </c:pt>
              </c:numCache>
            </c:numRef>
          </c:yVal>
          <c:smooth val="1"/>
          <c:extLst>
            <c:ext xmlns:c16="http://schemas.microsoft.com/office/drawing/2014/chart" uri="{C3380CC4-5D6E-409C-BE32-E72D297353CC}">
              <c16:uniqueId val="{00000003-3CFD-1940-91CC-B7EDAE612256}"/>
            </c:ext>
          </c:extLst>
        </c:ser>
        <c:ser>
          <c:idx val="4"/>
          <c:order val="4"/>
          <c:tx>
            <c:strRef>
              <c:f>'5. Grain Size Distribution'!$G$3</c:f>
              <c:strCache>
                <c:ptCount val="1"/>
                <c:pt idx="0">
                  <c:v>-425/+150</c:v>
                </c:pt>
              </c:strCache>
            </c:strRef>
          </c:tx>
          <c:spPr>
            <a:ln w="22225" cap="rnd">
              <a:solidFill>
                <a:schemeClr val="accent5"/>
              </a:solidFill>
              <a:round/>
            </a:ln>
            <a:effectLst/>
          </c:spPr>
          <c:marker>
            <c:symbol val="star"/>
            <c:size val="6"/>
            <c:spPr>
              <a:noFill/>
              <a:ln w="9525">
                <a:solidFill>
                  <a:schemeClr val="accent5"/>
                </a:solidFill>
                <a:round/>
              </a:ln>
              <a:effectLst/>
            </c:spPr>
          </c:marker>
          <c:xVal>
            <c:numRef>
              <c:f>'5. Grain Size Distribution'!$C$43:$C$67</c:f>
              <c:numCache>
                <c:formatCode>General</c:formatCode>
                <c:ptCount val="25"/>
                <c:pt idx="0">
                  <c:v>2.5</c:v>
                </c:pt>
                <c:pt idx="1">
                  <c:v>7.5</c:v>
                </c:pt>
                <c:pt idx="2">
                  <c:v>17.5</c:v>
                </c:pt>
                <c:pt idx="3">
                  <c:v>37.5</c:v>
                </c:pt>
                <c:pt idx="4">
                  <c:v>62.5</c:v>
                </c:pt>
                <c:pt idx="5">
                  <c:v>87.5</c:v>
                </c:pt>
                <c:pt idx="6">
                  <c:v>112.5</c:v>
                </c:pt>
                <c:pt idx="7">
                  <c:v>137.5</c:v>
                </c:pt>
                <c:pt idx="8">
                  <c:v>162.5</c:v>
                </c:pt>
                <c:pt idx="9">
                  <c:v>187.5</c:v>
                </c:pt>
                <c:pt idx="10">
                  <c:v>212.5</c:v>
                </c:pt>
                <c:pt idx="11">
                  <c:v>237.5</c:v>
                </c:pt>
                <c:pt idx="12">
                  <c:v>262.5</c:v>
                </c:pt>
                <c:pt idx="13">
                  <c:v>287.5</c:v>
                </c:pt>
                <c:pt idx="14">
                  <c:v>312.5</c:v>
                </c:pt>
                <c:pt idx="15">
                  <c:v>337.5</c:v>
                </c:pt>
                <c:pt idx="16">
                  <c:v>362.5</c:v>
                </c:pt>
                <c:pt idx="17">
                  <c:v>387.5</c:v>
                </c:pt>
                <c:pt idx="18">
                  <c:v>412.5</c:v>
                </c:pt>
                <c:pt idx="19">
                  <c:v>437.5</c:v>
                </c:pt>
                <c:pt idx="20">
                  <c:v>465</c:v>
                </c:pt>
                <c:pt idx="21">
                  <c:v>485</c:v>
                </c:pt>
                <c:pt idx="22">
                  <c:v>495</c:v>
                </c:pt>
                <c:pt idx="23">
                  <c:v>750</c:v>
                </c:pt>
                <c:pt idx="24">
                  <c:v>1000</c:v>
                </c:pt>
              </c:numCache>
            </c:numRef>
          </c:xVal>
          <c:yVal>
            <c:numRef>
              <c:f>'5. Grain Size Distribution'!$G$43:$G$67</c:f>
              <c:numCache>
                <c:formatCode>0%</c:formatCode>
                <c:ptCount val="25"/>
                <c:pt idx="0">
                  <c:v>0</c:v>
                </c:pt>
                <c:pt idx="1">
                  <c:v>5.1088353913153906E-3</c:v>
                </c:pt>
                <c:pt idx="2">
                  <c:v>2.7914890233159552E-2</c:v>
                </c:pt>
                <c:pt idx="3">
                  <c:v>0.11256656348293997</c:v>
                </c:pt>
                <c:pt idx="4">
                  <c:v>0.2331181078201941</c:v>
                </c:pt>
                <c:pt idx="5">
                  <c:v>0.35359110086883266</c:v>
                </c:pt>
                <c:pt idx="6">
                  <c:v>0.48511741785397494</c:v>
                </c:pt>
                <c:pt idx="7">
                  <c:v>0.62824548887587628</c:v>
                </c:pt>
                <c:pt idx="8">
                  <c:v>0.76437225012285204</c:v>
                </c:pt>
                <c:pt idx="9">
                  <c:v>0.83807138548565097</c:v>
                </c:pt>
                <c:pt idx="10">
                  <c:v>0.89847517294491563</c:v>
                </c:pt>
                <c:pt idx="11">
                  <c:v>0.93884662935656815</c:v>
                </c:pt>
                <c:pt idx="12">
                  <c:v>0.97264865698814484</c:v>
                </c:pt>
                <c:pt idx="13">
                  <c:v>0.99589815674281601</c:v>
                </c:pt>
                <c:pt idx="14">
                  <c:v>1</c:v>
                </c:pt>
                <c:pt idx="15">
                  <c:v>1</c:v>
                </c:pt>
                <c:pt idx="16">
                  <c:v>1</c:v>
                </c:pt>
                <c:pt idx="17">
                  <c:v>1</c:v>
                </c:pt>
                <c:pt idx="18">
                  <c:v>1</c:v>
                </c:pt>
                <c:pt idx="19">
                  <c:v>1</c:v>
                </c:pt>
                <c:pt idx="20">
                  <c:v>1</c:v>
                </c:pt>
                <c:pt idx="21">
                  <c:v>1</c:v>
                </c:pt>
                <c:pt idx="22">
                  <c:v>1</c:v>
                </c:pt>
                <c:pt idx="23">
                  <c:v>1</c:v>
                </c:pt>
                <c:pt idx="24">
                  <c:v>1</c:v>
                </c:pt>
              </c:numCache>
            </c:numRef>
          </c:yVal>
          <c:smooth val="1"/>
          <c:extLst>
            <c:ext xmlns:c16="http://schemas.microsoft.com/office/drawing/2014/chart" uri="{C3380CC4-5D6E-409C-BE32-E72D297353CC}">
              <c16:uniqueId val="{00000004-3CFD-1940-91CC-B7EDAE612256}"/>
            </c:ext>
          </c:extLst>
        </c:ser>
        <c:ser>
          <c:idx val="5"/>
          <c:order val="5"/>
          <c:tx>
            <c:strRef>
              <c:f>'5. Grain Size Distribution'!$I$3</c:f>
              <c:strCache>
                <c:ptCount val="1"/>
                <c:pt idx="0">
                  <c:v>-150/+0</c:v>
                </c:pt>
              </c:strCache>
            </c:strRef>
          </c:tx>
          <c:spPr>
            <a:ln w="22225" cap="rnd">
              <a:solidFill>
                <a:schemeClr val="accent6"/>
              </a:solidFill>
              <a:round/>
            </a:ln>
            <a:effectLst/>
          </c:spPr>
          <c:marker>
            <c:symbol val="circle"/>
            <c:size val="6"/>
            <c:spPr>
              <a:solidFill>
                <a:schemeClr val="accent6"/>
              </a:solidFill>
              <a:ln w="9525">
                <a:solidFill>
                  <a:schemeClr val="accent6"/>
                </a:solidFill>
                <a:round/>
              </a:ln>
              <a:effectLst/>
            </c:spPr>
          </c:marker>
          <c:xVal>
            <c:numRef>
              <c:f>'5. Grain Size Distribution'!$H$43:$H$67</c:f>
              <c:numCache>
                <c:formatCode>General</c:formatCode>
                <c:ptCount val="25"/>
                <c:pt idx="0">
                  <c:v>0.5</c:v>
                </c:pt>
                <c:pt idx="1">
                  <c:v>2</c:v>
                </c:pt>
                <c:pt idx="2">
                  <c:v>4</c:v>
                </c:pt>
                <c:pt idx="3">
                  <c:v>6</c:v>
                </c:pt>
                <c:pt idx="4">
                  <c:v>8.5</c:v>
                </c:pt>
                <c:pt idx="5">
                  <c:v>12.5</c:v>
                </c:pt>
                <c:pt idx="6">
                  <c:v>17.5</c:v>
                </c:pt>
                <c:pt idx="7">
                  <c:v>22.5</c:v>
                </c:pt>
                <c:pt idx="8">
                  <c:v>27.5</c:v>
                </c:pt>
                <c:pt idx="9">
                  <c:v>34</c:v>
                </c:pt>
                <c:pt idx="10">
                  <c:v>41.5</c:v>
                </c:pt>
                <c:pt idx="11">
                  <c:v>49</c:v>
                </c:pt>
                <c:pt idx="12">
                  <c:v>64</c:v>
                </c:pt>
                <c:pt idx="13">
                  <c:v>77.5</c:v>
                </c:pt>
                <c:pt idx="14">
                  <c:v>85</c:v>
                </c:pt>
                <c:pt idx="15">
                  <c:v>92.5</c:v>
                </c:pt>
                <c:pt idx="16">
                  <c:v>97.5</c:v>
                </c:pt>
                <c:pt idx="17">
                  <c:v>102.5</c:v>
                </c:pt>
                <c:pt idx="18">
                  <c:v>107.5</c:v>
                </c:pt>
                <c:pt idx="19">
                  <c:v>112.5</c:v>
                </c:pt>
                <c:pt idx="20">
                  <c:v>117.5</c:v>
                </c:pt>
                <c:pt idx="21">
                  <c:v>122.5</c:v>
                </c:pt>
                <c:pt idx="22">
                  <c:v>137.5</c:v>
                </c:pt>
                <c:pt idx="23">
                  <c:v>225</c:v>
                </c:pt>
                <c:pt idx="24">
                  <c:v>300</c:v>
                </c:pt>
              </c:numCache>
            </c:numRef>
          </c:xVal>
          <c:yVal>
            <c:numRef>
              <c:f>'5. Grain Size Distribution'!$I$43:$I$67</c:f>
              <c:numCache>
                <c:formatCode>0%</c:formatCode>
                <c:ptCount val="25"/>
                <c:pt idx="0">
                  <c:v>0</c:v>
                </c:pt>
                <c:pt idx="1">
                  <c:v>0</c:v>
                </c:pt>
                <c:pt idx="2">
                  <c:v>0</c:v>
                </c:pt>
                <c:pt idx="3">
                  <c:v>0</c:v>
                </c:pt>
                <c:pt idx="4">
                  <c:v>8.4164534558594559E-2</c:v>
                </c:pt>
                <c:pt idx="5">
                  <c:v>0.16008370440246861</c:v>
                </c:pt>
                <c:pt idx="6">
                  <c:v>0.21605238512511557</c:v>
                </c:pt>
                <c:pt idx="7">
                  <c:v>0.27260712750043176</c:v>
                </c:pt>
                <c:pt idx="8">
                  <c:v>0.3328120252603381</c:v>
                </c:pt>
                <c:pt idx="9">
                  <c:v>0.41902416908323015</c:v>
                </c:pt>
                <c:pt idx="10">
                  <c:v>0.4929157861993716</c:v>
                </c:pt>
                <c:pt idx="11">
                  <c:v>0.56355134273360541</c:v>
                </c:pt>
                <c:pt idx="12">
                  <c:v>0.73384548965307272</c:v>
                </c:pt>
                <c:pt idx="13">
                  <c:v>0.77213322933598405</c:v>
                </c:pt>
                <c:pt idx="14">
                  <c:v>0.82499432098063719</c:v>
                </c:pt>
                <c:pt idx="15">
                  <c:v>0.85109096017815122</c:v>
                </c:pt>
                <c:pt idx="16">
                  <c:v>0.87205793662371545</c:v>
                </c:pt>
                <c:pt idx="17">
                  <c:v>0.88970359804150168</c:v>
                </c:pt>
                <c:pt idx="18">
                  <c:v>0.90401334123899557</c:v>
                </c:pt>
                <c:pt idx="19">
                  <c:v>0.92596781001588202</c:v>
                </c:pt>
                <c:pt idx="20">
                  <c:v>0.94171601052663501</c:v>
                </c:pt>
                <c:pt idx="21">
                  <c:v>0.95397278824193255</c:v>
                </c:pt>
                <c:pt idx="22">
                  <c:v>0.98621530899064536</c:v>
                </c:pt>
                <c:pt idx="23">
                  <c:v>1</c:v>
                </c:pt>
                <c:pt idx="24">
                  <c:v>1</c:v>
                </c:pt>
              </c:numCache>
            </c:numRef>
          </c:yVal>
          <c:smooth val="1"/>
          <c:extLst>
            <c:ext xmlns:c16="http://schemas.microsoft.com/office/drawing/2014/chart" uri="{C3380CC4-5D6E-409C-BE32-E72D297353CC}">
              <c16:uniqueId val="{00000005-3CFD-1940-91CC-B7EDAE612256}"/>
            </c:ext>
          </c:extLst>
        </c:ser>
        <c:ser>
          <c:idx val="12"/>
          <c:order val="6"/>
          <c:tx>
            <c:strRef>
              <c:f>'5. Grain Size Distribution'!$K$41</c:f>
              <c:strCache>
                <c:ptCount val="1"/>
                <c:pt idx="0">
                  <c:v>SCT</c:v>
                </c:pt>
              </c:strCache>
            </c:strRef>
          </c:tx>
          <c:spPr>
            <a:ln w="22225" cap="rnd">
              <a:solidFill>
                <a:schemeClr val="accent2"/>
              </a:solidFill>
              <a:round/>
            </a:ln>
            <a:effectLst/>
          </c:spPr>
          <c:marker>
            <c:symbol val="plus"/>
            <c:size val="10"/>
            <c:spPr>
              <a:noFill/>
              <a:ln w="9525">
                <a:solidFill>
                  <a:schemeClr val="accent2"/>
                </a:solidFill>
                <a:round/>
              </a:ln>
              <a:effectLst/>
            </c:spPr>
          </c:marker>
          <c:xVal>
            <c:numRef>
              <c:f>'5. Grain Size Distribution'!$J$43:$J$67</c:f>
              <c:numCache>
                <c:formatCode>General</c:formatCode>
                <c:ptCount val="25"/>
                <c:pt idx="0">
                  <c:v>0.5</c:v>
                </c:pt>
                <c:pt idx="1">
                  <c:v>2</c:v>
                </c:pt>
                <c:pt idx="2">
                  <c:v>4</c:v>
                </c:pt>
                <c:pt idx="3">
                  <c:v>6</c:v>
                </c:pt>
                <c:pt idx="4">
                  <c:v>8.5</c:v>
                </c:pt>
                <c:pt idx="5">
                  <c:v>12.5</c:v>
                </c:pt>
                <c:pt idx="6">
                  <c:v>17.5</c:v>
                </c:pt>
                <c:pt idx="7">
                  <c:v>22.5</c:v>
                </c:pt>
                <c:pt idx="8">
                  <c:v>27.5</c:v>
                </c:pt>
                <c:pt idx="9">
                  <c:v>34</c:v>
                </c:pt>
                <c:pt idx="10">
                  <c:v>41.5</c:v>
                </c:pt>
                <c:pt idx="11">
                  <c:v>49</c:v>
                </c:pt>
                <c:pt idx="12">
                  <c:v>64</c:v>
                </c:pt>
                <c:pt idx="13">
                  <c:v>77.5</c:v>
                </c:pt>
                <c:pt idx="14">
                  <c:v>85</c:v>
                </c:pt>
                <c:pt idx="15">
                  <c:v>92.5</c:v>
                </c:pt>
                <c:pt idx="16">
                  <c:v>97.5</c:v>
                </c:pt>
                <c:pt idx="17">
                  <c:v>102.5</c:v>
                </c:pt>
                <c:pt idx="18">
                  <c:v>107.5</c:v>
                </c:pt>
                <c:pt idx="19">
                  <c:v>112.5</c:v>
                </c:pt>
                <c:pt idx="20">
                  <c:v>117.5</c:v>
                </c:pt>
                <c:pt idx="21">
                  <c:v>122.5</c:v>
                </c:pt>
                <c:pt idx="22">
                  <c:v>137.5</c:v>
                </c:pt>
                <c:pt idx="23">
                  <c:v>225</c:v>
                </c:pt>
                <c:pt idx="24">
                  <c:v>300</c:v>
                </c:pt>
              </c:numCache>
            </c:numRef>
          </c:xVal>
          <c:yVal>
            <c:numRef>
              <c:f>'5. Grain Size Distribution'!$K$43:$K$67</c:f>
              <c:numCache>
                <c:formatCode>0%</c:formatCode>
                <c:ptCount val="25"/>
                <c:pt idx="0">
                  <c:v>0</c:v>
                </c:pt>
                <c:pt idx="1">
                  <c:v>2.7179992944765981E-2</c:v>
                </c:pt>
                <c:pt idx="2">
                  <c:v>5.470385891350675E-2</c:v>
                </c:pt>
                <c:pt idx="3">
                  <c:v>0.10786870639590856</c:v>
                </c:pt>
                <c:pt idx="4">
                  <c:v>0.17748545910970392</c:v>
                </c:pt>
                <c:pt idx="5">
                  <c:v>0.30782429262941752</c:v>
                </c:pt>
                <c:pt idx="6">
                  <c:v>0.40901497849191537</c:v>
                </c:pt>
                <c:pt idx="7">
                  <c:v>0.49749304527905464</c:v>
                </c:pt>
                <c:pt idx="8">
                  <c:v>0.56510893575173382</c:v>
                </c:pt>
                <c:pt idx="9">
                  <c:v>0.6734313092099522</c:v>
                </c:pt>
                <c:pt idx="10">
                  <c:v>0.74879296128856165</c:v>
                </c:pt>
                <c:pt idx="11">
                  <c:v>0.862077770795453</c:v>
                </c:pt>
                <c:pt idx="12">
                  <c:v>0.93256478360889528</c:v>
                </c:pt>
                <c:pt idx="13">
                  <c:v>0.96559336418526809</c:v>
                </c:pt>
                <c:pt idx="14">
                  <c:v>1</c:v>
                </c:pt>
                <c:pt idx="15">
                  <c:v>1</c:v>
                </c:pt>
                <c:pt idx="16">
                  <c:v>1</c:v>
                </c:pt>
                <c:pt idx="17">
                  <c:v>1</c:v>
                </c:pt>
                <c:pt idx="18">
                  <c:v>1</c:v>
                </c:pt>
                <c:pt idx="19">
                  <c:v>1</c:v>
                </c:pt>
                <c:pt idx="20">
                  <c:v>1</c:v>
                </c:pt>
                <c:pt idx="21">
                  <c:v>1</c:v>
                </c:pt>
                <c:pt idx="22">
                  <c:v>1</c:v>
                </c:pt>
                <c:pt idx="23">
                  <c:v>1</c:v>
                </c:pt>
                <c:pt idx="24">
                  <c:v>1</c:v>
                </c:pt>
              </c:numCache>
            </c:numRef>
          </c:yVal>
          <c:smooth val="1"/>
          <c:extLst>
            <c:ext xmlns:c16="http://schemas.microsoft.com/office/drawing/2014/chart" uri="{C3380CC4-5D6E-409C-BE32-E72D297353CC}">
              <c16:uniqueId val="{00000000-2FDA-564C-988A-6E567448E6D7}"/>
            </c:ext>
          </c:extLst>
        </c:ser>
        <c:ser>
          <c:idx val="6"/>
          <c:order val="7"/>
          <c:tx>
            <c:strRef>
              <c:f>'5. Grain Size Distribution'!$Q$67</c:f>
              <c:strCache>
                <c:ptCount val="1"/>
                <c:pt idx="0">
                  <c:v>HCT L85</c:v>
                </c:pt>
              </c:strCache>
            </c:strRef>
          </c:tx>
          <c:spPr>
            <a:ln w="22225" cap="rnd">
              <a:noFill/>
              <a:round/>
            </a:ln>
            <a:effectLst/>
          </c:spPr>
          <c:marker>
            <c:symbol val="diamond"/>
            <c:size val="10"/>
            <c:spPr>
              <a:solidFill>
                <a:schemeClr val="accent1"/>
              </a:solidFill>
              <a:ln w="9525">
                <a:noFill/>
                <a:round/>
              </a:ln>
              <a:effectLst/>
            </c:spPr>
          </c:marker>
          <c:xVal>
            <c:numRef>
              <c:f>'5. Grain Size Distribution'!$R$67</c:f>
              <c:numCache>
                <c:formatCode>General</c:formatCode>
                <c:ptCount val="1"/>
                <c:pt idx="0">
                  <c:v>190</c:v>
                </c:pt>
              </c:numCache>
            </c:numRef>
          </c:xVal>
          <c:yVal>
            <c:numRef>
              <c:f>'5. Grain Size Distribution'!$S$67</c:f>
              <c:numCache>
                <c:formatCode>0%</c:formatCode>
                <c:ptCount val="1"/>
                <c:pt idx="0">
                  <c:v>0.85</c:v>
                </c:pt>
              </c:numCache>
            </c:numRef>
          </c:yVal>
          <c:smooth val="1"/>
          <c:extLst>
            <c:ext xmlns:c16="http://schemas.microsoft.com/office/drawing/2014/chart" uri="{C3380CC4-5D6E-409C-BE32-E72D297353CC}">
              <c16:uniqueId val="{00000008-3CFD-1940-91CC-B7EDAE612256}"/>
            </c:ext>
          </c:extLst>
        </c:ser>
        <c:ser>
          <c:idx val="7"/>
          <c:order val="8"/>
          <c:tx>
            <c:strRef>
              <c:f>'5. Grain Size Distribution'!$Q$68</c:f>
              <c:strCache>
                <c:ptCount val="1"/>
                <c:pt idx="0">
                  <c:v>-6700/+2000 L85</c:v>
                </c:pt>
              </c:strCache>
            </c:strRef>
          </c:tx>
          <c:spPr>
            <a:ln w="22225" cap="rnd">
              <a:noFill/>
              <a:round/>
            </a:ln>
            <a:effectLst/>
          </c:spPr>
          <c:marker>
            <c:symbol val="diamond"/>
            <c:size val="10"/>
            <c:spPr>
              <a:solidFill>
                <a:schemeClr val="accent2"/>
              </a:solidFill>
              <a:ln w="9525">
                <a:noFill/>
                <a:round/>
              </a:ln>
              <a:effectLst/>
            </c:spPr>
          </c:marker>
          <c:xVal>
            <c:numRef>
              <c:f>'5. Grain Size Distribution'!$R$68</c:f>
              <c:numCache>
                <c:formatCode>General</c:formatCode>
                <c:ptCount val="1"/>
                <c:pt idx="0">
                  <c:v>230</c:v>
                </c:pt>
              </c:numCache>
            </c:numRef>
          </c:xVal>
          <c:yVal>
            <c:numRef>
              <c:f>'5. Grain Size Distribution'!$S$68</c:f>
              <c:numCache>
                <c:formatCode>0%</c:formatCode>
                <c:ptCount val="1"/>
                <c:pt idx="0">
                  <c:v>0.85</c:v>
                </c:pt>
              </c:numCache>
            </c:numRef>
          </c:yVal>
          <c:smooth val="1"/>
          <c:extLst>
            <c:ext xmlns:c16="http://schemas.microsoft.com/office/drawing/2014/chart" uri="{C3380CC4-5D6E-409C-BE32-E72D297353CC}">
              <c16:uniqueId val="{00000009-3CFD-1940-91CC-B7EDAE612256}"/>
            </c:ext>
          </c:extLst>
        </c:ser>
        <c:ser>
          <c:idx val="8"/>
          <c:order val="9"/>
          <c:tx>
            <c:strRef>
              <c:f>'5. Grain Size Distribution'!$Q$69</c:f>
              <c:strCache>
                <c:ptCount val="1"/>
                <c:pt idx="0">
                  <c:v>-2000/+1000 L85</c:v>
                </c:pt>
              </c:strCache>
            </c:strRef>
          </c:tx>
          <c:spPr>
            <a:ln w="22225" cap="rnd">
              <a:noFill/>
              <a:round/>
            </a:ln>
            <a:effectLst/>
          </c:spPr>
          <c:marker>
            <c:symbol val="triangle"/>
            <c:size val="10"/>
            <c:spPr>
              <a:solidFill>
                <a:schemeClr val="accent3"/>
              </a:solidFill>
              <a:ln w="9525">
                <a:noFill/>
                <a:round/>
              </a:ln>
              <a:effectLst/>
            </c:spPr>
          </c:marker>
          <c:xVal>
            <c:numRef>
              <c:f>'5. Grain Size Distribution'!$R$69</c:f>
              <c:numCache>
                <c:formatCode>General</c:formatCode>
                <c:ptCount val="1"/>
                <c:pt idx="0">
                  <c:v>220</c:v>
                </c:pt>
              </c:numCache>
            </c:numRef>
          </c:xVal>
          <c:yVal>
            <c:numRef>
              <c:f>'5. Grain Size Distribution'!$S$69</c:f>
              <c:numCache>
                <c:formatCode>0%</c:formatCode>
                <c:ptCount val="1"/>
                <c:pt idx="0">
                  <c:v>0.85</c:v>
                </c:pt>
              </c:numCache>
            </c:numRef>
          </c:yVal>
          <c:smooth val="1"/>
          <c:extLst>
            <c:ext xmlns:c16="http://schemas.microsoft.com/office/drawing/2014/chart" uri="{C3380CC4-5D6E-409C-BE32-E72D297353CC}">
              <c16:uniqueId val="{0000000A-3CFD-1940-91CC-B7EDAE612256}"/>
            </c:ext>
          </c:extLst>
        </c:ser>
        <c:ser>
          <c:idx val="9"/>
          <c:order val="10"/>
          <c:tx>
            <c:strRef>
              <c:f>'5. Grain Size Distribution'!$Q$70</c:f>
              <c:strCache>
                <c:ptCount val="1"/>
                <c:pt idx="0">
                  <c:v>-1000/+425 L85</c:v>
                </c:pt>
              </c:strCache>
            </c:strRef>
          </c:tx>
          <c:spPr>
            <a:ln w="22225" cap="rnd">
              <a:noFill/>
              <a:round/>
            </a:ln>
            <a:effectLst/>
          </c:spPr>
          <c:marker>
            <c:symbol val="square"/>
            <c:size val="10"/>
            <c:spPr>
              <a:solidFill>
                <a:schemeClr val="accent4"/>
              </a:solidFill>
              <a:ln w="9525">
                <a:noFill/>
                <a:round/>
              </a:ln>
              <a:effectLst/>
            </c:spPr>
          </c:marker>
          <c:xVal>
            <c:numRef>
              <c:f>'5. Grain Size Distribution'!$R$70</c:f>
              <c:numCache>
                <c:formatCode>General</c:formatCode>
                <c:ptCount val="1"/>
                <c:pt idx="0">
                  <c:v>220</c:v>
                </c:pt>
              </c:numCache>
            </c:numRef>
          </c:xVal>
          <c:yVal>
            <c:numRef>
              <c:f>'5. Grain Size Distribution'!$S$70</c:f>
              <c:numCache>
                <c:formatCode>0%</c:formatCode>
                <c:ptCount val="1"/>
                <c:pt idx="0">
                  <c:v>0.85</c:v>
                </c:pt>
              </c:numCache>
            </c:numRef>
          </c:yVal>
          <c:smooth val="1"/>
          <c:extLst>
            <c:ext xmlns:c16="http://schemas.microsoft.com/office/drawing/2014/chart" uri="{C3380CC4-5D6E-409C-BE32-E72D297353CC}">
              <c16:uniqueId val="{0000000B-3CFD-1940-91CC-B7EDAE612256}"/>
            </c:ext>
          </c:extLst>
        </c:ser>
        <c:ser>
          <c:idx val="10"/>
          <c:order val="11"/>
          <c:tx>
            <c:strRef>
              <c:f>'5. Grain Size Distribution'!$Q$71</c:f>
              <c:strCache>
                <c:ptCount val="1"/>
                <c:pt idx="0">
                  <c:v>-425/+150 L85</c:v>
                </c:pt>
              </c:strCache>
            </c:strRef>
          </c:tx>
          <c:spPr>
            <a:ln w="22225" cap="rnd">
              <a:noFill/>
              <a:round/>
            </a:ln>
            <a:effectLst/>
          </c:spPr>
          <c:marker>
            <c:symbol val="star"/>
            <c:size val="10"/>
            <c:spPr>
              <a:noFill/>
              <a:ln w="9525">
                <a:solidFill>
                  <a:schemeClr val="accent5"/>
                </a:solidFill>
                <a:round/>
              </a:ln>
              <a:effectLst/>
            </c:spPr>
          </c:marker>
          <c:xVal>
            <c:numRef>
              <c:f>'5. Grain Size Distribution'!$R$71</c:f>
              <c:numCache>
                <c:formatCode>General</c:formatCode>
                <c:ptCount val="1"/>
                <c:pt idx="0">
                  <c:v>190</c:v>
                </c:pt>
              </c:numCache>
            </c:numRef>
          </c:xVal>
          <c:yVal>
            <c:numRef>
              <c:f>'5. Grain Size Distribution'!$S$71</c:f>
              <c:numCache>
                <c:formatCode>0%</c:formatCode>
                <c:ptCount val="1"/>
                <c:pt idx="0">
                  <c:v>0.85</c:v>
                </c:pt>
              </c:numCache>
            </c:numRef>
          </c:yVal>
          <c:smooth val="1"/>
          <c:extLst>
            <c:ext xmlns:c16="http://schemas.microsoft.com/office/drawing/2014/chart" uri="{C3380CC4-5D6E-409C-BE32-E72D297353CC}">
              <c16:uniqueId val="{0000000C-3CFD-1940-91CC-B7EDAE612256}"/>
            </c:ext>
          </c:extLst>
        </c:ser>
        <c:ser>
          <c:idx val="11"/>
          <c:order val="12"/>
          <c:tx>
            <c:strRef>
              <c:f>'5. Grain Size Distribution'!$Q$72</c:f>
              <c:strCache>
                <c:ptCount val="1"/>
                <c:pt idx="0">
                  <c:v>-150/+0 L85</c:v>
                </c:pt>
              </c:strCache>
            </c:strRef>
          </c:tx>
          <c:spPr>
            <a:ln w="22225" cap="rnd">
              <a:noFill/>
              <a:round/>
            </a:ln>
            <a:effectLst/>
          </c:spPr>
          <c:marker>
            <c:symbol val="circle"/>
            <c:size val="10"/>
            <c:spPr>
              <a:solidFill>
                <a:schemeClr val="accent6"/>
              </a:solidFill>
              <a:ln w="9525">
                <a:noFill/>
                <a:round/>
              </a:ln>
              <a:effectLst/>
            </c:spPr>
          </c:marker>
          <c:xVal>
            <c:numRef>
              <c:f>'5. Grain Size Distribution'!$R$72</c:f>
              <c:numCache>
                <c:formatCode>General</c:formatCode>
                <c:ptCount val="1"/>
                <c:pt idx="0">
                  <c:v>90</c:v>
                </c:pt>
              </c:numCache>
            </c:numRef>
          </c:xVal>
          <c:yVal>
            <c:numRef>
              <c:f>'5. Grain Size Distribution'!$S$72</c:f>
              <c:numCache>
                <c:formatCode>0%</c:formatCode>
                <c:ptCount val="1"/>
                <c:pt idx="0">
                  <c:v>0.85</c:v>
                </c:pt>
              </c:numCache>
            </c:numRef>
          </c:yVal>
          <c:smooth val="1"/>
          <c:extLst>
            <c:ext xmlns:c16="http://schemas.microsoft.com/office/drawing/2014/chart" uri="{C3380CC4-5D6E-409C-BE32-E72D297353CC}">
              <c16:uniqueId val="{0000000D-3CFD-1940-91CC-B7EDAE612256}"/>
            </c:ext>
          </c:extLst>
        </c:ser>
        <c:ser>
          <c:idx val="13"/>
          <c:order val="13"/>
          <c:tx>
            <c:strRef>
              <c:f>'5. Grain Size Distribution'!$Q$73</c:f>
              <c:strCache>
                <c:ptCount val="1"/>
                <c:pt idx="0">
                  <c:v>SCT L85</c:v>
                </c:pt>
              </c:strCache>
            </c:strRef>
          </c:tx>
          <c:spPr>
            <a:ln w="22225" cap="rnd">
              <a:noFill/>
              <a:round/>
            </a:ln>
            <a:effectLst/>
          </c:spPr>
          <c:marker>
            <c:symbol val="plus"/>
            <c:size val="10"/>
            <c:spPr>
              <a:noFill/>
              <a:ln w="9525">
                <a:solidFill>
                  <a:schemeClr val="accent2"/>
                </a:solidFill>
                <a:round/>
              </a:ln>
              <a:effectLst/>
            </c:spPr>
          </c:marker>
          <c:xVal>
            <c:numRef>
              <c:f>'5. Grain Size Distribution'!$R$73</c:f>
              <c:numCache>
                <c:formatCode>General</c:formatCode>
                <c:ptCount val="1"/>
                <c:pt idx="0">
                  <c:v>48</c:v>
                </c:pt>
              </c:numCache>
            </c:numRef>
          </c:xVal>
          <c:yVal>
            <c:numRef>
              <c:f>'5. Grain Size Distribution'!$S$73</c:f>
              <c:numCache>
                <c:formatCode>0%</c:formatCode>
                <c:ptCount val="1"/>
                <c:pt idx="0">
                  <c:v>0.85</c:v>
                </c:pt>
              </c:numCache>
            </c:numRef>
          </c:yVal>
          <c:smooth val="1"/>
          <c:extLst>
            <c:ext xmlns:c16="http://schemas.microsoft.com/office/drawing/2014/chart" uri="{C3380CC4-5D6E-409C-BE32-E72D297353CC}">
              <c16:uniqueId val="{00000001-2FDA-564C-988A-6E567448E6D7}"/>
            </c:ext>
          </c:extLst>
        </c:ser>
        <c:dLbls>
          <c:showLegendKey val="0"/>
          <c:showVal val="0"/>
          <c:showCatName val="0"/>
          <c:showSerName val="0"/>
          <c:showPercent val="0"/>
          <c:showBubbleSize val="0"/>
        </c:dLbls>
        <c:axId val="269554336"/>
        <c:axId val="269554728"/>
      </c:scatterChart>
      <c:valAx>
        <c:axId val="269554336"/>
        <c:scaling>
          <c:logBase val="10"/>
          <c:orientation val="minMax"/>
          <c:min val="0.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r>
                  <a:rPr lang="en-GB"/>
                  <a:t>Aperture size [µm]</a:t>
                </a:r>
              </a:p>
            </c:rich>
          </c:tx>
          <c:overlay val="0"/>
          <c:spPr>
            <a:noFill/>
            <a:ln>
              <a:noFill/>
            </a:ln>
            <a:effectLst/>
          </c:spPr>
          <c:txPr>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69554728"/>
        <c:crosses val="autoZero"/>
        <c:crossBetween val="midCat"/>
      </c:valAx>
      <c:valAx>
        <c:axId val="269554728"/>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r>
                  <a:rPr lang="en-GB"/>
                  <a:t>Cumulative % passing</a:t>
                </a:r>
              </a:p>
            </c:rich>
          </c:tx>
          <c:overlay val="0"/>
          <c:spPr>
            <a:noFill/>
            <a:ln>
              <a:noFill/>
            </a:ln>
            <a:effectLst/>
          </c:spPr>
          <c:txPr>
            <a:bodyPr rot="-54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low"/>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69554336"/>
        <c:crosses val="autoZero"/>
        <c:crossBetween val="midCat"/>
      </c:valAx>
      <c:spPr>
        <a:noFill/>
        <a:ln>
          <a:noFill/>
        </a:ln>
        <a:effectLst/>
      </c:spPr>
    </c:plotArea>
    <c:legend>
      <c:legendPos val="t"/>
      <c:layout>
        <c:manualLayout>
          <c:xMode val="edge"/>
          <c:yMode val="edge"/>
          <c:x val="0.80435098683655792"/>
          <c:y val="9.2043024388420422E-2"/>
          <c:w val="0.19449132669501934"/>
          <c:h val="0.85966857832400245"/>
        </c:manualLayout>
      </c:layout>
      <c:overlay val="0"/>
      <c:spPr>
        <a:noFill/>
        <a:ln>
          <a:noFill/>
        </a:ln>
        <a:effectLst/>
      </c:spPr>
      <c:txPr>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lt1"/>
    </a:solidFill>
    <a:ln w="9525" cap="flat" cmpd="sng" algn="ctr">
      <a:noFill/>
      <a:round/>
    </a:ln>
    <a:effectLst/>
  </c:spPr>
  <c:txPr>
    <a:bodyPr/>
    <a:lstStyle/>
    <a:p>
      <a:pPr>
        <a:defRPr sz="1200" cap="none" baseline="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cap="none" spc="120" normalizeH="0" baseline="0">
                <a:solidFill>
                  <a:sysClr val="windowText" lastClr="000000"/>
                </a:solidFill>
                <a:latin typeface="Times New Roman" panose="02020603050405020304" pitchFamily="18" charset="0"/>
                <a:ea typeface="+mn-ea"/>
                <a:cs typeface="Times New Roman" panose="02020603050405020304" pitchFamily="18" charset="0"/>
              </a:defRPr>
            </a:pPr>
            <a:r>
              <a:rPr lang="en-GB"/>
              <a:t>Sample</a:t>
            </a:r>
            <a:r>
              <a:rPr lang="en-GB" baseline="0"/>
              <a:t> C - Fe-sulfide Grain Size Distribution </a:t>
            </a:r>
            <a:endParaRPr lang="en-GB"/>
          </a:p>
        </c:rich>
      </c:tx>
      <c:overlay val="0"/>
      <c:spPr>
        <a:noFill/>
        <a:ln>
          <a:noFill/>
        </a:ln>
        <a:effectLst/>
      </c:spPr>
      <c:txPr>
        <a:bodyPr rot="0" spcFirstLastPara="1" vertOverflow="ellipsis" vert="horz" wrap="square" anchor="ctr" anchorCtr="1"/>
        <a:lstStyle/>
        <a:p>
          <a:pPr>
            <a:defRPr sz="1440" b="1" i="0" u="none" strike="noStrike" kern="1200" cap="none" spc="120" normalizeH="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7.3020875521845774E-2"/>
          <c:y val="0.12470003328823137"/>
          <c:w val="0.72996815445497998"/>
          <c:h val="0.74873181775272968"/>
        </c:manualLayout>
      </c:layout>
      <c:scatterChart>
        <c:scatterStyle val="smoothMarker"/>
        <c:varyColors val="0"/>
        <c:ser>
          <c:idx val="0"/>
          <c:order val="0"/>
          <c:tx>
            <c:strRef>
              <c:f>'5. Grain Size Distribution'!$B$3</c:f>
              <c:strCache>
                <c:ptCount val="1"/>
                <c:pt idx="0">
                  <c:v>HCT</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xVal>
            <c:numRef>
              <c:f>'5. Grain Size Distribution'!$A$81:$A$113</c:f>
              <c:numCache>
                <c:formatCode>0.00</c:formatCode>
                <c:ptCount val="33"/>
                <c:pt idx="0" formatCode="General">
                  <c:v>0.5</c:v>
                </c:pt>
                <c:pt idx="1">
                  <c:v>2</c:v>
                </c:pt>
                <c:pt idx="2" formatCode="General">
                  <c:v>4</c:v>
                </c:pt>
                <c:pt idx="3">
                  <c:v>6</c:v>
                </c:pt>
                <c:pt idx="4" formatCode="General">
                  <c:v>8.5</c:v>
                </c:pt>
                <c:pt idx="5" formatCode="General">
                  <c:v>12.5</c:v>
                </c:pt>
                <c:pt idx="6" formatCode="General">
                  <c:v>17.5</c:v>
                </c:pt>
                <c:pt idx="7" formatCode="General">
                  <c:v>21</c:v>
                </c:pt>
                <c:pt idx="8" formatCode="General">
                  <c:v>22.5</c:v>
                </c:pt>
                <c:pt idx="9" formatCode="General">
                  <c:v>24</c:v>
                </c:pt>
                <c:pt idx="10" formatCode="General">
                  <c:v>27.5</c:v>
                </c:pt>
                <c:pt idx="11" formatCode="General">
                  <c:v>34</c:v>
                </c:pt>
                <c:pt idx="12" formatCode="General">
                  <c:v>41.5</c:v>
                </c:pt>
                <c:pt idx="13" formatCode="General">
                  <c:v>49</c:v>
                </c:pt>
                <c:pt idx="14" formatCode="General">
                  <c:v>59</c:v>
                </c:pt>
                <c:pt idx="15" formatCode="General">
                  <c:v>70</c:v>
                </c:pt>
                <c:pt idx="16" formatCode="General">
                  <c:v>77.5</c:v>
                </c:pt>
                <c:pt idx="17" formatCode="General">
                  <c:v>85</c:v>
                </c:pt>
                <c:pt idx="18" formatCode="General">
                  <c:v>92.5</c:v>
                </c:pt>
                <c:pt idx="19" formatCode="General">
                  <c:v>97.5</c:v>
                </c:pt>
                <c:pt idx="20" formatCode="General">
                  <c:v>102.5</c:v>
                </c:pt>
                <c:pt idx="21" formatCode="General">
                  <c:v>107.5</c:v>
                </c:pt>
                <c:pt idx="22" formatCode="General">
                  <c:v>112.5</c:v>
                </c:pt>
                <c:pt idx="23" formatCode="General">
                  <c:v>117.5</c:v>
                </c:pt>
                <c:pt idx="24" formatCode="General">
                  <c:v>122.5</c:v>
                </c:pt>
                <c:pt idx="25" formatCode="General">
                  <c:v>137.5</c:v>
                </c:pt>
                <c:pt idx="26" formatCode="General">
                  <c:v>225</c:v>
                </c:pt>
                <c:pt idx="27" formatCode="General">
                  <c:v>350</c:v>
                </c:pt>
                <c:pt idx="28" formatCode="General">
                  <c:v>450</c:v>
                </c:pt>
                <c:pt idx="29" formatCode="General">
                  <c:v>750</c:v>
                </c:pt>
                <c:pt idx="30" formatCode="General">
                  <c:v>1500</c:v>
                </c:pt>
                <c:pt idx="31" formatCode="General">
                  <c:v>3000</c:v>
                </c:pt>
                <c:pt idx="32" formatCode="0">
                  <c:v>5350</c:v>
                </c:pt>
              </c:numCache>
            </c:numRef>
          </c:xVal>
          <c:yVal>
            <c:numRef>
              <c:f>'5. Grain Size Distribution'!$B$81:$B$113</c:f>
              <c:numCache>
                <c:formatCode>0%</c:formatCode>
                <c:ptCount val="33"/>
                <c:pt idx="0">
                  <c:v>0</c:v>
                </c:pt>
                <c:pt idx="1">
                  <c:v>0</c:v>
                </c:pt>
                <c:pt idx="2">
                  <c:v>0</c:v>
                </c:pt>
                <c:pt idx="3">
                  <c:v>7.6372287359419812E-3</c:v>
                </c:pt>
                <c:pt idx="4">
                  <c:v>1.5439942257336801E-2</c:v>
                </c:pt>
                <c:pt idx="5">
                  <c:v>3.8133766976518602E-2</c:v>
                </c:pt>
                <c:pt idx="6">
                  <c:v>5.5246200393075075E-2</c:v>
                </c:pt>
                <c:pt idx="7">
                  <c:v>0.10336624863769239</c:v>
                </c:pt>
                <c:pt idx="8">
                  <c:v>0.10630070807910719</c:v>
                </c:pt>
                <c:pt idx="9">
                  <c:v>0.11229415029119311</c:v>
                </c:pt>
                <c:pt idx="10">
                  <c:v>0.13456343305947144</c:v>
                </c:pt>
                <c:pt idx="11">
                  <c:v>0.17687687250874451</c:v>
                </c:pt>
                <c:pt idx="12">
                  <c:v>0.22745518337625484</c:v>
                </c:pt>
                <c:pt idx="13">
                  <c:v>0.26147909525192076</c:v>
                </c:pt>
                <c:pt idx="14">
                  <c:v>0.31340026144701638</c:v>
                </c:pt>
                <c:pt idx="15">
                  <c:v>0.35446466181753156</c:v>
                </c:pt>
                <c:pt idx="16">
                  <c:v>0.37052523008918825</c:v>
                </c:pt>
                <c:pt idx="17">
                  <c:v>0.40118605681302155</c:v>
                </c:pt>
                <c:pt idx="18">
                  <c:v>0.41302470902401206</c:v>
                </c:pt>
                <c:pt idx="19">
                  <c:v>0.42322256148538767</c:v>
                </c:pt>
                <c:pt idx="20">
                  <c:v>0.43278125328516948</c:v>
                </c:pt>
                <c:pt idx="21">
                  <c:v>0.44212756248231755</c:v>
                </c:pt>
                <c:pt idx="22">
                  <c:v>0.45053143408973734</c:v>
                </c:pt>
                <c:pt idx="23">
                  <c:v>0.45911811154158871</c:v>
                </c:pt>
                <c:pt idx="24">
                  <c:v>0.46420537908215104</c:v>
                </c:pt>
                <c:pt idx="25">
                  <c:v>0.50572855227118418</c:v>
                </c:pt>
                <c:pt idx="26">
                  <c:v>0.64846491432965259</c:v>
                </c:pt>
                <c:pt idx="27">
                  <c:v>0.75974267254050731</c:v>
                </c:pt>
                <c:pt idx="28">
                  <c:v>0.80639148811508954</c:v>
                </c:pt>
                <c:pt idx="29">
                  <c:v>0.93381545297540181</c:v>
                </c:pt>
                <c:pt idx="30">
                  <c:v>1</c:v>
                </c:pt>
                <c:pt idx="31">
                  <c:v>1</c:v>
                </c:pt>
                <c:pt idx="32">
                  <c:v>1</c:v>
                </c:pt>
              </c:numCache>
            </c:numRef>
          </c:yVal>
          <c:smooth val="1"/>
          <c:extLst>
            <c:ext xmlns:c16="http://schemas.microsoft.com/office/drawing/2014/chart" uri="{C3380CC4-5D6E-409C-BE32-E72D297353CC}">
              <c16:uniqueId val="{00000000-6060-454D-9F7D-7E4B93FCA383}"/>
            </c:ext>
          </c:extLst>
        </c:ser>
        <c:ser>
          <c:idx val="1"/>
          <c:order val="1"/>
          <c:tx>
            <c:strRef>
              <c:f>'5. Grain Size Distribution'!$D$3</c:f>
              <c:strCache>
                <c:ptCount val="1"/>
                <c:pt idx="0">
                  <c:v>-6700/+2000</c:v>
                </c:pt>
              </c:strCache>
            </c:strRef>
          </c:tx>
          <c:spPr>
            <a:ln w="22225" cap="rnd">
              <a:solidFill>
                <a:schemeClr val="accent2"/>
              </a:solidFill>
              <a:round/>
            </a:ln>
            <a:effectLst/>
          </c:spPr>
          <c:marker>
            <c:symbol val="diamond"/>
            <c:size val="6"/>
            <c:spPr>
              <a:solidFill>
                <a:schemeClr val="accent2"/>
              </a:solidFill>
              <a:ln w="9525">
                <a:solidFill>
                  <a:schemeClr val="accent2"/>
                </a:solidFill>
                <a:round/>
              </a:ln>
              <a:effectLst/>
            </c:spPr>
          </c:marker>
          <c:xVal>
            <c:numRef>
              <c:f>'5. Grain Size Distribution'!$C$81:$C$113</c:f>
              <c:numCache>
                <c:formatCode>General</c:formatCode>
                <c:ptCount val="33"/>
                <c:pt idx="0">
                  <c:v>0.5</c:v>
                </c:pt>
                <c:pt idx="1">
                  <c:v>2</c:v>
                </c:pt>
                <c:pt idx="2">
                  <c:v>4</c:v>
                </c:pt>
                <c:pt idx="3">
                  <c:v>6</c:v>
                </c:pt>
                <c:pt idx="4">
                  <c:v>8.5</c:v>
                </c:pt>
                <c:pt idx="5">
                  <c:v>12.5</c:v>
                </c:pt>
                <c:pt idx="6">
                  <c:v>17.5</c:v>
                </c:pt>
                <c:pt idx="7">
                  <c:v>21</c:v>
                </c:pt>
                <c:pt idx="8">
                  <c:v>22.5</c:v>
                </c:pt>
                <c:pt idx="9">
                  <c:v>24</c:v>
                </c:pt>
                <c:pt idx="10">
                  <c:v>27.5</c:v>
                </c:pt>
                <c:pt idx="11">
                  <c:v>34</c:v>
                </c:pt>
                <c:pt idx="12">
                  <c:v>41.5</c:v>
                </c:pt>
                <c:pt idx="13">
                  <c:v>49</c:v>
                </c:pt>
                <c:pt idx="14">
                  <c:v>59</c:v>
                </c:pt>
                <c:pt idx="15">
                  <c:v>70</c:v>
                </c:pt>
                <c:pt idx="16">
                  <c:v>77.5</c:v>
                </c:pt>
                <c:pt idx="17">
                  <c:v>85</c:v>
                </c:pt>
                <c:pt idx="18">
                  <c:v>92.5</c:v>
                </c:pt>
                <c:pt idx="19">
                  <c:v>97.5</c:v>
                </c:pt>
                <c:pt idx="20">
                  <c:v>102.5</c:v>
                </c:pt>
                <c:pt idx="21">
                  <c:v>107.5</c:v>
                </c:pt>
                <c:pt idx="22">
                  <c:v>112.5</c:v>
                </c:pt>
                <c:pt idx="23">
                  <c:v>117.5</c:v>
                </c:pt>
                <c:pt idx="24">
                  <c:v>122.5</c:v>
                </c:pt>
                <c:pt idx="25">
                  <c:v>137.5</c:v>
                </c:pt>
                <c:pt idx="26">
                  <c:v>225</c:v>
                </c:pt>
                <c:pt idx="27">
                  <c:v>350</c:v>
                </c:pt>
                <c:pt idx="28">
                  <c:v>450</c:v>
                </c:pt>
                <c:pt idx="29">
                  <c:v>750</c:v>
                </c:pt>
                <c:pt idx="30">
                  <c:v>1500</c:v>
                </c:pt>
                <c:pt idx="31">
                  <c:v>3000</c:v>
                </c:pt>
                <c:pt idx="32">
                  <c:v>5350</c:v>
                </c:pt>
              </c:numCache>
            </c:numRef>
          </c:xVal>
          <c:yVal>
            <c:numRef>
              <c:f>'5. Grain Size Distribution'!$D$81:$D$113</c:f>
              <c:numCache>
                <c:formatCode>0%</c:formatCode>
                <c:ptCount val="33"/>
                <c:pt idx="0">
                  <c:v>0</c:v>
                </c:pt>
                <c:pt idx="1">
                  <c:v>0</c:v>
                </c:pt>
                <c:pt idx="2">
                  <c:v>0</c:v>
                </c:pt>
                <c:pt idx="3">
                  <c:v>0</c:v>
                </c:pt>
                <c:pt idx="4">
                  <c:v>0</c:v>
                </c:pt>
                <c:pt idx="5">
                  <c:v>0</c:v>
                </c:pt>
                <c:pt idx="6">
                  <c:v>0</c:v>
                </c:pt>
                <c:pt idx="7">
                  <c:v>0</c:v>
                </c:pt>
                <c:pt idx="8">
                  <c:v>6.0805294745938529E-2</c:v>
                </c:pt>
                <c:pt idx="9">
                  <c:v>6.0812011157177437E-2</c:v>
                </c:pt>
                <c:pt idx="10">
                  <c:v>6.9852005977734916E-2</c:v>
                </c:pt>
                <c:pt idx="11">
                  <c:v>0.10269153853330071</c:v>
                </c:pt>
                <c:pt idx="12">
                  <c:v>0.15246370631266692</c:v>
                </c:pt>
                <c:pt idx="13">
                  <c:v>0.18026007741036743</c:v>
                </c:pt>
                <c:pt idx="14">
                  <c:v>0.22916430694184206</c:v>
                </c:pt>
                <c:pt idx="15">
                  <c:v>0.26848407901362892</c:v>
                </c:pt>
                <c:pt idx="16">
                  <c:v>0.28358311395790831</c:v>
                </c:pt>
                <c:pt idx="17">
                  <c:v>0.30991638435914531</c:v>
                </c:pt>
                <c:pt idx="18">
                  <c:v>0.32115277408881093</c:v>
                </c:pt>
                <c:pt idx="19">
                  <c:v>0.33032653973745235</c:v>
                </c:pt>
                <c:pt idx="20">
                  <c:v>0.33860381802440337</c:v>
                </c:pt>
                <c:pt idx="21">
                  <c:v>0.34928476018081528</c:v>
                </c:pt>
                <c:pt idx="22">
                  <c:v>0.35598225413446011</c:v>
                </c:pt>
                <c:pt idx="23">
                  <c:v>0.36511872914724336</c:v>
                </c:pt>
                <c:pt idx="24">
                  <c:v>0.36849529319996738</c:v>
                </c:pt>
                <c:pt idx="25">
                  <c:v>0.40636256348026306</c:v>
                </c:pt>
                <c:pt idx="26">
                  <c:v>0.56246128542409179</c:v>
                </c:pt>
                <c:pt idx="27">
                  <c:v>0.71438567519220664</c:v>
                </c:pt>
                <c:pt idx="28">
                  <c:v>0.77219530244438095</c:v>
                </c:pt>
                <c:pt idx="29">
                  <c:v>0.90170610412900543</c:v>
                </c:pt>
                <c:pt idx="30">
                  <c:v>1</c:v>
                </c:pt>
                <c:pt idx="31">
                  <c:v>1</c:v>
                </c:pt>
                <c:pt idx="32">
                  <c:v>1</c:v>
                </c:pt>
              </c:numCache>
            </c:numRef>
          </c:yVal>
          <c:smooth val="1"/>
          <c:extLst>
            <c:ext xmlns:c16="http://schemas.microsoft.com/office/drawing/2014/chart" uri="{C3380CC4-5D6E-409C-BE32-E72D297353CC}">
              <c16:uniqueId val="{00000001-6060-454D-9F7D-7E4B93FCA383}"/>
            </c:ext>
          </c:extLst>
        </c:ser>
        <c:ser>
          <c:idx val="2"/>
          <c:order val="2"/>
          <c:tx>
            <c:strRef>
              <c:f>'5. Grain Size Distribution'!$E$3</c:f>
              <c:strCache>
                <c:ptCount val="1"/>
                <c:pt idx="0">
                  <c:v>-2000/+1000</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xVal>
            <c:numRef>
              <c:f>'5. Grain Size Distribution'!$C$81:$C$113</c:f>
              <c:numCache>
                <c:formatCode>General</c:formatCode>
                <c:ptCount val="33"/>
                <c:pt idx="0">
                  <c:v>0.5</c:v>
                </c:pt>
                <c:pt idx="1">
                  <c:v>2</c:v>
                </c:pt>
                <c:pt idx="2">
                  <c:v>4</c:v>
                </c:pt>
                <c:pt idx="3">
                  <c:v>6</c:v>
                </c:pt>
                <c:pt idx="4">
                  <c:v>8.5</c:v>
                </c:pt>
                <c:pt idx="5">
                  <c:v>12.5</c:v>
                </c:pt>
                <c:pt idx="6">
                  <c:v>17.5</c:v>
                </c:pt>
                <c:pt idx="7">
                  <c:v>21</c:v>
                </c:pt>
                <c:pt idx="8">
                  <c:v>22.5</c:v>
                </c:pt>
                <c:pt idx="9">
                  <c:v>24</c:v>
                </c:pt>
                <c:pt idx="10">
                  <c:v>27.5</c:v>
                </c:pt>
                <c:pt idx="11">
                  <c:v>34</c:v>
                </c:pt>
                <c:pt idx="12">
                  <c:v>41.5</c:v>
                </c:pt>
                <c:pt idx="13">
                  <c:v>49</c:v>
                </c:pt>
                <c:pt idx="14">
                  <c:v>59</c:v>
                </c:pt>
                <c:pt idx="15">
                  <c:v>70</c:v>
                </c:pt>
                <c:pt idx="16">
                  <c:v>77.5</c:v>
                </c:pt>
                <c:pt idx="17">
                  <c:v>85</c:v>
                </c:pt>
                <c:pt idx="18">
                  <c:v>92.5</c:v>
                </c:pt>
                <c:pt idx="19">
                  <c:v>97.5</c:v>
                </c:pt>
                <c:pt idx="20">
                  <c:v>102.5</c:v>
                </c:pt>
                <c:pt idx="21">
                  <c:v>107.5</c:v>
                </c:pt>
                <c:pt idx="22">
                  <c:v>112.5</c:v>
                </c:pt>
                <c:pt idx="23">
                  <c:v>117.5</c:v>
                </c:pt>
                <c:pt idx="24">
                  <c:v>122.5</c:v>
                </c:pt>
                <c:pt idx="25">
                  <c:v>137.5</c:v>
                </c:pt>
                <c:pt idx="26">
                  <c:v>225</c:v>
                </c:pt>
                <c:pt idx="27">
                  <c:v>350</c:v>
                </c:pt>
                <c:pt idx="28">
                  <c:v>450</c:v>
                </c:pt>
                <c:pt idx="29">
                  <c:v>750</c:v>
                </c:pt>
                <c:pt idx="30">
                  <c:v>1500</c:v>
                </c:pt>
                <c:pt idx="31">
                  <c:v>3000</c:v>
                </c:pt>
                <c:pt idx="32">
                  <c:v>5350</c:v>
                </c:pt>
              </c:numCache>
            </c:numRef>
          </c:xVal>
          <c:yVal>
            <c:numRef>
              <c:f>'5. Grain Size Distribution'!$E$81:$E$113</c:f>
              <c:numCache>
                <c:formatCode>0%</c:formatCode>
                <c:ptCount val="33"/>
                <c:pt idx="0">
                  <c:v>0</c:v>
                </c:pt>
                <c:pt idx="1">
                  <c:v>0</c:v>
                </c:pt>
                <c:pt idx="2">
                  <c:v>0</c:v>
                </c:pt>
                <c:pt idx="3">
                  <c:v>0</c:v>
                </c:pt>
                <c:pt idx="4">
                  <c:v>0</c:v>
                </c:pt>
                <c:pt idx="5">
                  <c:v>0</c:v>
                </c:pt>
                <c:pt idx="6">
                  <c:v>0</c:v>
                </c:pt>
                <c:pt idx="7">
                  <c:v>0</c:v>
                </c:pt>
                <c:pt idx="8">
                  <c:v>4.2722109685312565E-2</c:v>
                </c:pt>
                <c:pt idx="9">
                  <c:v>4.2725157276159338E-2</c:v>
                </c:pt>
                <c:pt idx="10">
                  <c:v>4.9638495494730324E-2</c:v>
                </c:pt>
                <c:pt idx="11">
                  <c:v>7.4118514958415704E-2</c:v>
                </c:pt>
                <c:pt idx="12">
                  <c:v>0.11119844493202312</c:v>
                </c:pt>
                <c:pt idx="13">
                  <c:v>0.1322844095757128</c:v>
                </c:pt>
                <c:pt idx="14">
                  <c:v>0.16777804485039516</c:v>
                </c:pt>
                <c:pt idx="15">
                  <c:v>0.19777257869523016</c:v>
                </c:pt>
                <c:pt idx="16">
                  <c:v>0.2096757669036797</c:v>
                </c:pt>
                <c:pt idx="17">
                  <c:v>0.22941287323145237</c:v>
                </c:pt>
                <c:pt idx="18">
                  <c:v>0.2381057111917454</c:v>
                </c:pt>
                <c:pt idx="19">
                  <c:v>0.24607418886663385</c:v>
                </c:pt>
                <c:pt idx="20">
                  <c:v>0.25246702685419403</c:v>
                </c:pt>
                <c:pt idx="21">
                  <c:v>0.25815866525622017</c:v>
                </c:pt>
                <c:pt idx="22">
                  <c:v>0.26599651915919653</c:v>
                </c:pt>
                <c:pt idx="23">
                  <c:v>0.27466292430419226</c:v>
                </c:pt>
                <c:pt idx="24">
                  <c:v>0.28283169660543001</c:v>
                </c:pt>
                <c:pt idx="25">
                  <c:v>0.3249191837427961</c:v>
                </c:pt>
                <c:pt idx="26">
                  <c:v>0.4803829639630729</c:v>
                </c:pt>
                <c:pt idx="27">
                  <c:v>0.58196980594107228</c:v>
                </c:pt>
                <c:pt idx="28">
                  <c:v>0.64319532328072371</c:v>
                </c:pt>
                <c:pt idx="29">
                  <c:v>0.93149417829415715</c:v>
                </c:pt>
                <c:pt idx="30">
                  <c:v>1</c:v>
                </c:pt>
                <c:pt idx="31">
                  <c:v>1</c:v>
                </c:pt>
                <c:pt idx="32">
                  <c:v>1</c:v>
                </c:pt>
              </c:numCache>
            </c:numRef>
          </c:yVal>
          <c:smooth val="1"/>
          <c:extLst>
            <c:ext xmlns:c16="http://schemas.microsoft.com/office/drawing/2014/chart" uri="{C3380CC4-5D6E-409C-BE32-E72D297353CC}">
              <c16:uniqueId val="{00000002-6060-454D-9F7D-7E4B93FCA383}"/>
            </c:ext>
          </c:extLst>
        </c:ser>
        <c:ser>
          <c:idx val="3"/>
          <c:order val="3"/>
          <c:tx>
            <c:strRef>
              <c:f>'5. Grain Size Distribution'!$F$3</c:f>
              <c:strCache>
                <c:ptCount val="1"/>
                <c:pt idx="0">
                  <c:v>-1000/+425</c:v>
                </c:pt>
              </c:strCache>
            </c:strRef>
          </c:tx>
          <c:spPr>
            <a:ln w="22225" cap="rnd">
              <a:solidFill>
                <a:schemeClr val="accent4"/>
              </a:solidFill>
              <a:round/>
            </a:ln>
            <a:effectLst/>
          </c:spPr>
          <c:marker>
            <c:symbol val="square"/>
            <c:size val="6"/>
            <c:spPr>
              <a:solidFill>
                <a:schemeClr val="accent4"/>
              </a:solidFill>
              <a:ln w="9525">
                <a:solidFill>
                  <a:schemeClr val="accent4"/>
                </a:solidFill>
                <a:round/>
              </a:ln>
              <a:effectLst/>
            </c:spPr>
          </c:marker>
          <c:xVal>
            <c:numRef>
              <c:f>'5. Grain Size Distribution'!$C$81:$C$113</c:f>
              <c:numCache>
                <c:formatCode>General</c:formatCode>
                <c:ptCount val="33"/>
                <c:pt idx="0">
                  <c:v>0.5</c:v>
                </c:pt>
                <c:pt idx="1">
                  <c:v>2</c:v>
                </c:pt>
                <c:pt idx="2">
                  <c:v>4</c:v>
                </c:pt>
                <c:pt idx="3">
                  <c:v>6</c:v>
                </c:pt>
                <c:pt idx="4">
                  <c:v>8.5</c:v>
                </c:pt>
                <c:pt idx="5">
                  <c:v>12.5</c:v>
                </c:pt>
                <c:pt idx="6">
                  <c:v>17.5</c:v>
                </c:pt>
                <c:pt idx="7">
                  <c:v>21</c:v>
                </c:pt>
                <c:pt idx="8">
                  <c:v>22.5</c:v>
                </c:pt>
                <c:pt idx="9">
                  <c:v>24</c:v>
                </c:pt>
                <c:pt idx="10">
                  <c:v>27.5</c:v>
                </c:pt>
                <c:pt idx="11">
                  <c:v>34</c:v>
                </c:pt>
                <c:pt idx="12">
                  <c:v>41.5</c:v>
                </c:pt>
                <c:pt idx="13">
                  <c:v>49</c:v>
                </c:pt>
                <c:pt idx="14">
                  <c:v>59</c:v>
                </c:pt>
                <c:pt idx="15">
                  <c:v>70</c:v>
                </c:pt>
                <c:pt idx="16">
                  <c:v>77.5</c:v>
                </c:pt>
                <c:pt idx="17">
                  <c:v>85</c:v>
                </c:pt>
                <c:pt idx="18">
                  <c:v>92.5</c:v>
                </c:pt>
                <c:pt idx="19">
                  <c:v>97.5</c:v>
                </c:pt>
                <c:pt idx="20">
                  <c:v>102.5</c:v>
                </c:pt>
                <c:pt idx="21">
                  <c:v>107.5</c:v>
                </c:pt>
                <c:pt idx="22">
                  <c:v>112.5</c:v>
                </c:pt>
                <c:pt idx="23">
                  <c:v>117.5</c:v>
                </c:pt>
                <c:pt idx="24">
                  <c:v>122.5</c:v>
                </c:pt>
                <c:pt idx="25">
                  <c:v>137.5</c:v>
                </c:pt>
                <c:pt idx="26">
                  <c:v>225</c:v>
                </c:pt>
                <c:pt idx="27">
                  <c:v>350</c:v>
                </c:pt>
                <c:pt idx="28">
                  <c:v>450</c:v>
                </c:pt>
                <c:pt idx="29">
                  <c:v>750</c:v>
                </c:pt>
                <c:pt idx="30">
                  <c:v>1500</c:v>
                </c:pt>
                <c:pt idx="31">
                  <c:v>3000</c:v>
                </c:pt>
                <c:pt idx="32">
                  <c:v>5350</c:v>
                </c:pt>
              </c:numCache>
            </c:numRef>
          </c:xVal>
          <c:yVal>
            <c:numRef>
              <c:f>'5. Grain Size Distribution'!$F$81:$F$113</c:f>
              <c:numCache>
                <c:formatCode>0%</c:formatCode>
                <c:ptCount val="33"/>
                <c:pt idx="0">
                  <c:v>0</c:v>
                </c:pt>
                <c:pt idx="1">
                  <c:v>0</c:v>
                </c:pt>
                <c:pt idx="2">
                  <c:v>0</c:v>
                </c:pt>
                <c:pt idx="3">
                  <c:v>0</c:v>
                </c:pt>
                <c:pt idx="4">
                  <c:v>0</c:v>
                </c:pt>
                <c:pt idx="5">
                  <c:v>3.9717167209300359E-2</c:v>
                </c:pt>
                <c:pt idx="6">
                  <c:v>3.9758406538158611E-2</c:v>
                </c:pt>
                <c:pt idx="7">
                  <c:v>4.618068114127493E-2</c:v>
                </c:pt>
                <c:pt idx="8">
                  <c:v>6.1110832332095619E-2</c:v>
                </c:pt>
                <c:pt idx="9">
                  <c:v>7.0504249909696753E-2</c:v>
                </c:pt>
                <c:pt idx="10">
                  <c:v>0.11344253287860405</c:v>
                </c:pt>
                <c:pt idx="11">
                  <c:v>0.15186463523666383</c:v>
                </c:pt>
                <c:pt idx="12">
                  <c:v>0.1975471480653988</c:v>
                </c:pt>
                <c:pt idx="13">
                  <c:v>0.23720373461621042</c:v>
                </c:pt>
                <c:pt idx="14">
                  <c:v>0.29268133519203143</c:v>
                </c:pt>
                <c:pt idx="15">
                  <c:v>0.33708731530081454</c:v>
                </c:pt>
                <c:pt idx="16">
                  <c:v>0.35487215937137651</c:v>
                </c:pt>
                <c:pt idx="17">
                  <c:v>0.39130367353021067</c:v>
                </c:pt>
                <c:pt idx="18">
                  <c:v>0.40480802717613923</c:v>
                </c:pt>
                <c:pt idx="19">
                  <c:v>0.42329241079993862</c:v>
                </c:pt>
                <c:pt idx="20">
                  <c:v>0.4349604700158643</c:v>
                </c:pt>
                <c:pt idx="21">
                  <c:v>0.44278448961200884</c:v>
                </c:pt>
                <c:pt idx="22">
                  <c:v>0.45538157802303708</c:v>
                </c:pt>
                <c:pt idx="23">
                  <c:v>0.46189319209431778</c:v>
                </c:pt>
                <c:pt idx="24">
                  <c:v>0.47059010833573883</c:v>
                </c:pt>
                <c:pt idx="25">
                  <c:v>0.53384933247195754</c:v>
                </c:pt>
                <c:pt idx="26">
                  <c:v>0.7597007193345866</c:v>
                </c:pt>
                <c:pt idx="27">
                  <c:v>0.85738447199414514</c:v>
                </c:pt>
                <c:pt idx="28">
                  <c:v>0.90925896555017793</c:v>
                </c:pt>
                <c:pt idx="29">
                  <c:v>1</c:v>
                </c:pt>
                <c:pt idx="30">
                  <c:v>1</c:v>
                </c:pt>
                <c:pt idx="31">
                  <c:v>1</c:v>
                </c:pt>
                <c:pt idx="32">
                  <c:v>1</c:v>
                </c:pt>
              </c:numCache>
            </c:numRef>
          </c:yVal>
          <c:smooth val="1"/>
          <c:extLst>
            <c:ext xmlns:c16="http://schemas.microsoft.com/office/drawing/2014/chart" uri="{C3380CC4-5D6E-409C-BE32-E72D297353CC}">
              <c16:uniqueId val="{00000003-6060-454D-9F7D-7E4B93FCA383}"/>
            </c:ext>
          </c:extLst>
        </c:ser>
        <c:ser>
          <c:idx val="4"/>
          <c:order val="4"/>
          <c:tx>
            <c:strRef>
              <c:f>'5. Grain Size Distribution'!$G$3</c:f>
              <c:strCache>
                <c:ptCount val="1"/>
                <c:pt idx="0">
                  <c:v>-425/+150</c:v>
                </c:pt>
              </c:strCache>
            </c:strRef>
          </c:tx>
          <c:spPr>
            <a:ln w="22225" cap="rnd">
              <a:solidFill>
                <a:schemeClr val="accent5"/>
              </a:solidFill>
              <a:round/>
            </a:ln>
            <a:effectLst/>
          </c:spPr>
          <c:marker>
            <c:symbol val="star"/>
            <c:size val="6"/>
            <c:spPr>
              <a:noFill/>
              <a:ln w="9525">
                <a:solidFill>
                  <a:schemeClr val="accent5"/>
                </a:solidFill>
                <a:round/>
              </a:ln>
              <a:effectLst/>
            </c:spPr>
          </c:marker>
          <c:xVal>
            <c:numRef>
              <c:f>'5. Grain Size Distribution'!$C$81:$C$113</c:f>
              <c:numCache>
                <c:formatCode>General</c:formatCode>
                <c:ptCount val="33"/>
                <c:pt idx="0">
                  <c:v>0.5</c:v>
                </c:pt>
                <c:pt idx="1">
                  <c:v>2</c:v>
                </c:pt>
                <c:pt idx="2">
                  <c:v>4</c:v>
                </c:pt>
                <c:pt idx="3">
                  <c:v>6</c:v>
                </c:pt>
                <c:pt idx="4">
                  <c:v>8.5</c:v>
                </c:pt>
                <c:pt idx="5">
                  <c:v>12.5</c:v>
                </c:pt>
                <c:pt idx="6">
                  <c:v>17.5</c:v>
                </c:pt>
                <c:pt idx="7">
                  <c:v>21</c:v>
                </c:pt>
                <c:pt idx="8">
                  <c:v>22.5</c:v>
                </c:pt>
                <c:pt idx="9">
                  <c:v>24</c:v>
                </c:pt>
                <c:pt idx="10">
                  <c:v>27.5</c:v>
                </c:pt>
                <c:pt idx="11">
                  <c:v>34</c:v>
                </c:pt>
                <c:pt idx="12">
                  <c:v>41.5</c:v>
                </c:pt>
                <c:pt idx="13">
                  <c:v>49</c:v>
                </c:pt>
                <c:pt idx="14">
                  <c:v>59</c:v>
                </c:pt>
                <c:pt idx="15">
                  <c:v>70</c:v>
                </c:pt>
                <c:pt idx="16">
                  <c:v>77.5</c:v>
                </c:pt>
                <c:pt idx="17">
                  <c:v>85</c:v>
                </c:pt>
                <c:pt idx="18">
                  <c:v>92.5</c:v>
                </c:pt>
                <c:pt idx="19">
                  <c:v>97.5</c:v>
                </c:pt>
                <c:pt idx="20">
                  <c:v>102.5</c:v>
                </c:pt>
                <c:pt idx="21">
                  <c:v>107.5</c:v>
                </c:pt>
                <c:pt idx="22">
                  <c:v>112.5</c:v>
                </c:pt>
                <c:pt idx="23">
                  <c:v>117.5</c:v>
                </c:pt>
                <c:pt idx="24">
                  <c:v>122.5</c:v>
                </c:pt>
                <c:pt idx="25">
                  <c:v>137.5</c:v>
                </c:pt>
                <c:pt idx="26">
                  <c:v>225</c:v>
                </c:pt>
                <c:pt idx="27">
                  <c:v>350</c:v>
                </c:pt>
                <c:pt idx="28">
                  <c:v>450</c:v>
                </c:pt>
                <c:pt idx="29">
                  <c:v>750</c:v>
                </c:pt>
                <c:pt idx="30">
                  <c:v>1500</c:v>
                </c:pt>
                <c:pt idx="31">
                  <c:v>3000</c:v>
                </c:pt>
                <c:pt idx="32">
                  <c:v>5350</c:v>
                </c:pt>
              </c:numCache>
            </c:numRef>
          </c:xVal>
          <c:yVal>
            <c:numRef>
              <c:f>'5. Grain Size Distribution'!$G$81:$G$113</c:f>
              <c:numCache>
                <c:formatCode>0%</c:formatCode>
                <c:ptCount val="33"/>
                <c:pt idx="0">
                  <c:v>0</c:v>
                </c:pt>
                <c:pt idx="1">
                  <c:v>0</c:v>
                </c:pt>
                <c:pt idx="2">
                  <c:v>0</c:v>
                </c:pt>
                <c:pt idx="3">
                  <c:v>0</c:v>
                </c:pt>
                <c:pt idx="4">
                  <c:v>7.8536731995646394E-3</c:v>
                </c:pt>
                <c:pt idx="5">
                  <c:v>2.76957577805334E-2</c:v>
                </c:pt>
                <c:pt idx="6">
                  <c:v>3.6278764048041943E-2</c:v>
                </c:pt>
                <c:pt idx="7">
                  <c:v>5.3166953275351196E-2</c:v>
                </c:pt>
                <c:pt idx="8">
                  <c:v>7.2752505603320056E-2</c:v>
                </c:pt>
                <c:pt idx="9">
                  <c:v>8.4144867868492262E-2</c:v>
                </c:pt>
                <c:pt idx="10">
                  <c:v>0.11817769883433427</c:v>
                </c:pt>
                <c:pt idx="11">
                  <c:v>0.16832224675520491</c:v>
                </c:pt>
                <c:pt idx="12">
                  <c:v>0.20454798252093723</c:v>
                </c:pt>
                <c:pt idx="13">
                  <c:v>0.25063489369902187</c:v>
                </c:pt>
                <c:pt idx="14">
                  <c:v>0.29774359534569911</c:v>
                </c:pt>
                <c:pt idx="15">
                  <c:v>0.33809479857322444</c:v>
                </c:pt>
                <c:pt idx="16">
                  <c:v>0.35531781466586237</c:v>
                </c:pt>
                <c:pt idx="17">
                  <c:v>0.41449536942747695</c:v>
                </c:pt>
                <c:pt idx="18">
                  <c:v>0.44107511149188566</c:v>
                </c:pt>
                <c:pt idx="19">
                  <c:v>0.45729201080538767</c:v>
                </c:pt>
                <c:pt idx="20">
                  <c:v>0.47493778236382228</c:v>
                </c:pt>
                <c:pt idx="21">
                  <c:v>0.49190205706087492</c:v>
                </c:pt>
                <c:pt idx="22">
                  <c:v>0.53367327233578965</c:v>
                </c:pt>
                <c:pt idx="23">
                  <c:v>0.55783392647732233</c:v>
                </c:pt>
                <c:pt idx="24">
                  <c:v>0.58037034692478451</c:v>
                </c:pt>
                <c:pt idx="25">
                  <c:v>0.71501095731772357</c:v>
                </c:pt>
                <c:pt idx="26">
                  <c:v>0.95029979689296795</c:v>
                </c:pt>
                <c:pt idx="27">
                  <c:v>1</c:v>
                </c:pt>
                <c:pt idx="28">
                  <c:v>1</c:v>
                </c:pt>
                <c:pt idx="29">
                  <c:v>1</c:v>
                </c:pt>
                <c:pt idx="30">
                  <c:v>1</c:v>
                </c:pt>
                <c:pt idx="31">
                  <c:v>1</c:v>
                </c:pt>
                <c:pt idx="32">
                  <c:v>1</c:v>
                </c:pt>
              </c:numCache>
            </c:numRef>
          </c:yVal>
          <c:smooth val="1"/>
          <c:extLst>
            <c:ext xmlns:c16="http://schemas.microsoft.com/office/drawing/2014/chart" uri="{C3380CC4-5D6E-409C-BE32-E72D297353CC}">
              <c16:uniqueId val="{00000004-6060-454D-9F7D-7E4B93FCA383}"/>
            </c:ext>
          </c:extLst>
        </c:ser>
        <c:ser>
          <c:idx val="5"/>
          <c:order val="5"/>
          <c:tx>
            <c:strRef>
              <c:f>'5. Grain Size Distribution'!$I$3</c:f>
              <c:strCache>
                <c:ptCount val="1"/>
                <c:pt idx="0">
                  <c:v>-150/+0</c:v>
                </c:pt>
              </c:strCache>
            </c:strRef>
          </c:tx>
          <c:spPr>
            <a:ln w="22225" cap="rnd">
              <a:solidFill>
                <a:schemeClr val="accent6"/>
              </a:solidFill>
              <a:round/>
            </a:ln>
            <a:effectLst/>
          </c:spPr>
          <c:marker>
            <c:symbol val="circle"/>
            <c:size val="6"/>
            <c:spPr>
              <a:solidFill>
                <a:schemeClr val="accent6"/>
              </a:solidFill>
              <a:ln w="9525">
                <a:solidFill>
                  <a:schemeClr val="accent6"/>
                </a:solidFill>
                <a:round/>
              </a:ln>
              <a:effectLst/>
            </c:spPr>
          </c:marker>
          <c:xVal>
            <c:numRef>
              <c:f>'5. Grain Size Distribution'!$H$81:$H$105</c:f>
              <c:numCache>
                <c:formatCode>General</c:formatCode>
                <c:ptCount val="25"/>
                <c:pt idx="0">
                  <c:v>0.5</c:v>
                </c:pt>
                <c:pt idx="1">
                  <c:v>2</c:v>
                </c:pt>
                <c:pt idx="2">
                  <c:v>4</c:v>
                </c:pt>
                <c:pt idx="3">
                  <c:v>6</c:v>
                </c:pt>
                <c:pt idx="4">
                  <c:v>8.5</c:v>
                </c:pt>
                <c:pt idx="5">
                  <c:v>12.5</c:v>
                </c:pt>
                <c:pt idx="6">
                  <c:v>17.5</c:v>
                </c:pt>
                <c:pt idx="7">
                  <c:v>22.5</c:v>
                </c:pt>
                <c:pt idx="8">
                  <c:v>27.5</c:v>
                </c:pt>
                <c:pt idx="9">
                  <c:v>34</c:v>
                </c:pt>
                <c:pt idx="10">
                  <c:v>41.5</c:v>
                </c:pt>
                <c:pt idx="11">
                  <c:v>49</c:v>
                </c:pt>
                <c:pt idx="12">
                  <c:v>64</c:v>
                </c:pt>
                <c:pt idx="13">
                  <c:v>77.5</c:v>
                </c:pt>
                <c:pt idx="14">
                  <c:v>85</c:v>
                </c:pt>
                <c:pt idx="15">
                  <c:v>92.5</c:v>
                </c:pt>
                <c:pt idx="16">
                  <c:v>97.5</c:v>
                </c:pt>
                <c:pt idx="17">
                  <c:v>102.5</c:v>
                </c:pt>
                <c:pt idx="18">
                  <c:v>107.5</c:v>
                </c:pt>
                <c:pt idx="19">
                  <c:v>112.5</c:v>
                </c:pt>
                <c:pt idx="20">
                  <c:v>117.5</c:v>
                </c:pt>
                <c:pt idx="21">
                  <c:v>122.5</c:v>
                </c:pt>
                <c:pt idx="22">
                  <c:v>137.5</c:v>
                </c:pt>
                <c:pt idx="23">
                  <c:v>225</c:v>
                </c:pt>
                <c:pt idx="24">
                  <c:v>300</c:v>
                </c:pt>
              </c:numCache>
            </c:numRef>
          </c:xVal>
          <c:yVal>
            <c:numRef>
              <c:f>'5. Grain Size Distribution'!$I$81:$I$105</c:f>
              <c:numCache>
                <c:formatCode>0%</c:formatCode>
                <c:ptCount val="25"/>
                <c:pt idx="0">
                  <c:v>0</c:v>
                </c:pt>
                <c:pt idx="1">
                  <c:v>0</c:v>
                </c:pt>
                <c:pt idx="2">
                  <c:v>0</c:v>
                </c:pt>
                <c:pt idx="3">
                  <c:v>4.7504722649164728E-2</c:v>
                </c:pt>
                <c:pt idx="4">
                  <c:v>9.4395394084280312E-2</c:v>
                </c:pt>
                <c:pt idx="5">
                  <c:v>0.21111687827910749</c:v>
                </c:pt>
                <c:pt idx="6">
                  <c:v>0.3089276870903645</c:v>
                </c:pt>
                <c:pt idx="7">
                  <c:v>0.38982185228263794</c:v>
                </c:pt>
                <c:pt idx="8">
                  <c:v>0.46079552769026638</c:v>
                </c:pt>
                <c:pt idx="9">
                  <c:v>0.55469581665971057</c:v>
                </c:pt>
                <c:pt idx="10">
                  <c:v>0.62746918577262634</c:v>
                </c:pt>
                <c:pt idx="11">
                  <c:v>0.69102354857484427</c:v>
                </c:pt>
                <c:pt idx="12">
                  <c:v>0.82647077778795375</c:v>
                </c:pt>
                <c:pt idx="13">
                  <c:v>0.84902379158552788</c:v>
                </c:pt>
                <c:pt idx="14">
                  <c:v>0.89703381560273221</c:v>
                </c:pt>
                <c:pt idx="15">
                  <c:v>0.9102653348515275</c:v>
                </c:pt>
                <c:pt idx="16">
                  <c:v>0.92082042729102642</c:v>
                </c:pt>
                <c:pt idx="17">
                  <c:v>0.93531563601072387</c:v>
                </c:pt>
                <c:pt idx="18">
                  <c:v>0.94297457075439928</c:v>
                </c:pt>
                <c:pt idx="19">
                  <c:v>0.94875983394134666</c:v>
                </c:pt>
                <c:pt idx="20">
                  <c:v>0.95315712299235267</c:v>
                </c:pt>
                <c:pt idx="21">
                  <c:v>0.95551555058918702</c:v>
                </c:pt>
                <c:pt idx="22">
                  <c:v>0.97856053156597123</c:v>
                </c:pt>
                <c:pt idx="23">
                  <c:v>1</c:v>
                </c:pt>
                <c:pt idx="24">
                  <c:v>1</c:v>
                </c:pt>
              </c:numCache>
            </c:numRef>
          </c:yVal>
          <c:smooth val="1"/>
          <c:extLst>
            <c:ext xmlns:c16="http://schemas.microsoft.com/office/drawing/2014/chart" uri="{C3380CC4-5D6E-409C-BE32-E72D297353CC}">
              <c16:uniqueId val="{00000005-6060-454D-9F7D-7E4B93FCA383}"/>
            </c:ext>
          </c:extLst>
        </c:ser>
        <c:ser>
          <c:idx val="12"/>
          <c:order val="6"/>
          <c:tx>
            <c:strRef>
              <c:f>'5. Grain Size Distribution'!$K$79</c:f>
              <c:strCache>
                <c:ptCount val="1"/>
                <c:pt idx="0">
                  <c:v>SCT</c:v>
                </c:pt>
              </c:strCache>
            </c:strRef>
          </c:tx>
          <c:spPr>
            <a:ln w="22225" cap="rnd">
              <a:solidFill>
                <a:schemeClr val="accent2"/>
              </a:solidFill>
              <a:round/>
            </a:ln>
            <a:effectLst/>
          </c:spPr>
          <c:marker>
            <c:symbol val="plus"/>
            <c:size val="10"/>
            <c:spPr>
              <a:noFill/>
              <a:ln w="9525">
                <a:solidFill>
                  <a:schemeClr val="accent2"/>
                </a:solidFill>
                <a:round/>
              </a:ln>
              <a:effectLst/>
            </c:spPr>
          </c:marker>
          <c:xVal>
            <c:numRef>
              <c:f>'5. Grain Size Distribution'!$J$81:$J$105</c:f>
              <c:numCache>
                <c:formatCode>General</c:formatCode>
                <c:ptCount val="25"/>
                <c:pt idx="0">
                  <c:v>0.5</c:v>
                </c:pt>
                <c:pt idx="1">
                  <c:v>2</c:v>
                </c:pt>
                <c:pt idx="2">
                  <c:v>4</c:v>
                </c:pt>
                <c:pt idx="3">
                  <c:v>6</c:v>
                </c:pt>
                <c:pt idx="4">
                  <c:v>8.5</c:v>
                </c:pt>
                <c:pt idx="5">
                  <c:v>12.5</c:v>
                </c:pt>
                <c:pt idx="6">
                  <c:v>17.5</c:v>
                </c:pt>
                <c:pt idx="7">
                  <c:v>22.5</c:v>
                </c:pt>
                <c:pt idx="8">
                  <c:v>27.5</c:v>
                </c:pt>
                <c:pt idx="9">
                  <c:v>34</c:v>
                </c:pt>
                <c:pt idx="10">
                  <c:v>41.5</c:v>
                </c:pt>
                <c:pt idx="11">
                  <c:v>49</c:v>
                </c:pt>
                <c:pt idx="12">
                  <c:v>64</c:v>
                </c:pt>
                <c:pt idx="13">
                  <c:v>77.5</c:v>
                </c:pt>
                <c:pt idx="14">
                  <c:v>85</c:v>
                </c:pt>
                <c:pt idx="15">
                  <c:v>92.5</c:v>
                </c:pt>
                <c:pt idx="16">
                  <c:v>97.5</c:v>
                </c:pt>
                <c:pt idx="17">
                  <c:v>102.5</c:v>
                </c:pt>
                <c:pt idx="18">
                  <c:v>107.5</c:v>
                </c:pt>
                <c:pt idx="19">
                  <c:v>112.5</c:v>
                </c:pt>
                <c:pt idx="20">
                  <c:v>117.5</c:v>
                </c:pt>
                <c:pt idx="21">
                  <c:v>122.5</c:v>
                </c:pt>
                <c:pt idx="22">
                  <c:v>137.5</c:v>
                </c:pt>
                <c:pt idx="23">
                  <c:v>225</c:v>
                </c:pt>
                <c:pt idx="24">
                  <c:v>300</c:v>
                </c:pt>
              </c:numCache>
            </c:numRef>
          </c:xVal>
          <c:yVal>
            <c:numRef>
              <c:f>'5. Grain Size Distribution'!$K$81:$K$105</c:f>
              <c:numCache>
                <c:formatCode>0%</c:formatCode>
                <c:ptCount val="25"/>
                <c:pt idx="0">
                  <c:v>0</c:v>
                </c:pt>
                <c:pt idx="1">
                  <c:v>0</c:v>
                </c:pt>
                <c:pt idx="2">
                  <c:v>0.11467128376473815</c:v>
                </c:pt>
                <c:pt idx="3">
                  <c:v>0.16668737676044917</c:v>
                </c:pt>
                <c:pt idx="4">
                  <c:v>0.29670105632540261</c:v>
                </c:pt>
                <c:pt idx="5">
                  <c:v>0.47030846742035326</c:v>
                </c:pt>
                <c:pt idx="6">
                  <c:v>0.59177224475434587</c:v>
                </c:pt>
                <c:pt idx="7">
                  <c:v>0.67543002580930533</c:v>
                </c:pt>
                <c:pt idx="8">
                  <c:v>0.74187611307232371</c:v>
                </c:pt>
                <c:pt idx="9">
                  <c:v>0.80572527013588746</c:v>
                </c:pt>
                <c:pt idx="10">
                  <c:v>0.84909824302295978</c:v>
                </c:pt>
                <c:pt idx="11">
                  <c:v>0.88988892118062801</c:v>
                </c:pt>
                <c:pt idx="12">
                  <c:v>0.95017816508856001</c:v>
                </c:pt>
                <c:pt idx="13">
                  <c:v>0.96280137108307418</c:v>
                </c:pt>
                <c:pt idx="14">
                  <c:v>0.97104708165058384</c:v>
                </c:pt>
                <c:pt idx="15">
                  <c:v>0.9734252572599108</c:v>
                </c:pt>
                <c:pt idx="16">
                  <c:v>0.98538096192096836</c:v>
                </c:pt>
                <c:pt idx="17">
                  <c:v>0.9871668578668249</c:v>
                </c:pt>
                <c:pt idx="18">
                  <c:v>0.9871668578668249</c:v>
                </c:pt>
                <c:pt idx="19">
                  <c:v>0.98957790985273242</c:v>
                </c:pt>
                <c:pt idx="20">
                  <c:v>0.98957790985273242</c:v>
                </c:pt>
                <c:pt idx="21">
                  <c:v>0.99176692084982732</c:v>
                </c:pt>
                <c:pt idx="22">
                  <c:v>0.99676342387074612</c:v>
                </c:pt>
                <c:pt idx="23">
                  <c:v>1</c:v>
                </c:pt>
                <c:pt idx="24">
                  <c:v>1</c:v>
                </c:pt>
              </c:numCache>
            </c:numRef>
          </c:yVal>
          <c:smooth val="1"/>
          <c:extLst>
            <c:ext xmlns:c16="http://schemas.microsoft.com/office/drawing/2014/chart" uri="{C3380CC4-5D6E-409C-BE32-E72D297353CC}">
              <c16:uniqueId val="{00000000-BD6F-8E42-A72F-F3137750AA51}"/>
            </c:ext>
          </c:extLst>
        </c:ser>
        <c:ser>
          <c:idx val="6"/>
          <c:order val="7"/>
          <c:tx>
            <c:strRef>
              <c:f>'5. Grain Size Distribution'!$Q$106</c:f>
              <c:strCache>
                <c:ptCount val="1"/>
                <c:pt idx="0">
                  <c:v>HCT L85</c:v>
                </c:pt>
              </c:strCache>
            </c:strRef>
          </c:tx>
          <c:spPr>
            <a:ln w="22225" cap="rnd">
              <a:noFill/>
              <a:round/>
            </a:ln>
            <a:effectLst/>
          </c:spPr>
          <c:marker>
            <c:symbol val="diamond"/>
            <c:size val="10"/>
            <c:spPr>
              <a:solidFill>
                <a:schemeClr val="accent1"/>
              </a:solidFill>
              <a:ln w="9525">
                <a:noFill/>
                <a:round/>
              </a:ln>
              <a:effectLst/>
            </c:spPr>
          </c:marker>
          <c:xVal>
            <c:numRef>
              <c:f>'5. Grain Size Distribution'!$R$106</c:f>
              <c:numCache>
                <c:formatCode>General</c:formatCode>
                <c:ptCount val="1"/>
                <c:pt idx="0">
                  <c:v>520</c:v>
                </c:pt>
              </c:numCache>
            </c:numRef>
          </c:xVal>
          <c:yVal>
            <c:numRef>
              <c:f>'5. Grain Size Distribution'!$S$106</c:f>
              <c:numCache>
                <c:formatCode>0%</c:formatCode>
                <c:ptCount val="1"/>
                <c:pt idx="0">
                  <c:v>0.85</c:v>
                </c:pt>
              </c:numCache>
            </c:numRef>
          </c:yVal>
          <c:smooth val="1"/>
          <c:extLst>
            <c:ext xmlns:c16="http://schemas.microsoft.com/office/drawing/2014/chart" uri="{C3380CC4-5D6E-409C-BE32-E72D297353CC}">
              <c16:uniqueId val="{00000006-6060-454D-9F7D-7E4B93FCA383}"/>
            </c:ext>
          </c:extLst>
        </c:ser>
        <c:ser>
          <c:idx val="7"/>
          <c:order val="8"/>
          <c:tx>
            <c:strRef>
              <c:f>'5. Grain Size Distribution'!$Q$107</c:f>
              <c:strCache>
                <c:ptCount val="1"/>
                <c:pt idx="0">
                  <c:v>-6700/+2000 L85</c:v>
                </c:pt>
              </c:strCache>
            </c:strRef>
          </c:tx>
          <c:spPr>
            <a:ln w="22225" cap="rnd">
              <a:noFill/>
              <a:round/>
            </a:ln>
            <a:effectLst/>
          </c:spPr>
          <c:marker>
            <c:symbol val="diamond"/>
            <c:size val="10"/>
            <c:spPr>
              <a:solidFill>
                <a:schemeClr val="accent2"/>
              </a:solidFill>
              <a:ln w="9525">
                <a:noFill/>
                <a:round/>
              </a:ln>
              <a:effectLst/>
            </c:spPr>
          </c:marker>
          <c:xVal>
            <c:numRef>
              <c:f>'5. Grain Size Distribution'!$R$107</c:f>
              <c:numCache>
                <c:formatCode>General</c:formatCode>
                <c:ptCount val="1"/>
                <c:pt idx="0">
                  <c:v>595</c:v>
                </c:pt>
              </c:numCache>
            </c:numRef>
          </c:xVal>
          <c:yVal>
            <c:numRef>
              <c:f>'5. Grain Size Distribution'!$S$107</c:f>
              <c:numCache>
                <c:formatCode>0%</c:formatCode>
                <c:ptCount val="1"/>
                <c:pt idx="0">
                  <c:v>0.85</c:v>
                </c:pt>
              </c:numCache>
            </c:numRef>
          </c:yVal>
          <c:smooth val="1"/>
          <c:extLst>
            <c:ext xmlns:c16="http://schemas.microsoft.com/office/drawing/2014/chart" uri="{C3380CC4-5D6E-409C-BE32-E72D297353CC}">
              <c16:uniqueId val="{00000007-6060-454D-9F7D-7E4B93FCA383}"/>
            </c:ext>
          </c:extLst>
        </c:ser>
        <c:ser>
          <c:idx val="8"/>
          <c:order val="9"/>
          <c:tx>
            <c:strRef>
              <c:f>'5. Grain Size Distribution'!$Q$108</c:f>
              <c:strCache>
                <c:ptCount val="1"/>
                <c:pt idx="0">
                  <c:v>-2000/+1000 L85</c:v>
                </c:pt>
              </c:strCache>
            </c:strRef>
          </c:tx>
          <c:spPr>
            <a:ln w="22225" cap="rnd">
              <a:noFill/>
              <a:round/>
            </a:ln>
            <a:effectLst/>
          </c:spPr>
          <c:marker>
            <c:symbol val="triangle"/>
            <c:size val="10"/>
            <c:spPr>
              <a:solidFill>
                <a:schemeClr val="accent3"/>
              </a:solidFill>
              <a:ln w="9525">
                <a:noFill/>
                <a:round/>
              </a:ln>
              <a:effectLst/>
            </c:spPr>
          </c:marker>
          <c:xVal>
            <c:numRef>
              <c:f>'5. Grain Size Distribution'!$R$108</c:f>
              <c:numCache>
                <c:formatCode>General</c:formatCode>
                <c:ptCount val="1"/>
                <c:pt idx="0">
                  <c:v>610</c:v>
                </c:pt>
              </c:numCache>
            </c:numRef>
          </c:xVal>
          <c:yVal>
            <c:numRef>
              <c:f>'5. Grain Size Distribution'!$S$108</c:f>
              <c:numCache>
                <c:formatCode>0%</c:formatCode>
                <c:ptCount val="1"/>
                <c:pt idx="0">
                  <c:v>0.85</c:v>
                </c:pt>
              </c:numCache>
            </c:numRef>
          </c:yVal>
          <c:smooth val="1"/>
          <c:extLst>
            <c:ext xmlns:c16="http://schemas.microsoft.com/office/drawing/2014/chart" uri="{C3380CC4-5D6E-409C-BE32-E72D297353CC}">
              <c16:uniqueId val="{00000008-6060-454D-9F7D-7E4B93FCA383}"/>
            </c:ext>
          </c:extLst>
        </c:ser>
        <c:ser>
          <c:idx val="9"/>
          <c:order val="10"/>
          <c:tx>
            <c:strRef>
              <c:f>'5. Grain Size Distribution'!$Q$109</c:f>
              <c:strCache>
                <c:ptCount val="1"/>
                <c:pt idx="0">
                  <c:v>-1000/+425 L85</c:v>
                </c:pt>
              </c:strCache>
            </c:strRef>
          </c:tx>
          <c:spPr>
            <a:ln w="22225" cap="rnd">
              <a:noFill/>
              <a:round/>
            </a:ln>
            <a:effectLst/>
          </c:spPr>
          <c:marker>
            <c:symbol val="square"/>
            <c:size val="10"/>
            <c:spPr>
              <a:solidFill>
                <a:schemeClr val="accent4"/>
              </a:solidFill>
              <a:ln w="9525">
                <a:noFill/>
                <a:round/>
              </a:ln>
              <a:effectLst/>
            </c:spPr>
          </c:marker>
          <c:xVal>
            <c:numRef>
              <c:f>'5. Grain Size Distribution'!$R$109</c:f>
              <c:numCache>
                <c:formatCode>General</c:formatCode>
                <c:ptCount val="1"/>
                <c:pt idx="0">
                  <c:v>340</c:v>
                </c:pt>
              </c:numCache>
            </c:numRef>
          </c:xVal>
          <c:yVal>
            <c:numRef>
              <c:f>'5. Grain Size Distribution'!$S$109</c:f>
              <c:numCache>
                <c:formatCode>0%</c:formatCode>
                <c:ptCount val="1"/>
                <c:pt idx="0">
                  <c:v>0.85</c:v>
                </c:pt>
              </c:numCache>
            </c:numRef>
          </c:yVal>
          <c:smooth val="1"/>
          <c:extLst>
            <c:ext xmlns:c16="http://schemas.microsoft.com/office/drawing/2014/chart" uri="{C3380CC4-5D6E-409C-BE32-E72D297353CC}">
              <c16:uniqueId val="{00000009-6060-454D-9F7D-7E4B93FCA383}"/>
            </c:ext>
          </c:extLst>
        </c:ser>
        <c:ser>
          <c:idx val="10"/>
          <c:order val="11"/>
          <c:tx>
            <c:strRef>
              <c:f>'5. Grain Size Distribution'!$Q$110</c:f>
              <c:strCache>
                <c:ptCount val="1"/>
                <c:pt idx="0">
                  <c:v>-425/+150 L85</c:v>
                </c:pt>
              </c:strCache>
            </c:strRef>
          </c:tx>
          <c:spPr>
            <a:ln w="22225" cap="rnd">
              <a:noFill/>
              <a:round/>
            </a:ln>
            <a:effectLst/>
          </c:spPr>
          <c:marker>
            <c:symbol val="star"/>
            <c:size val="10"/>
            <c:spPr>
              <a:noFill/>
              <a:ln w="9525">
                <a:solidFill>
                  <a:schemeClr val="accent5"/>
                </a:solidFill>
                <a:round/>
              </a:ln>
              <a:effectLst/>
            </c:spPr>
          </c:marker>
          <c:xVal>
            <c:numRef>
              <c:f>'5. Grain Size Distribution'!$R$110</c:f>
              <c:numCache>
                <c:formatCode>General</c:formatCode>
                <c:ptCount val="1"/>
                <c:pt idx="0">
                  <c:v>175</c:v>
                </c:pt>
              </c:numCache>
            </c:numRef>
          </c:xVal>
          <c:yVal>
            <c:numRef>
              <c:f>'5. Grain Size Distribution'!$S$110</c:f>
              <c:numCache>
                <c:formatCode>0%</c:formatCode>
                <c:ptCount val="1"/>
                <c:pt idx="0">
                  <c:v>0.85</c:v>
                </c:pt>
              </c:numCache>
            </c:numRef>
          </c:yVal>
          <c:smooth val="1"/>
          <c:extLst>
            <c:ext xmlns:c16="http://schemas.microsoft.com/office/drawing/2014/chart" uri="{C3380CC4-5D6E-409C-BE32-E72D297353CC}">
              <c16:uniqueId val="{0000000A-6060-454D-9F7D-7E4B93FCA383}"/>
            </c:ext>
          </c:extLst>
        </c:ser>
        <c:ser>
          <c:idx val="11"/>
          <c:order val="12"/>
          <c:tx>
            <c:strRef>
              <c:f>'5. Grain Size Distribution'!$Q$111</c:f>
              <c:strCache>
                <c:ptCount val="1"/>
                <c:pt idx="0">
                  <c:v>-150/+0 L85</c:v>
                </c:pt>
              </c:strCache>
            </c:strRef>
          </c:tx>
          <c:spPr>
            <a:ln w="22225" cap="rnd">
              <a:noFill/>
              <a:round/>
            </a:ln>
            <a:effectLst/>
          </c:spPr>
          <c:marker>
            <c:symbol val="circle"/>
            <c:size val="10"/>
            <c:spPr>
              <a:solidFill>
                <a:schemeClr val="accent6"/>
              </a:solidFill>
              <a:ln w="9525">
                <a:noFill/>
                <a:round/>
              </a:ln>
              <a:effectLst/>
            </c:spPr>
          </c:marker>
          <c:xVal>
            <c:numRef>
              <c:f>'5. Grain Size Distribution'!$R$111</c:f>
              <c:numCache>
                <c:formatCode>General</c:formatCode>
                <c:ptCount val="1"/>
                <c:pt idx="0">
                  <c:v>75</c:v>
                </c:pt>
              </c:numCache>
            </c:numRef>
          </c:xVal>
          <c:yVal>
            <c:numRef>
              <c:f>'5. Grain Size Distribution'!$S$111</c:f>
              <c:numCache>
                <c:formatCode>0%</c:formatCode>
                <c:ptCount val="1"/>
                <c:pt idx="0">
                  <c:v>0.85</c:v>
                </c:pt>
              </c:numCache>
            </c:numRef>
          </c:yVal>
          <c:smooth val="1"/>
          <c:extLst>
            <c:ext xmlns:c16="http://schemas.microsoft.com/office/drawing/2014/chart" uri="{C3380CC4-5D6E-409C-BE32-E72D297353CC}">
              <c16:uniqueId val="{0000000B-6060-454D-9F7D-7E4B93FCA383}"/>
            </c:ext>
          </c:extLst>
        </c:ser>
        <c:ser>
          <c:idx val="13"/>
          <c:order val="13"/>
          <c:tx>
            <c:strRef>
              <c:f>'5. Grain Size Distribution'!$Q$112</c:f>
              <c:strCache>
                <c:ptCount val="1"/>
                <c:pt idx="0">
                  <c:v>SCT L85</c:v>
                </c:pt>
              </c:strCache>
            </c:strRef>
          </c:tx>
          <c:spPr>
            <a:ln w="22225" cap="rnd">
              <a:noFill/>
              <a:round/>
            </a:ln>
            <a:effectLst/>
          </c:spPr>
          <c:marker>
            <c:symbol val="plus"/>
            <c:size val="10"/>
            <c:spPr>
              <a:noFill/>
              <a:ln w="9525">
                <a:solidFill>
                  <a:schemeClr val="accent2">
                    <a:lumMod val="80000"/>
                    <a:lumOff val="20000"/>
                  </a:schemeClr>
                </a:solidFill>
                <a:round/>
              </a:ln>
              <a:effectLst/>
            </c:spPr>
          </c:marker>
          <c:xVal>
            <c:numRef>
              <c:f>'5. Grain Size Distribution'!$R$112</c:f>
              <c:numCache>
                <c:formatCode>General</c:formatCode>
                <c:ptCount val="1"/>
                <c:pt idx="0">
                  <c:v>42</c:v>
                </c:pt>
              </c:numCache>
            </c:numRef>
          </c:xVal>
          <c:yVal>
            <c:numRef>
              <c:f>'5. Grain Size Distribution'!$S$112</c:f>
              <c:numCache>
                <c:formatCode>0%</c:formatCode>
                <c:ptCount val="1"/>
                <c:pt idx="0">
                  <c:v>0.85</c:v>
                </c:pt>
              </c:numCache>
            </c:numRef>
          </c:yVal>
          <c:smooth val="1"/>
          <c:extLst>
            <c:ext xmlns:c16="http://schemas.microsoft.com/office/drawing/2014/chart" uri="{C3380CC4-5D6E-409C-BE32-E72D297353CC}">
              <c16:uniqueId val="{00000001-BD6F-8E42-A72F-F3137750AA51}"/>
            </c:ext>
          </c:extLst>
        </c:ser>
        <c:dLbls>
          <c:showLegendKey val="0"/>
          <c:showVal val="0"/>
          <c:showCatName val="0"/>
          <c:showSerName val="0"/>
          <c:showPercent val="0"/>
          <c:showBubbleSize val="0"/>
        </c:dLbls>
        <c:axId val="269554336"/>
        <c:axId val="269554728"/>
      </c:scatterChart>
      <c:valAx>
        <c:axId val="269554336"/>
        <c:scaling>
          <c:logBase val="10"/>
          <c:orientation val="minMax"/>
          <c:min val="0.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r>
                  <a:rPr lang="en-GB"/>
                  <a:t>Aperture size [µm]</a:t>
                </a:r>
              </a:p>
            </c:rich>
          </c:tx>
          <c:overlay val="0"/>
          <c:spPr>
            <a:noFill/>
            <a:ln>
              <a:noFill/>
            </a:ln>
            <a:effectLst/>
          </c:spPr>
          <c:txPr>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69554728"/>
        <c:crosses val="autoZero"/>
        <c:crossBetween val="midCat"/>
      </c:valAx>
      <c:valAx>
        <c:axId val="269554728"/>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r>
                  <a:rPr lang="en-GB"/>
                  <a:t>Cumulative % passing</a:t>
                </a:r>
              </a:p>
            </c:rich>
          </c:tx>
          <c:overlay val="0"/>
          <c:spPr>
            <a:noFill/>
            <a:ln>
              <a:noFill/>
            </a:ln>
            <a:effectLst/>
          </c:spPr>
          <c:txPr>
            <a:bodyPr rot="-54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low"/>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69554336"/>
        <c:crosses val="autoZero"/>
        <c:crossBetween val="midCat"/>
      </c:valAx>
      <c:spPr>
        <a:noFill/>
        <a:ln>
          <a:noFill/>
        </a:ln>
        <a:effectLst/>
      </c:spPr>
    </c:plotArea>
    <c:legend>
      <c:legendPos val="t"/>
      <c:layout>
        <c:manualLayout>
          <c:xMode val="edge"/>
          <c:yMode val="edge"/>
          <c:x val="0.79972024096286676"/>
          <c:y val="9.2043024388420422E-2"/>
          <c:w val="0.19912207256871028"/>
          <c:h val="0.88424793490396347"/>
        </c:manualLayout>
      </c:layout>
      <c:overlay val="0"/>
      <c:spPr>
        <a:noFill/>
        <a:ln>
          <a:noFill/>
        </a:ln>
        <a:effectLst/>
      </c:spPr>
      <c:txPr>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lt1"/>
    </a:solidFill>
    <a:ln w="9525" cap="flat" cmpd="sng" algn="ctr">
      <a:noFill/>
      <a:round/>
    </a:ln>
    <a:effectLst/>
  </c:spPr>
  <c:txPr>
    <a:bodyPr/>
    <a:lstStyle/>
    <a:p>
      <a:pPr>
        <a:defRPr sz="1200" cap="none" baseline="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cap="none" spc="120" normalizeH="0" baseline="0">
                <a:solidFill>
                  <a:sysClr val="windowText" lastClr="000000"/>
                </a:solidFill>
                <a:latin typeface="Times New Roman" panose="02020603050405020304" pitchFamily="18" charset="0"/>
                <a:ea typeface="+mn-ea"/>
                <a:cs typeface="Times New Roman" panose="02020603050405020304" pitchFamily="18" charset="0"/>
              </a:defRPr>
            </a:pPr>
            <a:r>
              <a:rPr lang="en-GB"/>
              <a:t>Sample</a:t>
            </a:r>
            <a:r>
              <a:rPr lang="en-GB" baseline="0"/>
              <a:t> D - Fe-sulfide Grain Size Distribution </a:t>
            </a:r>
            <a:endParaRPr lang="en-GB"/>
          </a:p>
        </c:rich>
      </c:tx>
      <c:overlay val="0"/>
      <c:spPr>
        <a:noFill/>
        <a:ln>
          <a:noFill/>
        </a:ln>
        <a:effectLst/>
      </c:spPr>
      <c:txPr>
        <a:bodyPr rot="0" spcFirstLastPara="1" vertOverflow="ellipsis" vert="horz" wrap="square" anchor="ctr" anchorCtr="1"/>
        <a:lstStyle/>
        <a:p>
          <a:pPr>
            <a:defRPr sz="1440" b="1" i="0" u="none" strike="noStrike" kern="1200" cap="none" spc="120" normalizeH="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7.3020875521845774E-2"/>
          <c:y val="0.12470003328823137"/>
          <c:w val="0.72996815445497998"/>
          <c:h val="0.74873181775272968"/>
        </c:manualLayout>
      </c:layout>
      <c:scatterChart>
        <c:scatterStyle val="smoothMarker"/>
        <c:varyColors val="0"/>
        <c:ser>
          <c:idx val="0"/>
          <c:order val="0"/>
          <c:tx>
            <c:strRef>
              <c:f>'5. Grain Size Distribution'!$B$3</c:f>
              <c:strCache>
                <c:ptCount val="1"/>
                <c:pt idx="0">
                  <c:v>HCT</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xVal>
            <c:numRef>
              <c:f>'5. Grain Size Distribution'!$A$119:$A$151</c:f>
              <c:numCache>
                <c:formatCode>0.00</c:formatCode>
                <c:ptCount val="33"/>
                <c:pt idx="0" formatCode="General">
                  <c:v>0.5</c:v>
                </c:pt>
                <c:pt idx="1">
                  <c:v>2</c:v>
                </c:pt>
                <c:pt idx="2" formatCode="General">
                  <c:v>4</c:v>
                </c:pt>
                <c:pt idx="3">
                  <c:v>6</c:v>
                </c:pt>
                <c:pt idx="4" formatCode="General">
                  <c:v>8.5</c:v>
                </c:pt>
                <c:pt idx="5" formatCode="General">
                  <c:v>12.5</c:v>
                </c:pt>
                <c:pt idx="6" formatCode="General">
                  <c:v>17.5</c:v>
                </c:pt>
                <c:pt idx="7" formatCode="General">
                  <c:v>21</c:v>
                </c:pt>
                <c:pt idx="8" formatCode="General">
                  <c:v>22.5</c:v>
                </c:pt>
                <c:pt idx="9" formatCode="General">
                  <c:v>24</c:v>
                </c:pt>
                <c:pt idx="10" formatCode="General">
                  <c:v>27.5</c:v>
                </c:pt>
                <c:pt idx="11" formatCode="General">
                  <c:v>34</c:v>
                </c:pt>
                <c:pt idx="12" formatCode="General">
                  <c:v>41.5</c:v>
                </c:pt>
                <c:pt idx="13" formatCode="General">
                  <c:v>49</c:v>
                </c:pt>
                <c:pt idx="14" formatCode="General">
                  <c:v>59</c:v>
                </c:pt>
                <c:pt idx="15" formatCode="General">
                  <c:v>70</c:v>
                </c:pt>
                <c:pt idx="16" formatCode="General">
                  <c:v>77.5</c:v>
                </c:pt>
                <c:pt idx="17" formatCode="General">
                  <c:v>85</c:v>
                </c:pt>
                <c:pt idx="18" formatCode="General">
                  <c:v>92.5</c:v>
                </c:pt>
                <c:pt idx="19" formatCode="General">
                  <c:v>97.5</c:v>
                </c:pt>
                <c:pt idx="20" formatCode="General">
                  <c:v>102.5</c:v>
                </c:pt>
                <c:pt idx="21" formatCode="General">
                  <c:v>107.5</c:v>
                </c:pt>
                <c:pt idx="22" formatCode="General">
                  <c:v>112.5</c:v>
                </c:pt>
                <c:pt idx="23" formatCode="General">
                  <c:v>117.5</c:v>
                </c:pt>
                <c:pt idx="24" formatCode="General">
                  <c:v>122.5</c:v>
                </c:pt>
                <c:pt idx="25" formatCode="General">
                  <c:v>137.5</c:v>
                </c:pt>
                <c:pt idx="26" formatCode="General">
                  <c:v>225</c:v>
                </c:pt>
                <c:pt idx="27" formatCode="General">
                  <c:v>350</c:v>
                </c:pt>
                <c:pt idx="28" formatCode="General">
                  <c:v>450</c:v>
                </c:pt>
                <c:pt idx="29" formatCode="General">
                  <c:v>750</c:v>
                </c:pt>
                <c:pt idx="30" formatCode="General">
                  <c:v>1500</c:v>
                </c:pt>
                <c:pt idx="31" formatCode="General">
                  <c:v>3000</c:v>
                </c:pt>
                <c:pt idx="32" formatCode="0">
                  <c:v>5350</c:v>
                </c:pt>
              </c:numCache>
            </c:numRef>
          </c:xVal>
          <c:yVal>
            <c:numRef>
              <c:f>'5. Grain Size Distribution'!$B$119:$B$151</c:f>
              <c:numCache>
                <c:formatCode>0%</c:formatCode>
                <c:ptCount val="33"/>
                <c:pt idx="0">
                  <c:v>0</c:v>
                </c:pt>
                <c:pt idx="1">
                  <c:v>0</c:v>
                </c:pt>
                <c:pt idx="2">
                  <c:v>0</c:v>
                </c:pt>
                <c:pt idx="3">
                  <c:v>1.2584633890436724E-2</c:v>
                </c:pt>
                <c:pt idx="4">
                  <c:v>2.4303410207615624E-2</c:v>
                </c:pt>
                <c:pt idx="5">
                  <c:v>5.902309231061046E-2</c:v>
                </c:pt>
                <c:pt idx="6">
                  <c:v>6.8618487412811929E-2</c:v>
                </c:pt>
                <c:pt idx="7">
                  <c:v>8.1863174246174217E-2</c:v>
                </c:pt>
                <c:pt idx="8">
                  <c:v>0.20477586905722511</c:v>
                </c:pt>
                <c:pt idx="9">
                  <c:v>0.21268660927587574</c:v>
                </c:pt>
                <c:pt idx="10">
                  <c:v>0.25009939315761937</c:v>
                </c:pt>
                <c:pt idx="11">
                  <c:v>0.32521496097152042</c:v>
                </c:pt>
                <c:pt idx="12">
                  <c:v>0.42119470351781796</c:v>
                </c:pt>
                <c:pt idx="13">
                  <c:v>0.48414651298339983</c:v>
                </c:pt>
                <c:pt idx="14">
                  <c:v>0.59088427748752614</c:v>
                </c:pt>
                <c:pt idx="15">
                  <c:v>0.66455080615735318</c:v>
                </c:pt>
                <c:pt idx="16">
                  <c:v>0.6980432060612568</c:v>
                </c:pt>
                <c:pt idx="17">
                  <c:v>0.76017505271758234</c:v>
                </c:pt>
                <c:pt idx="18">
                  <c:v>0.78616653955488125</c:v>
                </c:pt>
                <c:pt idx="19">
                  <c:v>0.80282034877286856</c:v>
                </c:pt>
                <c:pt idx="20">
                  <c:v>0.83358418613848395</c:v>
                </c:pt>
                <c:pt idx="21">
                  <c:v>0.84640517760564449</c:v>
                </c:pt>
                <c:pt idx="22">
                  <c:v>0.85714769936845325</c:v>
                </c:pt>
                <c:pt idx="23">
                  <c:v>0.86956948427359726</c:v>
                </c:pt>
                <c:pt idx="24">
                  <c:v>0.87884181311832932</c:v>
                </c:pt>
                <c:pt idx="25">
                  <c:v>0.95993856439556291</c:v>
                </c:pt>
                <c:pt idx="26">
                  <c:v>1</c:v>
                </c:pt>
                <c:pt idx="27">
                  <c:v>1</c:v>
                </c:pt>
                <c:pt idx="28">
                  <c:v>1</c:v>
                </c:pt>
                <c:pt idx="29">
                  <c:v>1</c:v>
                </c:pt>
                <c:pt idx="30">
                  <c:v>1</c:v>
                </c:pt>
                <c:pt idx="31">
                  <c:v>1</c:v>
                </c:pt>
                <c:pt idx="32">
                  <c:v>1</c:v>
                </c:pt>
              </c:numCache>
            </c:numRef>
          </c:yVal>
          <c:smooth val="1"/>
          <c:extLst>
            <c:ext xmlns:c16="http://schemas.microsoft.com/office/drawing/2014/chart" uri="{C3380CC4-5D6E-409C-BE32-E72D297353CC}">
              <c16:uniqueId val="{00000000-CC3E-0743-9E34-E0DC91735B71}"/>
            </c:ext>
          </c:extLst>
        </c:ser>
        <c:ser>
          <c:idx val="1"/>
          <c:order val="1"/>
          <c:tx>
            <c:strRef>
              <c:f>'5. Grain Size Distribution'!$D$3</c:f>
              <c:strCache>
                <c:ptCount val="1"/>
                <c:pt idx="0">
                  <c:v>-6700/+2000</c:v>
                </c:pt>
              </c:strCache>
            </c:strRef>
          </c:tx>
          <c:spPr>
            <a:ln w="22225" cap="rnd">
              <a:solidFill>
                <a:schemeClr val="accent2"/>
              </a:solidFill>
              <a:round/>
            </a:ln>
            <a:effectLst/>
          </c:spPr>
          <c:marker>
            <c:symbol val="diamond"/>
            <c:size val="6"/>
            <c:spPr>
              <a:solidFill>
                <a:schemeClr val="accent2"/>
              </a:solidFill>
              <a:ln w="9525">
                <a:solidFill>
                  <a:schemeClr val="accent2"/>
                </a:solidFill>
                <a:round/>
              </a:ln>
              <a:effectLst/>
            </c:spPr>
          </c:marker>
          <c:xVal>
            <c:numRef>
              <c:f>'5. Grain Size Distribution'!$C$119:$C$151</c:f>
              <c:numCache>
                <c:formatCode>General</c:formatCode>
                <c:ptCount val="33"/>
                <c:pt idx="0">
                  <c:v>0.5</c:v>
                </c:pt>
                <c:pt idx="1">
                  <c:v>2</c:v>
                </c:pt>
                <c:pt idx="2">
                  <c:v>4</c:v>
                </c:pt>
                <c:pt idx="3">
                  <c:v>6</c:v>
                </c:pt>
                <c:pt idx="4">
                  <c:v>8.5</c:v>
                </c:pt>
                <c:pt idx="5">
                  <c:v>12.5</c:v>
                </c:pt>
                <c:pt idx="6">
                  <c:v>17.5</c:v>
                </c:pt>
                <c:pt idx="7">
                  <c:v>21</c:v>
                </c:pt>
                <c:pt idx="8">
                  <c:v>22.5</c:v>
                </c:pt>
                <c:pt idx="9">
                  <c:v>24</c:v>
                </c:pt>
                <c:pt idx="10">
                  <c:v>27.5</c:v>
                </c:pt>
                <c:pt idx="11">
                  <c:v>34</c:v>
                </c:pt>
                <c:pt idx="12">
                  <c:v>41.5</c:v>
                </c:pt>
                <c:pt idx="13">
                  <c:v>49</c:v>
                </c:pt>
                <c:pt idx="14">
                  <c:v>59</c:v>
                </c:pt>
                <c:pt idx="15">
                  <c:v>70</c:v>
                </c:pt>
                <c:pt idx="16">
                  <c:v>77.5</c:v>
                </c:pt>
                <c:pt idx="17">
                  <c:v>85</c:v>
                </c:pt>
                <c:pt idx="18">
                  <c:v>92.5</c:v>
                </c:pt>
                <c:pt idx="19">
                  <c:v>97.5</c:v>
                </c:pt>
                <c:pt idx="20">
                  <c:v>102.5</c:v>
                </c:pt>
                <c:pt idx="21">
                  <c:v>107.5</c:v>
                </c:pt>
                <c:pt idx="22">
                  <c:v>112.5</c:v>
                </c:pt>
                <c:pt idx="23">
                  <c:v>117.5</c:v>
                </c:pt>
                <c:pt idx="24">
                  <c:v>122.5</c:v>
                </c:pt>
                <c:pt idx="25">
                  <c:v>137.5</c:v>
                </c:pt>
                <c:pt idx="26">
                  <c:v>225</c:v>
                </c:pt>
                <c:pt idx="27">
                  <c:v>350</c:v>
                </c:pt>
                <c:pt idx="28">
                  <c:v>450</c:v>
                </c:pt>
                <c:pt idx="29">
                  <c:v>750</c:v>
                </c:pt>
                <c:pt idx="30">
                  <c:v>1500</c:v>
                </c:pt>
                <c:pt idx="31">
                  <c:v>3000</c:v>
                </c:pt>
                <c:pt idx="32">
                  <c:v>5350</c:v>
                </c:pt>
              </c:numCache>
            </c:numRef>
          </c:xVal>
          <c:yVal>
            <c:numRef>
              <c:f>'5. Grain Size Distribution'!$D$119:$D$151</c:f>
              <c:numCache>
                <c:formatCode>0%</c:formatCode>
                <c:ptCount val="33"/>
                <c:pt idx="0">
                  <c:v>0</c:v>
                </c:pt>
                <c:pt idx="1">
                  <c:v>0</c:v>
                </c:pt>
                <c:pt idx="2">
                  <c:v>0</c:v>
                </c:pt>
                <c:pt idx="3">
                  <c:v>0</c:v>
                </c:pt>
                <c:pt idx="4">
                  <c:v>0</c:v>
                </c:pt>
                <c:pt idx="5">
                  <c:v>0</c:v>
                </c:pt>
                <c:pt idx="6">
                  <c:v>0</c:v>
                </c:pt>
                <c:pt idx="7">
                  <c:v>0</c:v>
                </c:pt>
                <c:pt idx="8">
                  <c:v>0.14818379300601253</c:v>
                </c:pt>
                <c:pt idx="9">
                  <c:v>0.14819733803383023</c:v>
                </c:pt>
                <c:pt idx="10">
                  <c:v>0.16874004322459607</c:v>
                </c:pt>
                <c:pt idx="11">
                  <c:v>0.23904414778534475</c:v>
                </c:pt>
                <c:pt idx="12">
                  <c:v>0.3415217290400856</c:v>
                </c:pt>
                <c:pt idx="13">
                  <c:v>0.40129296755936417</c:v>
                </c:pt>
                <c:pt idx="14">
                  <c:v>0.50033688670771204</c:v>
                </c:pt>
                <c:pt idx="15">
                  <c:v>0.5766986466452183</c:v>
                </c:pt>
                <c:pt idx="16">
                  <c:v>0.61236008295648858</c:v>
                </c:pt>
                <c:pt idx="17">
                  <c:v>0.68198492075908235</c:v>
                </c:pt>
                <c:pt idx="18">
                  <c:v>0.70726107264295635</c:v>
                </c:pt>
                <c:pt idx="19">
                  <c:v>0.72899144050576736</c:v>
                </c:pt>
                <c:pt idx="20">
                  <c:v>0.77850115378991602</c:v>
                </c:pt>
                <c:pt idx="21">
                  <c:v>0.79544372853161305</c:v>
                </c:pt>
                <c:pt idx="22">
                  <c:v>0.80543582071055175</c:v>
                </c:pt>
                <c:pt idx="23">
                  <c:v>0.81340067372604363</c:v>
                </c:pt>
                <c:pt idx="24">
                  <c:v>0.82972280890534189</c:v>
                </c:pt>
                <c:pt idx="25">
                  <c:v>0.94820193033107181</c:v>
                </c:pt>
                <c:pt idx="26">
                  <c:v>1</c:v>
                </c:pt>
                <c:pt idx="27">
                  <c:v>1</c:v>
                </c:pt>
                <c:pt idx="28">
                  <c:v>1</c:v>
                </c:pt>
                <c:pt idx="29">
                  <c:v>1</c:v>
                </c:pt>
                <c:pt idx="30">
                  <c:v>1</c:v>
                </c:pt>
                <c:pt idx="31">
                  <c:v>1</c:v>
                </c:pt>
                <c:pt idx="32">
                  <c:v>1</c:v>
                </c:pt>
              </c:numCache>
            </c:numRef>
          </c:yVal>
          <c:smooth val="1"/>
          <c:extLst>
            <c:ext xmlns:c16="http://schemas.microsoft.com/office/drawing/2014/chart" uri="{C3380CC4-5D6E-409C-BE32-E72D297353CC}">
              <c16:uniqueId val="{00000001-CC3E-0743-9E34-E0DC91735B71}"/>
            </c:ext>
          </c:extLst>
        </c:ser>
        <c:ser>
          <c:idx val="2"/>
          <c:order val="2"/>
          <c:tx>
            <c:strRef>
              <c:f>'5. Grain Size Distribution'!$E$3</c:f>
              <c:strCache>
                <c:ptCount val="1"/>
                <c:pt idx="0">
                  <c:v>-2000/+1000</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xVal>
            <c:numRef>
              <c:f>'5. Grain Size Distribution'!$C$119:$C$151</c:f>
              <c:numCache>
                <c:formatCode>General</c:formatCode>
                <c:ptCount val="33"/>
                <c:pt idx="0">
                  <c:v>0.5</c:v>
                </c:pt>
                <c:pt idx="1">
                  <c:v>2</c:v>
                </c:pt>
                <c:pt idx="2">
                  <c:v>4</c:v>
                </c:pt>
                <c:pt idx="3">
                  <c:v>6</c:v>
                </c:pt>
                <c:pt idx="4">
                  <c:v>8.5</c:v>
                </c:pt>
                <c:pt idx="5">
                  <c:v>12.5</c:v>
                </c:pt>
                <c:pt idx="6">
                  <c:v>17.5</c:v>
                </c:pt>
                <c:pt idx="7">
                  <c:v>21</c:v>
                </c:pt>
                <c:pt idx="8">
                  <c:v>22.5</c:v>
                </c:pt>
                <c:pt idx="9">
                  <c:v>24</c:v>
                </c:pt>
                <c:pt idx="10">
                  <c:v>27.5</c:v>
                </c:pt>
                <c:pt idx="11">
                  <c:v>34</c:v>
                </c:pt>
                <c:pt idx="12">
                  <c:v>41.5</c:v>
                </c:pt>
                <c:pt idx="13">
                  <c:v>49</c:v>
                </c:pt>
                <c:pt idx="14">
                  <c:v>59</c:v>
                </c:pt>
                <c:pt idx="15">
                  <c:v>70</c:v>
                </c:pt>
                <c:pt idx="16">
                  <c:v>77.5</c:v>
                </c:pt>
                <c:pt idx="17">
                  <c:v>85</c:v>
                </c:pt>
                <c:pt idx="18">
                  <c:v>92.5</c:v>
                </c:pt>
                <c:pt idx="19">
                  <c:v>97.5</c:v>
                </c:pt>
                <c:pt idx="20">
                  <c:v>102.5</c:v>
                </c:pt>
                <c:pt idx="21">
                  <c:v>107.5</c:v>
                </c:pt>
                <c:pt idx="22">
                  <c:v>112.5</c:v>
                </c:pt>
                <c:pt idx="23">
                  <c:v>117.5</c:v>
                </c:pt>
                <c:pt idx="24">
                  <c:v>122.5</c:v>
                </c:pt>
                <c:pt idx="25">
                  <c:v>137.5</c:v>
                </c:pt>
                <c:pt idx="26">
                  <c:v>225</c:v>
                </c:pt>
                <c:pt idx="27">
                  <c:v>350</c:v>
                </c:pt>
                <c:pt idx="28">
                  <c:v>450</c:v>
                </c:pt>
                <c:pt idx="29">
                  <c:v>750</c:v>
                </c:pt>
                <c:pt idx="30">
                  <c:v>1500</c:v>
                </c:pt>
                <c:pt idx="31">
                  <c:v>3000</c:v>
                </c:pt>
                <c:pt idx="32">
                  <c:v>5350</c:v>
                </c:pt>
              </c:numCache>
            </c:numRef>
          </c:xVal>
          <c:yVal>
            <c:numRef>
              <c:f>'5. Grain Size Distribution'!$E$119:$E$151</c:f>
              <c:numCache>
                <c:formatCode>0%</c:formatCode>
                <c:ptCount val="33"/>
                <c:pt idx="0">
                  <c:v>0</c:v>
                </c:pt>
                <c:pt idx="1">
                  <c:v>0</c:v>
                </c:pt>
                <c:pt idx="2">
                  <c:v>0</c:v>
                </c:pt>
                <c:pt idx="3">
                  <c:v>0</c:v>
                </c:pt>
                <c:pt idx="4">
                  <c:v>0</c:v>
                </c:pt>
                <c:pt idx="5">
                  <c:v>0</c:v>
                </c:pt>
                <c:pt idx="6">
                  <c:v>0</c:v>
                </c:pt>
                <c:pt idx="7">
                  <c:v>0</c:v>
                </c:pt>
                <c:pt idx="8">
                  <c:v>0.16389207158073377</c:v>
                </c:pt>
                <c:pt idx="9">
                  <c:v>0.16389207158073377</c:v>
                </c:pt>
                <c:pt idx="10">
                  <c:v>0.18081398217600353</c:v>
                </c:pt>
                <c:pt idx="11">
                  <c:v>0.23852368866100523</c:v>
                </c:pt>
                <c:pt idx="12">
                  <c:v>0.32986435029319644</c:v>
                </c:pt>
                <c:pt idx="13">
                  <c:v>0.38472620460584905</c:v>
                </c:pt>
                <c:pt idx="14">
                  <c:v>0.48981278877256385</c:v>
                </c:pt>
                <c:pt idx="15">
                  <c:v>0.57761588110897233</c:v>
                </c:pt>
                <c:pt idx="16">
                  <c:v>0.62053373886673779</c:v>
                </c:pt>
                <c:pt idx="17">
                  <c:v>0.68947292903124902</c:v>
                </c:pt>
                <c:pt idx="18">
                  <c:v>0.73163765289878879</c:v>
                </c:pt>
                <c:pt idx="19">
                  <c:v>0.75844719584215425</c:v>
                </c:pt>
                <c:pt idx="20">
                  <c:v>0.788463458303716</c:v>
                </c:pt>
                <c:pt idx="21">
                  <c:v>0.80726147822212346</c:v>
                </c:pt>
                <c:pt idx="22">
                  <c:v>0.81117284866899508</c:v>
                </c:pt>
                <c:pt idx="23">
                  <c:v>0.83207969019477424</c:v>
                </c:pt>
                <c:pt idx="24">
                  <c:v>0.84020185981372963</c:v>
                </c:pt>
                <c:pt idx="25">
                  <c:v>0.94228560723631893</c:v>
                </c:pt>
                <c:pt idx="26">
                  <c:v>1</c:v>
                </c:pt>
                <c:pt idx="27">
                  <c:v>1</c:v>
                </c:pt>
                <c:pt idx="28">
                  <c:v>1</c:v>
                </c:pt>
                <c:pt idx="29">
                  <c:v>1</c:v>
                </c:pt>
                <c:pt idx="30">
                  <c:v>1</c:v>
                </c:pt>
                <c:pt idx="31">
                  <c:v>1</c:v>
                </c:pt>
                <c:pt idx="32">
                  <c:v>1</c:v>
                </c:pt>
              </c:numCache>
            </c:numRef>
          </c:yVal>
          <c:smooth val="1"/>
          <c:extLst>
            <c:ext xmlns:c16="http://schemas.microsoft.com/office/drawing/2014/chart" uri="{C3380CC4-5D6E-409C-BE32-E72D297353CC}">
              <c16:uniqueId val="{00000002-CC3E-0743-9E34-E0DC91735B71}"/>
            </c:ext>
          </c:extLst>
        </c:ser>
        <c:ser>
          <c:idx val="3"/>
          <c:order val="3"/>
          <c:tx>
            <c:strRef>
              <c:f>'5. Grain Size Distribution'!$F$3</c:f>
              <c:strCache>
                <c:ptCount val="1"/>
                <c:pt idx="0">
                  <c:v>-1000/+425</c:v>
                </c:pt>
              </c:strCache>
            </c:strRef>
          </c:tx>
          <c:spPr>
            <a:ln w="22225" cap="rnd">
              <a:solidFill>
                <a:schemeClr val="accent4"/>
              </a:solidFill>
              <a:round/>
            </a:ln>
            <a:effectLst/>
          </c:spPr>
          <c:marker>
            <c:symbol val="square"/>
            <c:size val="6"/>
            <c:spPr>
              <a:solidFill>
                <a:schemeClr val="accent4"/>
              </a:solidFill>
              <a:ln w="9525">
                <a:solidFill>
                  <a:schemeClr val="accent4"/>
                </a:solidFill>
                <a:round/>
              </a:ln>
              <a:effectLst/>
            </c:spPr>
          </c:marker>
          <c:xVal>
            <c:numRef>
              <c:f>'5. Grain Size Distribution'!$C$119:$C$151</c:f>
              <c:numCache>
                <c:formatCode>General</c:formatCode>
                <c:ptCount val="33"/>
                <c:pt idx="0">
                  <c:v>0.5</c:v>
                </c:pt>
                <c:pt idx="1">
                  <c:v>2</c:v>
                </c:pt>
                <c:pt idx="2">
                  <c:v>4</c:v>
                </c:pt>
                <c:pt idx="3">
                  <c:v>6</c:v>
                </c:pt>
                <c:pt idx="4">
                  <c:v>8.5</c:v>
                </c:pt>
                <c:pt idx="5">
                  <c:v>12.5</c:v>
                </c:pt>
                <c:pt idx="6">
                  <c:v>17.5</c:v>
                </c:pt>
                <c:pt idx="7">
                  <c:v>21</c:v>
                </c:pt>
                <c:pt idx="8">
                  <c:v>22.5</c:v>
                </c:pt>
                <c:pt idx="9">
                  <c:v>24</c:v>
                </c:pt>
                <c:pt idx="10">
                  <c:v>27.5</c:v>
                </c:pt>
                <c:pt idx="11">
                  <c:v>34</c:v>
                </c:pt>
                <c:pt idx="12">
                  <c:v>41.5</c:v>
                </c:pt>
                <c:pt idx="13">
                  <c:v>49</c:v>
                </c:pt>
                <c:pt idx="14">
                  <c:v>59</c:v>
                </c:pt>
                <c:pt idx="15">
                  <c:v>70</c:v>
                </c:pt>
                <c:pt idx="16">
                  <c:v>77.5</c:v>
                </c:pt>
                <c:pt idx="17">
                  <c:v>85</c:v>
                </c:pt>
                <c:pt idx="18">
                  <c:v>92.5</c:v>
                </c:pt>
                <c:pt idx="19">
                  <c:v>97.5</c:v>
                </c:pt>
                <c:pt idx="20">
                  <c:v>102.5</c:v>
                </c:pt>
                <c:pt idx="21">
                  <c:v>107.5</c:v>
                </c:pt>
                <c:pt idx="22">
                  <c:v>112.5</c:v>
                </c:pt>
                <c:pt idx="23">
                  <c:v>117.5</c:v>
                </c:pt>
                <c:pt idx="24">
                  <c:v>122.5</c:v>
                </c:pt>
                <c:pt idx="25">
                  <c:v>137.5</c:v>
                </c:pt>
                <c:pt idx="26">
                  <c:v>225</c:v>
                </c:pt>
                <c:pt idx="27">
                  <c:v>350</c:v>
                </c:pt>
                <c:pt idx="28">
                  <c:v>450</c:v>
                </c:pt>
                <c:pt idx="29">
                  <c:v>750</c:v>
                </c:pt>
                <c:pt idx="30">
                  <c:v>1500</c:v>
                </c:pt>
                <c:pt idx="31">
                  <c:v>3000</c:v>
                </c:pt>
                <c:pt idx="32">
                  <c:v>5350</c:v>
                </c:pt>
              </c:numCache>
            </c:numRef>
          </c:xVal>
          <c:yVal>
            <c:numRef>
              <c:f>'5. Grain Size Distribution'!$F$119:$F$151</c:f>
              <c:numCache>
                <c:formatCode>0%</c:formatCode>
                <c:ptCount val="33"/>
                <c:pt idx="0">
                  <c:v>0</c:v>
                </c:pt>
                <c:pt idx="1">
                  <c:v>0</c:v>
                </c:pt>
                <c:pt idx="2">
                  <c:v>0</c:v>
                </c:pt>
                <c:pt idx="3">
                  <c:v>0</c:v>
                </c:pt>
                <c:pt idx="4">
                  <c:v>0</c:v>
                </c:pt>
                <c:pt idx="5">
                  <c:v>8.8334489460685228E-2</c:v>
                </c:pt>
                <c:pt idx="6">
                  <c:v>8.8334489460685228E-2</c:v>
                </c:pt>
                <c:pt idx="7">
                  <c:v>0.10368836739312422</c:v>
                </c:pt>
                <c:pt idx="8">
                  <c:v>0.1338430931515881</c:v>
                </c:pt>
                <c:pt idx="9">
                  <c:v>0.14753302436765978</c:v>
                </c:pt>
                <c:pt idx="10">
                  <c:v>0.22785587764855664</c:v>
                </c:pt>
                <c:pt idx="11">
                  <c:v>0.30777602838861751</c:v>
                </c:pt>
                <c:pt idx="12">
                  <c:v>0.40696491231004589</c:v>
                </c:pt>
                <c:pt idx="13">
                  <c:v>0.50716282310693706</c:v>
                </c:pt>
                <c:pt idx="14">
                  <c:v>0.71558970646899767</c:v>
                </c:pt>
                <c:pt idx="15">
                  <c:v>0.80017663410121087</c:v>
                </c:pt>
                <c:pt idx="16">
                  <c:v>0.83379504320164588</c:v>
                </c:pt>
                <c:pt idx="17">
                  <c:v>0.93613714793448521</c:v>
                </c:pt>
                <c:pt idx="18">
                  <c:v>0.96204467059138732</c:v>
                </c:pt>
                <c:pt idx="19">
                  <c:v>0.96236484591615312</c:v>
                </c:pt>
                <c:pt idx="20">
                  <c:v>0.96702194154911325</c:v>
                </c:pt>
                <c:pt idx="21">
                  <c:v>0.9708931522940123</c:v>
                </c:pt>
                <c:pt idx="22">
                  <c:v>0.9937711345909177</c:v>
                </c:pt>
                <c:pt idx="23">
                  <c:v>1</c:v>
                </c:pt>
                <c:pt idx="24">
                  <c:v>1</c:v>
                </c:pt>
                <c:pt idx="25">
                  <c:v>1</c:v>
                </c:pt>
                <c:pt idx="26">
                  <c:v>1</c:v>
                </c:pt>
                <c:pt idx="27">
                  <c:v>1</c:v>
                </c:pt>
                <c:pt idx="28">
                  <c:v>1</c:v>
                </c:pt>
                <c:pt idx="29">
                  <c:v>1</c:v>
                </c:pt>
                <c:pt idx="30">
                  <c:v>1</c:v>
                </c:pt>
                <c:pt idx="31">
                  <c:v>1</c:v>
                </c:pt>
                <c:pt idx="32">
                  <c:v>1</c:v>
                </c:pt>
              </c:numCache>
            </c:numRef>
          </c:yVal>
          <c:smooth val="1"/>
          <c:extLst>
            <c:ext xmlns:c16="http://schemas.microsoft.com/office/drawing/2014/chart" uri="{C3380CC4-5D6E-409C-BE32-E72D297353CC}">
              <c16:uniqueId val="{00000003-CC3E-0743-9E34-E0DC91735B71}"/>
            </c:ext>
          </c:extLst>
        </c:ser>
        <c:ser>
          <c:idx val="4"/>
          <c:order val="4"/>
          <c:tx>
            <c:strRef>
              <c:f>'5. Grain Size Distribution'!$G$3</c:f>
              <c:strCache>
                <c:ptCount val="1"/>
                <c:pt idx="0">
                  <c:v>-425/+150</c:v>
                </c:pt>
              </c:strCache>
            </c:strRef>
          </c:tx>
          <c:spPr>
            <a:ln w="22225" cap="rnd">
              <a:solidFill>
                <a:schemeClr val="accent5"/>
              </a:solidFill>
              <a:round/>
            </a:ln>
            <a:effectLst/>
          </c:spPr>
          <c:marker>
            <c:symbol val="star"/>
            <c:size val="6"/>
            <c:spPr>
              <a:noFill/>
              <a:ln w="9525">
                <a:solidFill>
                  <a:schemeClr val="accent5"/>
                </a:solidFill>
                <a:round/>
              </a:ln>
              <a:effectLst/>
            </c:spPr>
          </c:marker>
          <c:xVal>
            <c:numRef>
              <c:f>'5. Grain Size Distribution'!$C$119:$C$151</c:f>
              <c:numCache>
                <c:formatCode>General</c:formatCode>
                <c:ptCount val="33"/>
                <c:pt idx="0">
                  <c:v>0.5</c:v>
                </c:pt>
                <c:pt idx="1">
                  <c:v>2</c:v>
                </c:pt>
                <c:pt idx="2">
                  <c:v>4</c:v>
                </c:pt>
                <c:pt idx="3">
                  <c:v>6</c:v>
                </c:pt>
                <c:pt idx="4">
                  <c:v>8.5</c:v>
                </c:pt>
                <c:pt idx="5">
                  <c:v>12.5</c:v>
                </c:pt>
                <c:pt idx="6">
                  <c:v>17.5</c:v>
                </c:pt>
                <c:pt idx="7">
                  <c:v>21</c:v>
                </c:pt>
                <c:pt idx="8">
                  <c:v>22.5</c:v>
                </c:pt>
                <c:pt idx="9">
                  <c:v>24</c:v>
                </c:pt>
                <c:pt idx="10">
                  <c:v>27.5</c:v>
                </c:pt>
                <c:pt idx="11">
                  <c:v>34</c:v>
                </c:pt>
                <c:pt idx="12">
                  <c:v>41.5</c:v>
                </c:pt>
                <c:pt idx="13">
                  <c:v>49</c:v>
                </c:pt>
                <c:pt idx="14">
                  <c:v>59</c:v>
                </c:pt>
                <c:pt idx="15">
                  <c:v>70</c:v>
                </c:pt>
                <c:pt idx="16">
                  <c:v>77.5</c:v>
                </c:pt>
                <c:pt idx="17">
                  <c:v>85</c:v>
                </c:pt>
                <c:pt idx="18">
                  <c:v>92.5</c:v>
                </c:pt>
                <c:pt idx="19">
                  <c:v>97.5</c:v>
                </c:pt>
                <c:pt idx="20">
                  <c:v>102.5</c:v>
                </c:pt>
                <c:pt idx="21">
                  <c:v>107.5</c:v>
                </c:pt>
                <c:pt idx="22">
                  <c:v>112.5</c:v>
                </c:pt>
                <c:pt idx="23">
                  <c:v>117.5</c:v>
                </c:pt>
                <c:pt idx="24">
                  <c:v>122.5</c:v>
                </c:pt>
                <c:pt idx="25">
                  <c:v>137.5</c:v>
                </c:pt>
                <c:pt idx="26">
                  <c:v>225</c:v>
                </c:pt>
                <c:pt idx="27">
                  <c:v>350</c:v>
                </c:pt>
                <c:pt idx="28">
                  <c:v>450</c:v>
                </c:pt>
                <c:pt idx="29">
                  <c:v>750</c:v>
                </c:pt>
                <c:pt idx="30">
                  <c:v>1500</c:v>
                </c:pt>
                <c:pt idx="31">
                  <c:v>3000</c:v>
                </c:pt>
                <c:pt idx="32">
                  <c:v>5350</c:v>
                </c:pt>
              </c:numCache>
            </c:numRef>
          </c:xVal>
          <c:yVal>
            <c:numRef>
              <c:f>'5. Grain Size Distribution'!$G$119:$G$151</c:f>
              <c:numCache>
                <c:formatCode>0%</c:formatCode>
                <c:ptCount val="33"/>
                <c:pt idx="0">
                  <c:v>0</c:v>
                </c:pt>
                <c:pt idx="1">
                  <c:v>0</c:v>
                </c:pt>
                <c:pt idx="2">
                  <c:v>0</c:v>
                </c:pt>
                <c:pt idx="3">
                  <c:v>0</c:v>
                </c:pt>
                <c:pt idx="4">
                  <c:v>2.4858054573687664E-2</c:v>
                </c:pt>
                <c:pt idx="5">
                  <c:v>7.4197731880803461E-2</c:v>
                </c:pt>
                <c:pt idx="6">
                  <c:v>9.3840379892827133E-2</c:v>
                </c:pt>
                <c:pt idx="7">
                  <c:v>0.13360882574857511</c:v>
                </c:pt>
                <c:pt idx="8">
                  <c:v>0.1779042344630308</c:v>
                </c:pt>
                <c:pt idx="9">
                  <c:v>0.20469311314421731</c:v>
                </c:pt>
                <c:pt idx="10">
                  <c:v>0.28045795400749318</c:v>
                </c:pt>
                <c:pt idx="11">
                  <c:v>0.41300932940900786</c:v>
                </c:pt>
                <c:pt idx="12">
                  <c:v>0.52311891147784007</c:v>
                </c:pt>
                <c:pt idx="13">
                  <c:v>0.62380170349703323</c:v>
                </c:pt>
                <c:pt idx="14">
                  <c:v>0.73555373895239029</c:v>
                </c:pt>
                <c:pt idx="15">
                  <c:v>0.78811265698762911</c:v>
                </c:pt>
                <c:pt idx="16">
                  <c:v>0.83219534663469441</c:v>
                </c:pt>
                <c:pt idx="17">
                  <c:v>0.85579907221235052</c:v>
                </c:pt>
                <c:pt idx="18">
                  <c:v>0.86953749443259609</c:v>
                </c:pt>
                <c:pt idx="19">
                  <c:v>0.86953749443259609</c:v>
                </c:pt>
                <c:pt idx="20">
                  <c:v>0.88034678772615338</c:v>
                </c:pt>
                <c:pt idx="21">
                  <c:v>0.88034678772615338</c:v>
                </c:pt>
                <c:pt idx="22">
                  <c:v>0.92480891343076987</c:v>
                </c:pt>
                <c:pt idx="23">
                  <c:v>0.96697474175295972</c:v>
                </c:pt>
                <c:pt idx="24">
                  <c:v>0.96697474175295972</c:v>
                </c:pt>
                <c:pt idx="25">
                  <c:v>0.96697474175295972</c:v>
                </c:pt>
                <c:pt idx="26">
                  <c:v>1</c:v>
                </c:pt>
                <c:pt idx="27">
                  <c:v>1</c:v>
                </c:pt>
                <c:pt idx="28">
                  <c:v>1</c:v>
                </c:pt>
                <c:pt idx="29">
                  <c:v>1</c:v>
                </c:pt>
                <c:pt idx="30">
                  <c:v>1</c:v>
                </c:pt>
                <c:pt idx="31">
                  <c:v>1</c:v>
                </c:pt>
                <c:pt idx="32">
                  <c:v>1</c:v>
                </c:pt>
              </c:numCache>
            </c:numRef>
          </c:yVal>
          <c:smooth val="1"/>
          <c:extLst>
            <c:ext xmlns:c16="http://schemas.microsoft.com/office/drawing/2014/chart" uri="{C3380CC4-5D6E-409C-BE32-E72D297353CC}">
              <c16:uniqueId val="{00000004-CC3E-0743-9E34-E0DC91735B71}"/>
            </c:ext>
          </c:extLst>
        </c:ser>
        <c:ser>
          <c:idx val="5"/>
          <c:order val="5"/>
          <c:tx>
            <c:strRef>
              <c:f>'5. Grain Size Distribution'!$I$3</c:f>
              <c:strCache>
                <c:ptCount val="1"/>
                <c:pt idx="0">
                  <c:v>-150/+0</c:v>
                </c:pt>
              </c:strCache>
            </c:strRef>
          </c:tx>
          <c:spPr>
            <a:ln w="22225" cap="rnd">
              <a:solidFill>
                <a:schemeClr val="accent6"/>
              </a:solidFill>
              <a:round/>
            </a:ln>
            <a:effectLst/>
          </c:spPr>
          <c:marker>
            <c:symbol val="circle"/>
            <c:size val="6"/>
            <c:spPr>
              <a:solidFill>
                <a:schemeClr val="accent6"/>
              </a:solidFill>
              <a:ln w="9525">
                <a:solidFill>
                  <a:schemeClr val="accent6"/>
                </a:solidFill>
                <a:round/>
              </a:ln>
              <a:effectLst/>
            </c:spPr>
          </c:marker>
          <c:xVal>
            <c:numRef>
              <c:f>'5. Grain Size Distribution'!$H$119:$H$143</c:f>
              <c:numCache>
                <c:formatCode>General</c:formatCode>
                <c:ptCount val="25"/>
                <c:pt idx="0">
                  <c:v>0.5</c:v>
                </c:pt>
                <c:pt idx="1">
                  <c:v>2</c:v>
                </c:pt>
                <c:pt idx="2">
                  <c:v>4</c:v>
                </c:pt>
                <c:pt idx="3">
                  <c:v>6</c:v>
                </c:pt>
                <c:pt idx="4">
                  <c:v>8.5</c:v>
                </c:pt>
                <c:pt idx="5">
                  <c:v>12.5</c:v>
                </c:pt>
                <c:pt idx="6">
                  <c:v>17.5</c:v>
                </c:pt>
                <c:pt idx="7">
                  <c:v>22.5</c:v>
                </c:pt>
                <c:pt idx="8">
                  <c:v>27.5</c:v>
                </c:pt>
                <c:pt idx="9">
                  <c:v>34</c:v>
                </c:pt>
                <c:pt idx="10">
                  <c:v>41.5</c:v>
                </c:pt>
                <c:pt idx="11">
                  <c:v>49</c:v>
                </c:pt>
                <c:pt idx="12">
                  <c:v>64</c:v>
                </c:pt>
                <c:pt idx="13">
                  <c:v>77.5</c:v>
                </c:pt>
                <c:pt idx="14">
                  <c:v>85</c:v>
                </c:pt>
                <c:pt idx="15">
                  <c:v>92.5</c:v>
                </c:pt>
                <c:pt idx="16">
                  <c:v>97.5</c:v>
                </c:pt>
                <c:pt idx="17">
                  <c:v>102.5</c:v>
                </c:pt>
                <c:pt idx="18">
                  <c:v>107.5</c:v>
                </c:pt>
                <c:pt idx="19">
                  <c:v>112.5</c:v>
                </c:pt>
                <c:pt idx="20">
                  <c:v>117.5</c:v>
                </c:pt>
                <c:pt idx="21">
                  <c:v>122.5</c:v>
                </c:pt>
                <c:pt idx="22">
                  <c:v>137.5</c:v>
                </c:pt>
                <c:pt idx="23">
                  <c:v>225</c:v>
                </c:pt>
                <c:pt idx="24">
                  <c:v>300</c:v>
                </c:pt>
              </c:numCache>
            </c:numRef>
          </c:xVal>
          <c:yVal>
            <c:numRef>
              <c:f>'5. Grain Size Distribution'!$I$119:$I$143</c:f>
              <c:numCache>
                <c:formatCode>0%</c:formatCode>
                <c:ptCount val="25"/>
                <c:pt idx="0">
                  <c:v>0</c:v>
                </c:pt>
                <c:pt idx="1">
                  <c:v>0</c:v>
                </c:pt>
                <c:pt idx="2">
                  <c:v>0</c:v>
                </c:pt>
                <c:pt idx="3">
                  <c:v>0.10155973324983737</c:v>
                </c:pt>
                <c:pt idx="4">
                  <c:v>0.1833615624886471</c:v>
                </c:pt>
                <c:pt idx="5">
                  <c:v>0.35970767567314954</c:v>
                </c:pt>
                <c:pt idx="6">
                  <c:v>0.4998646967286276</c:v>
                </c:pt>
                <c:pt idx="7">
                  <c:v>0.60636042661422251</c:v>
                </c:pt>
                <c:pt idx="8">
                  <c:v>0.68936074259954361</c:v>
                </c:pt>
                <c:pt idx="9">
                  <c:v>0.78512646404579234</c:v>
                </c:pt>
                <c:pt idx="10">
                  <c:v>0.8581808052895481</c:v>
                </c:pt>
                <c:pt idx="11">
                  <c:v>0.89726231316944416</c:v>
                </c:pt>
                <c:pt idx="12">
                  <c:v>0.97649455637515825</c:v>
                </c:pt>
                <c:pt idx="13">
                  <c:v>0.97649455637515825</c:v>
                </c:pt>
                <c:pt idx="14">
                  <c:v>0.98169621003171315</c:v>
                </c:pt>
                <c:pt idx="15">
                  <c:v>0.98169621003171315</c:v>
                </c:pt>
                <c:pt idx="16">
                  <c:v>0.98169621003171315</c:v>
                </c:pt>
                <c:pt idx="17">
                  <c:v>0.98169621003171315</c:v>
                </c:pt>
                <c:pt idx="18">
                  <c:v>0.98169621003171315</c:v>
                </c:pt>
                <c:pt idx="19">
                  <c:v>0.98169621003171315</c:v>
                </c:pt>
                <c:pt idx="20">
                  <c:v>0.98169621003171315</c:v>
                </c:pt>
                <c:pt idx="21">
                  <c:v>0.98169621003171315</c:v>
                </c:pt>
                <c:pt idx="22">
                  <c:v>1</c:v>
                </c:pt>
                <c:pt idx="23">
                  <c:v>1</c:v>
                </c:pt>
                <c:pt idx="24">
                  <c:v>1</c:v>
                </c:pt>
              </c:numCache>
            </c:numRef>
          </c:yVal>
          <c:smooth val="1"/>
          <c:extLst>
            <c:ext xmlns:c16="http://schemas.microsoft.com/office/drawing/2014/chart" uri="{C3380CC4-5D6E-409C-BE32-E72D297353CC}">
              <c16:uniqueId val="{00000005-CC3E-0743-9E34-E0DC91735B71}"/>
            </c:ext>
          </c:extLst>
        </c:ser>
        <c:ser>
          <c:idx val="12"/>
          <c:order val="6"/>
          <c:tx>
            <c:strRef>
              <c:f>'5. Grain Size Distribution'!$K$117</c:f>
              <c:strCache>
                <c:ptCount val="1"/>
                <c:pt idx="0">
                  <c:v>SCT</c:v>
                </c:pt>
              </c:strCache>
            </c:strRef>
          </c:tx>
          <c:spPr>
            <a:ln w="22225" cap="rnd">
              <a:solidFill>
                <a:schemeClr val="accent2"/>
              </a:solidFill>
              <a:round/>
            </a:ln>
            <a:effectLst/>
          </c:spPr>
          <c:marker>
            <c:symbol val="plus"/>
            <c:size val="10"/>
            <c:spPr>
              <a:noFill/>
              <a:ln w="9525">
                <a:solidFill>
                  <a:schemeClr val="accent2"/>
                </a:solidFill>
                <a:round/>
              </a:ln>
              <a:effectLst/>
            </c:spPr>
          </c:marker>
          <c:xVal>
            <c:numRef>
              <c:f>'5. Grain Size Distribution'!$J$119:$J$143</c:f>
              <c:numCache>
                <c:formatCode>General</c:formatCode>
                <c:ptCount val="25"/>
                <c:pt idx="0">
                  <c:v>0.5</c:v>
                </c:pt>
                <c:pt idx="1">
                  <c:v>2</c:v>
                </c:pt>
                <c:pt idx="2">
                  <c:v>4</c:v>
                </c:pt>
                <c:pt idx="3">
                  <c:v>6</c:v>
                </c:pt>
                <c:pt idx="4">
                  <c:v>8.5</c:v>
                </c:pt>
                <c:pt idx="5">
                  <c:v>12.5</c:v>
                </c:pt>
                <c:pt idx="6">
                  <c:v>17.5</c:v>
                </c:pt>
                <c:pt idx="7">
                  <c:v>22.5</c:v>
                </c:pt>
                <c:pt idx="8">
                  <c:v>27.5</c:v>
                </c:pt>
                <c:pt idx="9">
                  <c:v>34</c:v>
                </c:pt>
                <c:pt idx="10">
                  <c:v>41.5</c:v>
                </c:pt>
                <c:pt idx="11">
                  <c:v>49</c:v>
                </c:pt>
                <c:pt idx="12">
                  <c:v>64</c:v>
                </c:pt>
                <c:pt idx="13">
                  <c:v>77.5</c:v>
                </c:pt>
                <c:pt idx="14">
                  <c:v>85</c:v>
                </c:pt>
                <c:pt idx="15">
                  <c:v>92.5</c:v>
                </c:pt>
                <c:pt idx="16">
                  <c:v>97.5</c:v>
                </c:pt>
                <c:pt idx="17">
                  <c:v>102.5</c:v>
                </c:pt>
                <c:pt idx="18">
                  <c:v>107.5</c:v>
                </c:pt>
                <c:pt idx="19">
                  <c:v>112.5</c:v>
                </c:pt>
                <c:pt idx="20">
                  <c:v>117.5</c:v>
                </c:pt>
                <c:pt idx="21">
                  <c:v>122.5</c:v>
                </c:pt>
                <c:pt idx="22">
                  <c:v>137.5</c:v>
                </c:pt>
                <c:pt idx="23">
                  <c:v>225</c:v>
                </c:pt>
                <c:pt idx="24">
                  <c:v>300</c:v>
                </c:pt>
              </c:numCache>
            </c:numRef>
          </c:xVal>
          <c:yVal>
            <c:numRef>
              <c:f>'5. Grain Size Distribution'!$K$119:$K$143</c:f>
              <c:numCache>
                <c:formatCode>0%</c:formatCode>
                <c:ptCount val="25"/>
                <c:pt idx="0">
                  <c:v>0</c:v>
                </c:pt>
                <c:pt idx="1">
                  <c:v>0</c:v>
                </c:pt>
                <c:pt idx="2">
                  <c:v>0.18472801331074917</c:v>
                </c:pt>
                <c:pt idx="3">
                  <c:v>0.25479708678937402</c:v>
                </c:pt>
                <c:pt idx="4">
                  <c:v>0.42081441413917675</c:v>
                </c:pt>
                <c:pt idx="5">
                  <c:v>0.61278088545951404</c:v>
                </c:pt>
                <c:pt idx="6">
                  <c:v>0.76611078565373614</c:v>
                </c:pt>
                <c:pt idx="7">
                  <c:v>0.8594870844399628</c:v>
                </c:pt>
                <c:pt idx="8">
                  <c:v>0.92017477435055872</c:v>
                </c:pt>
                <c:pt idx="9">
                  <c:v>0.95213253260240049</c:v>
                </c:pt>
                <c:pt idx="10">
                  <c:v>0.97140193254387053</c:v>
                </c:pt>
                <c:pt idx="11">
                  <c:v>0.98800505566210939</c:v>
                </c:pt>
                <c:pt idx="12">
                  <c:v>1</c:v>
                </c:pt>
                <c:pt idx="13">
                  <c:v>1</c:v>
                </c:pt>
                <c:pt idx="14">
                  <c:v>1</c:v>
                </c:pt>
                <c:pt idx="15">
                  <c:v>1</c:v>
                </c:pt>
                <c:pt idx="16">
                  <c:v>1</c:v>
                </c:pt>
                <c:pt idx="17">
                  <c:v>1</c:v>
                </c:pt>
                <c:pt idx="18">
                  <c:v>1</c:v>
                </c:pt>
                <c:pt idx="19">
                  <c:v>1</c:v>
                </c:pt>
                <c:pt idx="20">
                  <c:v>1</c:v>
                </c:pt>
                <c:pt idx="21">
                  <c:v>1</c:v>
                </c:pt>
                <c:pt idx="22">
                  <c:v>1</c:v>
                </c:pt>
                <c:pt idx="23">
                  <c:v>1</c:v>
                </c:pt>
                <c:pt idx="24">
                  <c:v>1</c:v>
                </c:pt>
              </c:numCache>
            </c:numRef>
          </c:yVal>
          <c:smooth val="1"/>
          <c:extLst>
            <c:ext xmlns:c16="http://schemas.microsoft.com/office/drawing/2014/chart" uri="{C3380CC4-5D6E-409C-BE32-E72D297353CC}">
              <c16:uniqueId val="{00000000-223C-8845-B862-FB876C7EBA13}"/>
            </c:ext>
          </c:extLst>
        </c:ser>
        <c:ser>
          <c:idx val="6"/>
          <c:order val="7"/>
          <c:tx>
            <c:strRef>
              <c:f>'5. Grain Size Distribution'!$Q$144</c:f>
              <c:strCache>
                <c:ptCount val="1"/>
                <c:pt idx="0">
                  <c:v>HCT L85</c:v>
                </c:pt>
              </c:strCache>
            </c:strRef>
          </c:tx>
          <c:spPr>
            <a:ln w="22225" cap="rnd">
              <a:noFill/>
              <a:round/>
            </a:ln>
            <a:effectLst/>
          </c:spPr>
          <c:marker>
            <c:symbol val="diamond"/>
            <c:size val="10"/>
            <c:spPr>
              <a:solidFill>
                <a:schemeClr val="accent1"/>
              </a:solidFill>
              <a:ln w="9525">
                <a:noFill/>
                <a:round/>
              </a:ln>
              <a:effectLst/>
            </c:spPr>
          </c:marker>
          <c:xVal>
            <c:numRef>
              <c:f>'5. Grain Size Distribution'!$R$144</c:f>
              <c:numCache>
                <c:formatCode>General</c:formatCode>
                <c:ptCount val="1"/>
                <c:pt idx="0">
                  <c:v>110</c:v>
                </c:pt>
              </c:numCache>
            </c:numRef>
          </c:xVal>
          <c:yVal>
            <c:numRef>
              <c:f>'5. Grain Size Distribution'!$S$144</c:f>
              <c:numCache>
                <c:formatCode>0%</c:formatCode>
                <c:ptCount val="1"/>
                <c:pt idx="0">
                  <c:v>0.85</c:v>
                </c:pt>
              </c:numCache>
            </c:numRef>
          </c:yVal>
          <c:smooth val="1"/>
          <c:extLst>
            <c:ext xmlns:c16="http://schemas.microsoft.com/office/drawing/2014/chart" uri="{C3380CC4-5D6E-409C-BE32-E72D297353CC}">
              <c16:uniqueId val="{00000006-CC3E-0743-9E34-E0DC91735B71}"/>
            </c:ext>
          </c:extLst>
        </c:ser>
        <c:ser>
          <c:idx val="7"/>
          <c:order val="8"/>
          <c:tx>
            <c:strRef>
              <c:f>'5. Grain Size Distribution'!$Q$145</c:f>
              <c:strCache>
                <c:ptCount val="1"/>
                <c:pt idx="0">
                  <c:v>-6700/+2000 L85</c:v>
                </c:pt>
              </c:strCache>
            </c:strRef>
          </c:tx>
          <c:spPr>
            <a:ln w="22225" cap="rnd">
              <a:noFill/>
              <a:round/>
            </a:ln>
            <a:effectLst/>
          </c:spPr>
          <c:marker>
            <c:symbol val="diamond"/>
            <c:size val="10"/>
            <c:spPr>
              <a:solidFill>
                <a:schemeClr val="accent2"/>
              </a:solidFill>
              <a:ln w="9525">
                <a:noFill/>
                <a:round/>
              </a:ln>
              <a:effectLst/>
            </c:spPr>
          </c:marker>
          <c:xVal>
            <c:numRef>
              <c:f>'5. Grain Size Distribution'!$R$145</c:f>
              <c:numCache>
                <c:formatCode>General</c:formatCode>
                <c:ptCount val="1"/>
                <c:pt idx="0">
                  <c:v>120</c:v>
                </c:pt>
              </c:numCache>
            </c:numRef>
          </c:xVal>
          <c:yVal>
            <c:numRef>
              <c:f>'5. Grain Size Distribution'!$S$145</c:f>
              <c:numCache>
                <c:formatCode>0%</c:formatCode>
                <c:ptCount val="1"/>
                <c:pt idx="0">
                  <c:v>0.85</c:v>
                </c:pt>
              </c:numCache>
            </c:numRef>
          </c:yVal>
          <c:smooth val="1"/>
          <c:extLst>
            <c:ext xmlns:c16="http://schemas.microsoft.com/office/drawing/2014/chart" uri="{C3380CC4-5D6E-409C-BE32-E72D297353CC}">
              <c16:uniqueId val="{00000007-CC3E-0743-9E34-E0DC91735B71}"/>
            </c:ext>
          </c:extLst>
        </c:ser>
        <c:ser>
          <c:idx val="8"/>
          <c:order val="9"/>
          <c:tx>
            <c:strRef>
              <c:f>'5. Grain Size Distribution'!$Q$146</c:f>
              <c:strCache>
                <c:ptCount val="1"/>
                <c:pt idx="0">
                  <c:v>-2000/+1000 L85</c:v>
                </c:pt>
              </c:strCache>
            </c:strRef>
          </c:tx>
          <c:spPr>
            <a:ln w="22225" cap="rnd">
              <a:noFill/>
              <a:round/>
            </a:ln>
            <a:effectLst/>
          </c:spPr>
          <c:marker>
            <c:symbol val="triangle"/>
            <c:size val="10"/>
            <c:spPr>
              <a:solidFill>
                <a:schemeClr val="accent3"/>
              </a:solidFill>
              <a:ln w="9525">
                <a:noFill/>
                <a:round/>
              </a:ln>
              <a:effectLst/>
            </c:spPr>
          </c:marker>
          <c:xVal>
            <c:numRef>
              <c:f>'5. Grain Size Distribution'!$R$146</c:f>
              <c:numCache>
                <c:formatCode>General</c:formatCode>
                <c:ptCount val="1"/>
                <c:pt idx="0">
                  <c:v>120</c:v>
                </c:pt>
              </c:numCache>
            </c:numRef>
          </c:xVal>
          <c:yVal>
            <c:numRef>
              <c:f>'5. Grain Size Distribution'!$S$146</c:f>
              <c:numCache>
                <c:formatCode>0%</c:formatCode>
                <c:ptCount val="1"/>
                <c:pt idx="0">
                  <c:v>0.85</c:v>
                </c:pt>
              </c:numCache>
            </c:numRef>
          </c:yVal>
          <c:smooth val="1"/>
          <c:extLst>
            <c:ext xmlns:c16="http://schemas.microsoft.com/office/drawing/2014/chart" uri="{C3380CC4-5D6E-409C-BE32-E72D297353CC}">
              <c16:uniqueId val="{00000008-CC3E-0743-9E34-E0DC91735B71}"/>
            </c:ext>
          </c:extLst>
        </c:ser>
        <c:ser>
          <c:idx val="9"/>
          <c:order val="10"/>
          <c:tx>
            <c:strRef>
              <c:f>'5. Grain Size Distribution'!$Q$147</c:f>
              <c:strCache>
                <c:ptCount val="1"/>
                <c:pt idx="0">
                  <c:v>-1000/+425 L85</c:v>
                </c:pt>
              </c:strCache>
            </c:strRef>
          </c:tx>
          <c:spPr>
            <a:ln w="22225" cap="rnd">
              <a:noFill/>
              <a:round/>
            </a:ln>
            <a:effectLst/>
          </c:spPr>
          <c:marker>
            <c:symbol val="square"/>
            <c:size val="10"/>
            <c:spPr>
              <a:solidFill>
                <a:schemeClr val="accent4"/>
              </a:solidFill>
              <a:ln w="9525">
                <a:noFill/>
                <a:round/>
              </a:ln>
              <a:effectLst/>
            </c:spPr>
          </c:marker>
          <c:xVal>
            <c:numRef>
              <c:f>'5. Grain Size Distribution'!$R$147</c:f>
              <c:numCache>
                <c:formatCode>General</c:formatCode>
                <c:ptCount val="1"/>
                <c:pt idx="0">
                  <c:v>80</c:v>
                </c:pt>
              </c:numCache>
            </c:numRef>
          </c:xVal>
          <c:yVal>
            <c:numRef>
              <c:f>'5. Grain Size Distribution'!$S$147</c:f>
              <c:numCache>
                <c:formatCode>0%</c:formatCode>
                <c:ptCount val="1"/>
                <c:pt idx="0">
                  <c:v>0.85</c:v>
                </c:pt>
              </c:numCache>
            </c:numRef>
          </c:yVal>
          <c:smooth val="1"/>
          <c:extLst>
            <c:ext xmlns:c16="http://schemas.microsoft.com/office/drawing/2014/chart" uri="{C3380CC4-5D6E-409C-BE32-E72D297353CC}">
              <c16:uniqueId val="{00000009-CC3E-0743-9E34-E0DC91735B71}"/>
            </c:ext>
          </c:extLst>
        </c:ser>
        <c:ser>
          <c:idx val="10"/>
          <c:order val="11"/>
          <c:tx>
            <c:strRef>
              <c:f>'5. Grain Size Distribution'!$Q$148</c:f>
              <c:strCache>
                <c:ptCount val="1"/>
                <c:pt idx="0">
                  <c:v>-425/+150 L85</c:v>
                </c:pt>
              </c:strCache>
            </c:strRef>
          </c:tx>
          <c:spPr>
            <a:ln w="22225" cap="rnd">
              <a:noFill/>
              <a:round/>
            </a:ln>
            <a:effectLst/>
          </c:spPr>
          <c:marker>
            <c:symbol val="star"/>
            <c:size val="10"/>
            <c:spPr>
              <a:noFill/>
              <a:ln w="9525">
                <a:solidFill>
                  <a:schemeClr val="accent5"/>
                </a:solidFill>
                <a:round/>
              </a:ln>
              <a:effectLst/>
            </c:spPr>
          </c:marker>
          <c:xVal>
            <c:numRef>
              <c:f>'5. Grain Size Distribution'!$R$148</c:f>
              <c:numCache>
                <c:formatCode>General</c:formatCode>
                <c:ptCount val="1"/>
                <c:pt idx="0">
                  <c:v>80</c:v>
                </c:pt>
              </c:numCache>
            </c:numRef>
          </c:xVal>
          <c:yVal>
            <c:numRef>
              <c:f>'5. Grain Size Distribution'!$S$148</c:f>
              <c:numCache>
                <c:formatCode>0%</c:formatCode>
                <c:ptCount val="1"/>
                <c:pt idx="0">
                  <c:v>0.85</c:v>
                </c:pt>
              </c:numCache>
            </c:numRef>
          </c:yVal>
          <c:smooth val="1"/>
          <c:extLst>
            <c:ext xmlns:c16="http://schemas.microsoft.com/office/drawing/2014/chart" uri="{C3380CC4-5D6E-409C-BE32-E72D297353CC}">
              <c16:uniqueId val="{0000000A-CC3E-0743-9E34-E0DC91735B71}"/>
            </c:ext>
          </c:extLst>
        </c:ser>
        <c:ser>
          <c:idx val="11"/>
          <c:order val="12"/>
          <c:tx>
            <c:strRef>
              <c:f>'5. Grain Size Distribution'!$Q$149</c:f>
              <c:strCache>
                <c:ptCount val="1"/>
                <c:pt idx="0">
                  <c:v>-150/+0 L85</c:v>
                </c:pt>
              </c:strCache>
            </c:strRef>
          </c:tx>
          <c:spPr>
            <a:ln w="22225" cap="rnd">
              <a:noFill/>
              <a:round/>
            </a:ln>
            <a:effectLst/>
          </c:spPr>
          <c:marker>
            <c:symbol val="circle"/>
            <c:size val="10"/>
            <c:spPr>
              <a:solidFill>
                <a:schemeClr val="accent6"/>
              </a:solidFill>
              <a:ln w="9525">
                <a:noFill/>
                <a:round/>
              </a:ln>
              <a:effectLst/>
            </c:spPr>
          </c:marker>
          <c:xVal>
            <c:numRef>
              <c:f>'5. Grain Size Distribution'!$R$149</c:f>
              <c:numCache>
                <c:formatCode>General</c:formatCode>
                <c:ptCount val="1"/>
                <c:pt idx="0">
                  <c:v>42</c:v>
                </c:pt>
              </c:numCache>
            </c:numRef>
          </c:xVal>
          <c:yVal>
            <c:numRef>
              <c:f>'5. Grain Size Distribution'!$S$149</c:f>
              <c:numCache>
                <c:formatCode>0%</c:formatCode>
                <c:ptCount val="1"/>
                <c:pt idx="0">
                  <c:v>0.85</c:v>
                </c:pt>
              </c:numCache>
            </c:numRef>
          </c:yVal>
          <c:smooth val="1"/>
          <c:extLst>
            <c:ext xmlns:c16="http://schemas.microsoft.com/office/drawing/2014/chart" uri="{C3380CC4-5D6E-409C-BE32-E72D297353CC}">
              <c16:uniqueId val="{0000000B-CC3E-0743-9E34-E0DC91735B71}"/>
            </c:ext>
          </c:extLst>
        </c:ser>
        <c:ser>
          <c:idx val="13"/>
          <c:order val="13"/>
          <c:tx>
            <c:strRef>
              <c:f>'5. Grain Size Distribution'!$Q$150</c:f>
              <c:strCache>
                <c:ptCount val="1"/>
                <c:pt idx="0">
                  <c:v>SCT L85</c:v>
                </c:pt>
              </c:strCache>
            </c:strRef>
          </c:tx>
          <c:spPr>
            <a:ln w="22225" cap="rnd">
              <a:noFill/>
              <a:round/>
            </a:ln>
            <a:effectLst/>
          </c:spPr>
          <c:marker>
            <c:symbol val="plus"/>
            <c:size val="10"/>
            <c:spPr>
              <a:noFill/>
              <a:ln w="9525">
                <a:solidFill>
                  <a:schemeClr val="accent2"/>
                </a:solidFill>
                <a:round/>
              </a:ln>
              <a:effectLst/>
            </c:spPr>
          </c:marker>
          <c:xVal>
            <c:numRef>
              <c:f>'5. Grain Size Distribution'!$R$150</c:f>
              <c:numCache>
                <c:formatCode>General</c:formatCode>
                <c:ptCount val="1"/>
                <c:pt idx="0">
                  <c:v>22</c:v>
                </c:pt>
              </c:numCache>
            </c:numRef>
          </c:xVal>
          <c:yVal>
            <c:numRef>
              <c:f>'5. Grain Size Distribution'!$S$150</c:f>
              <c:numCache>
                <c:formatCode>0%</c:formatCode>
                <c:ptCount val="1"/>
                <c:pt idx="0">
                  <c:v>0.85</c:v>
                </c:pt>
              </c:numCache>
            </c:numRef>
          </c:yVal>
          <c:smooth val="1"/>
          <c:extLst>
            <c:ext xmlns:c16="http://schemas.microsoft.com/office/drawing/2014/chart" uri="{C3380CC4-5D6E-409C-BE32-E72D297353CC}">
              <c16:uniqueId val="{00000001-223C-8845-B862-FB876C7EBA13}"/>
            </c:ext>
          </c:extLst>
        </c:ser>
        <c:dLbls>
          <c:showLegendKey val="0"/>
          <c:showVal val="0"/>
          <c:showCatName val="0"/>
          <c:showSerName val="0"/>
          <c:showPercent val="0"/>
          <c:showBubbleSize val="0"/>
        </c:dLbls>
        <c:axId val="269554336"/>
        <c:axId val="269554728"/>
      </c:scatterChart>
      <c:valAx>
        <c:axId val="269554336"/>
        <c:scaling>
          <c:logBase val="10"/>
          <c:orientation val="minMax"/>
          <c:min val="0.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r>
                  <a:rPr lang="en-GB"/>
                  <a:t>Aperture size [µm]</a:t>
                </a:r>
              </a:p>
            </c:rich>
          </c:tx>
          <c:overlay val="0"/>
          <c:spPr>
            <a:noFill/>
            <a:ln>
              <a:noFill/>
            </a:ln>
            <a:effectLst/>
          </c:spPr>
          <c:txPr>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69554728"/>
        <c:crosses val="autoZero"/>
        <c:crossBetween val="midCat"/>
      </c:valAx>
      <c:valAx>
        <c:axId val="269554728"/>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r>
                  <a:rPr lang="en-GB"/>
                  <a:t>Cumulative % passing</a:t>
                </a:r>
              </a:p>
            </c:rich>
          </c:tx>
          <c:overlay val="0"/>
          <c:spPr>
            <a:noFill/>
            <a:ln>
              <a:noFill/>
            </a:ln>
            <a:effectLst/>
          </c:spPr>
          <c:txPr>
            <a:bodyPr rot="-54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low"/>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69554336"/>
        <c:crosses val="autoZero"/>
        <c:crossBetween val="midCat"/>
      </c:valAx>
      <c:spPr>
        <a:noFill/>
        <a:ln>
          <a:noFill/>
        </a:ln>
        <a:effectLst/>
      </c:spPr>
    </c:plotArea>
    <c:legend>
      <c:legendPos val="t"/>
      <c:layout>
        <c:manualLayout>
          <c:xMode val="edge"/>
          <c:yMode val="edge"/>
          <c:x val="0.79172080706278403"/>
          <c:y val="8.918741222198287E-2"/>
          <c:w val="0.20143744550555576"/>
          <c:h val="0.87810293532056671"/>
        </c:manualLayout>
      </c:layout>
      <c:overlay val="0"/>
      <c:spPr>
        <a:noFill/>
        <a:ln>
          <a:noFill/>
        </a:ln>
        <a:effectLst/>
      </c:spPr>
      <c:txPr>
        <a:bodyPr rot="0" spcFirstLastPara="1" vertOverflow="ellipsis" vert="horz" wrap="square" anchor="ctr" anchorCtr="1"/>
        <a:lstStyle/>
        <a:p>
          <a:pPr>
            <a:defRPr sz="1200" b="0" i="0" u="none" strike="noStrike" kern="1200" cap="none"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lt1"/>
    </a:solidFill>
    <a:ln w="9525" cap="flat" cmpd="sng" algn="ctr">
      <a:noFill/>
      <a:round/>
    </a:ln>
    <a:effectLst/>
  </c:spPr>
  <c:txPr>
    <a:bodyPr/>
    <a:lstStyle/>
    <a:p>
      <a:pPr>
        <a:defRPr sz="1200" cap="none" baseline="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10030469674396"/>
          <c:y val="3.723927113862778E-2"/>
          <c:w val="0.85922106147272137"/>
          <c:h val="0.79081161795703803"/>
        </c:manualLayout>
      </c:layout>
      <c:scatterChart>
        <c:scatterStyle val="smoothMarker"/>
        <c:varyColors val="0"/>
        <c:ser>
          <c:idx val="0"/>
          <c:order val="0"/>
          <c:tx>
            <c:strRef>
              <c:f>'6. Sample A Conf. Intervals'!$A$33:$A$44</c:f>
              <c:strCache>
                <c:ptCount val="12"/>
                <c:pt idx="0">
                  <c:v>-6700/+2000</c:v>
                </c:pt>
              </c:strCache>
            </c:strRef>
          </c:tx>
          <c:spPr>
            <a:ln w="9525" cap="rnd">
              <a:solidFill>
                <a:schemeClr val="accent1"/>
              </a:solidFill>
              <a:round/>
            </a:ln>
            <a:effectLst/>
          </c:spPr>
          <c:marker>
            <c:symbol val="square"/>
            <c:size val="1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errBars>
            <c:errDir val="y"/>
            <c:errBarType val="both"/>
            <c:errValType val="cust"/>
            <c:noEndCap val="0"/>
            <c:plus>
              <c:numRef>
                <c:f>'6. Sample A Conf. Intervals'!$J$33:$J$44</c:f>
                <c:numCache>
                  <c:formatCode>General</c:formatCode>
                  <c:ptCount val="12"/>
                  <c:pt idx="0">
                    <c:v>0</c:v>
                  </c:pt>
                  <c:pt idx="1">
                    <c:v>0</c:v>
                  </c:pt>
                  <c:pt idx="2">
                    <c:v>8.4199101800297715E-2</c:v>
                  </c:pt>
                  <c:pt idx="3">
                    <c:v>0.11546085444791648</c:v>
                  </c:pt>
                  <c:pt idx="4">
                    <c:v>0.131281469129752</c:v>
                  </c:pt>
                  <c:pt idx="5">
                    <c:v>0.12745106138074205</c:v>
                  </c:pt>
                  <c:pt idx="6">
                    <c:v>0.12508077635843737</c:v>
                  </c:pt>
                  <c:pt idx="7">
                    <c:v>0</c:v>
                  </c:pt>
                  <c:pt idx="8">
                    <c:v>0</c:v>
                  </c:pt>
                  <c:pt idx="9">
                    <c:v>0</c:v>
                  </c:pt>
                  <c:pt idx="10">
                    <c:v>0</c:v>
                  </c:pt>
                  <c:pt idx="11">
                    <c:v>0</c:v>
                  </c:pt>
                </c:numCache>
              </c:numRef>
            </c:plus>
            <c:minus>
              <c:numRef>
                <c:f>'6. Sample A Conf. Intervals'!$J$33:$J$44</c:f>
                <c:numCache>
                  <c:formatCode>General</c:formatCode>
                  <c:ptCount val="12"/>
                  <c:pt idx="0">
                    <c:v>0</c:v>
                  </c:pt>
                  <c:pt idx="1">
                    <c:v>0</c:v>
                  </c:pt>
                  <c:pt idx="2">
                    <c:v>8.4199101800297715E-2</c:v>
                  </c:pt>
                  <c:pt idx="3">
                    <c:v>0.11546085444791648</c:v>
                  </c:pt>
                  <c:pt idx="4">
                    <c:v>0.131281469129752</c:v>
                  </c:pt>
                  <c:pt idx="5">
                    <c:v>0.12745106138074205</c:v>
                  </c:pt>
                  <c:pt idx="6">
                    <c:v>0.12508077635843737</c:v>
                  </c:pt>
                  <c:pt idx="7">
                    <c:v>0</c:v>
                  </c:pt>
                  <c:pt idx="8">
                    <c:v>0</c:v>
                  </c:pt>
                  <c:pt idx="9">
                    <c:v>0</c:v>
                  </c:pt>
                  <c:pt idx="10">
                    <c:v>0</c:v>
                  </c:pt>
                  <c:pt idx="11">
                    <c:v>0</c:v>
                  </c:pt>
                </c:numCache>
              </c:numRef>
            </c:minus>
            <c:spPr>
              <a:noFill/>
              <a:ln w="9525">
                <a:solidFill>
                  <a:schemeClr val="tx2">
                    <a:lumMod val="75000"/>
                  </a:schemeClr>
                </a:solidFill>
                <a:round/>
              </a:ln>
              <a:effectLst/>
            </c:spPr>
          </c:errBars>
          <c:errBars>
            <c:errDir val="x"/>
            <c:errBarType val="both"/>
            <c:errValType val="fixedVal"/>
            <c:noEndCap val="0"/>
            <c:val val="0"/>
            <c:spPr>
              <a:noFill/>
              <a:ln w="9525">
                <a:solidFill>
                  <a:schemeClr val="tx2">
                    <a:lumMod val="75000"/>
                  </a:schemeClr>
                </a:solidFill>
                <a:round/>
              </a:ln>
              <a:effectLst/>
            </c:spPr>
          </c:errBars>
          <c:xVal>
            <c:numRef>
              <c:f>'6. Sample A Conf. Intervals'!$B$33:$B$44</c:f>
              <c:numCache>
                <c:formatCode>0%</c:formatCode>
                <c:ptCount val="12"/>
                <c:pt idx="0">
                  <c:v>0</c:v>
                </c:pt>
                <c:pt idx="1">
                  <c:v>0.05</c:v>
                </c:pt>
                <c:pt idx="2">
                  <c:v>0.15000000000000002</c:v>
                </c:pt>
                <c:pt idx="3">
                  <c:v>0.25</c:v>
                </c:pt>
                <c:pt idx="4">
                  <c:v>0.35</c:v>
                </c:pt>
                <c:pt idx="5">
                  <c:v>0.45</c:v>
                </c:pt>
                <c:pt idx="6">
                  <c:v>0.55000000000000004</c:v>
                </c:pt>
                <c:pt idx="7">
                  <c:v>0.64999999999999991</c:v>
                </c:pt>
                <c:pt idx="8">
                  <c:v>0.75</c:v>
                </c:pt>
                <c:pt idx="9">
                  <c:v>0.85000000000000009</c:v>
                </c:pt>
                <c:pt idx="10">
                  <c:v>0.95</c:v>
                </c:pt>
                <c:pt idx="11">
                  <c:v>1</c:v>
                </c:pt>
              </c:numCache>
            </c:numRef>
          </c:xVal>
          <c:yVal>
            <c:numRef>
              <c:f>'6. Sample A Conf. Intervals'!$E$33:$E$44</c:f>
              <c:numCache>
                <c:formatCode>0%</c:formatCode>
                <c:ptCount val="12"/>
                <c:pt idx="0">
                  <c:v>1</c:v>
                </c:pt>
                <c:pt idx="1">
                  <c:v>1</c:v>
                </c:pt>
                <c:pt idx="2">
                  <c:v>0.62038189282876499</c:v>
                </c:pt>
                <c:pt idx="3">
                  <c:v>0.36915025473490098</c:v>
                </c:pt>
                <c:pt idx="4">
                  <c:v>0.26554607629562599</c:v>
                </c:pt>
                <c:pt idx="5">
                  <c:v>0.16990588864698258</c:v>
                </c:pt>
                <c:pt idx="6">
                  <c:v>0.13040259283108738</c:v>
                </c:pt>
                <c:pt idx="7">
                  <c:v>3.8857805861880479E-16</c:v>
                </c:pt>
                <c:pt idx="8">
                  <c:v>3.8857805861880479E-16</c:v>
                </c:pt>
                <c:pt idx="9">
                  <c:v>3.8857805861880479E-16</c:v>
                </c:pt>
                <c:pt idx="10">
                  <c:v>3.8857805861880479E-16</c:v>
                </c:pt>
                <c:pt idx="11">
                  <c:v>3.8857805861880479E-16</c:v>
                </c:pt>
              </c:numCache>
            </c:numRef>
          </c:yVal>
          <c:smooth val="1"/>
          <c:extLst>
            <c:ext xmlns:c16="http://schemas.microsoft.com/office/drawing/2014/chart" uri="{C3380CC4-5D6E-409C-BE32-E72D297353CC}">
              <c16:uniqueId val="{00000000-0ADA-1D47-BBA2-812FDD70FF63}"/>
            </c:ext>
          </c:extLst>
        </c:ser>
        <c:ser>
          <c:idx val="3"/>
          <c:order val="1"/>
          <c:tx>
            <c:strRef>
              <c:f>'6. Sample A Conf. Intervals'!$A$45:$A$56</c:f>
              <c:strCache>
                <c:ptCount val="12"/>
                <c:pt idx="0">
                  <c:v>-2000/+1000</c:v>
                </c:pt>
              </c:strCache>
            </c:strRef>
          </c:tx>
          <c:spPr>
            <a:ln w="9525" cap="rnd">
              <a:solidFill>
                <a:schemeClr val="accent4"/>
              </a:solidFill>
              <a:round/>
            </a:ln>
            <a:effectLst/>
          </c:spPr>
          <c:marker>
            <c:symbol val="diamond"/>
            <c:size val="10"/>
            <c:spPr>
              <a:solidFill>
                <a:schemeClr val="accent4"/>
              </a:solidFill>
              <a:ln w="9525">
                <a:solidFill>
                  <a:schemeClr val="accent4"/>
                </a:solidFill>
                <a:round/>
              </a:ln>
              <a:effectLst/>
            </c:spPr>
          </c:marker>
          <c:errBars>
            <c:errDir val="y"/>
            <c:errBarType val="both"/>
            <c:errValType val="cust"/>
            <c:noEndCap val="0"/>
            <c:plus>
              <c:numRef>
                <c:f>'6. Sample A Conf. Intervals'!$J$45:$J$56</c:f>
                <c:numCache>
                  <c:formatCode>General</c:formatCode>
                  <c:ptCount val="12"/>
                  <c:pt idx="0">
                    <c:v>0</c:v>
                  </c:pt>
                  <c:pt idx="1">
                    <c:v>0</c:v>
                  </c:pt>
                  <c:pt idx="2">
                    <c:v>3.9129425089464098E-2</c:v>
                  </c:pt>
                  <c:pt idx="3">
                    <c:v>6.5953246061215678E-2</c:v>
                  </c:pt>
                  <c:pt idx="4">
                    <c:v>8.1415402109468335E-2</c:v>
                  </c:pt>
                  <c:pt idx="5">
                    <c:v>9.1604272220153354E-2</c:v>
                  </c:pt>
                  <c:pt idx="6">
                    <c:v>8.8600164266791737E-2</c:v>
                  </c:pt>
                  <c:pt idx="7">
                    <c:v>8.8242240875445313E-2</c:v>
                  </c:pt>
                  <c:pt idx="8">
                    <c:v>8.3457946613662598E-2</c:v>
                  </c:pt>
                  <c:pt idx="9">
                    <c:v>6.6086343672850906E-2</c:v>
                  </c:pt>
                  <c:pt idx="10">
                    <c:v>5.7504834771970194E-2</c:v>
                  </c:pt>
                  <c:pt idx="11">
                    <c:v>0</c:v>
                  </c:pt>
                </c:numCache>
              </c:numRef>
            </c:plus>
            <c:minus>
              <c:numRef>
                <c:f>'6. Sample A Conf. Intervals'!$J$45:$J$56</c:f>
                <c:numCache>
                  <c:formatCode>General</c:formatCode>
                  <c:ptCount val="12"/>
                  <c:pt idx="0">
                    <c:v>0</c:v>
                  </c:pt>
                  <c:pt idx="1">
                    <c:v>0</c:v>
                  </c:pt>
                  <c:pt idx="2">
                    <c:v>3.9129425089464098E-2</c:v>
                  </c:pt>
                  <c:pt idx="3">
                    <c:v>6.5953246061215678E-2</c:v>
                  </c:pt>
                  <c:pt idx="4">
                    <c:v>8.1415402109468335E-2</c:v>
                  </c:pt>
                  <c:pt idx="5">
                    <c:v>9.1604272220153354E-2</c:v>
                  </c:pt>
                  <c:pt idx="6">
                    <c:v>8.8600164266791737E-2</c:v>
                  </c:pt>
                  <c:pt idx="7">
                    <c:v>8.8242240875445313E-2</c:v>
                  </c:pt>
                  <c:pt idx="8">
                    <c:v>8.3457946613662598E-2</c:v>
                  </c:pt>
                  <c:pt idx="9">
                    <c:v>6.6086343672850906E-2</c:v>
                  </c:pt>
                  <c:pt idx="10">
                    <c:v>5.7504834771970194E-2</c:v>
                  </c:pt>
                  <c:pt idx="11">
                    <c:v>0</c:v>
                  </c:pt>
                </c:numCache>
              </c:numRef>
            </c:minus>
            <c:spPr>
              <a:noFill/>
              <a:ln w="9525">
                <a:solidFill>
                  <a:schemeClr val="tx2">
                    <a:lumMod val="75000"/>
                  </a:schemeClr>
                </a:solidFill>
                <a:round/>
              </a:ln>
              <a:effectLst/>
            </c:spPr>
          </c:errBars>
          <c:errBars>
            <c:errDir val="x"/>
            <c:errBarType val="both"/>
            <c:errValType val="fixedVal"/>
            <c:noEndCap val="0"/>
            <c:val val="0"/>
            <c:spPr>
              <a:noFill/>
              <a:ln w="9525">
                <a:solidFill>
                  <a:schemeClr val="tx2">
                    <a:lumMod val="75000"/>
                  </a:schemeClr>
                </a:solidFill>
                <a:round/>
              </a:ln>
              <a:effectLst/>
            </c:spPr>
          </c:errBars>
          <c:xVal>
            <c:numRef>
              <c:f>'6. Sample A Conf. Intervals'!$B$45:$B$56</c:f>
              <c:numCache>
                <c:formatCode>0%</c:formatCode>
                <c:ptCount val="12"/>
                <c:pt idx="0">
                  <c:v>0</c:v>
                </c:pt>
                <c:pt idx="1">
                  <c:v>0.05</c:v>
                </c:pt>
                <c:pt idx="2">
                  <c:v>0.15000000000000002</c:v>
                </c:pt>
                <c:pt idx="3">
                  <c:v>0.25</c:v>
                </c:pt>
                <c:pt idx="4">
                  <c:v>0.35</c:v>
                </c:pt>
                <c:pt idx="5">
                  <c:v>0.45</c:v>
                </c:pt>
                <c:pt idx="6">
                  <c:v>0.55000000000000004</c:v>
                </c:pt>
                <c:pt idx="7">
                  <c:v>0.64999999999999991</c:v>
                </c:pt>
                <c:pt idx="8">
                  <c:v>0.75</c:v>
                </c:pt>
                <c:pt idx="9">
                  <c:v>0.85000000000000009</c:v>
                </c:pt>
                <c:pt idx="10">
                  <c:v>0.95</c:v>
                </c:pt>
                <c:pt idx="11">
                  <c:v>1</c:v>
                </c:pt>
              </c:numCache>
            </c:numRef>
          </c:xVal>
          <c:yVal>
            <c:numRef>
              <c:f>'6. Sample A Conf. Intervals'!$E$45:$E$56</c:f>
              <c:numCache>
                <c:formatCode>0%</c:formatCode>
                <c:ptCount val="12"/>
                <c:pt idx="0">
                  <c:v>1</c:v>
                </c:pt>
                <c:pt idx="1">
                  <c:v>1</c:v>
                </c:pt>
                <c:pt idx="2">
                  <c:v>0.73267118603600501</c:v>
                </c:pt>
                <c:pt idx="3">
                  <c:v>0.55408081793675101</c:v>
                </c:pt>
                <c:pt idx="4">
                  <c:v>0.44324950591884404</c:v>
                </c:pt>
                <c:pt idx="5">
                  <c:v>0.34472449278767803</c:v>
                </c:pt>
                <c:pt idx="6">
                  <c:v>0.25055798510596472</c:v>
                </c:pt>
                <c:pt idx="7">
                  <c:v>0.19987416362315691</c:v>
                </c:pt>
                <c:pt idx="8">
                  <c:v>0.16313587427267501</c:v>
                </c:pt>
                <c:pt idx="9">
                  <c:v>0.10013875544535321</c:v>
                </c:pt>
                <c:pt idx="10">
                  <c:v>5.546672995671631E-2</c:v>
                </c:pt>
                <c:pt idx="11">
                  <c:v>-1.0894063429134349E-15</c:v>
                </c:pt>
              </c:numCache>
            </c:numRef>
          </c:yVal>
          <c:smooth val="1"/>
          <c:extLst>
            <c:ext xmlns:c16="http://schemas.microsoft.com/office/drawing/2014/chart" uri="{C3380CC4-5D6E-409C-BE32-E72D297353CC}">
              <c16:uniqueId val="{00000003-0ADA-1D47-BBA2-812FDD70FF63}"/>
            </c:ext>
          </c:extLst>
        </c:ser>
        <c:ser>
          <c:idx val="9"/>
          <c:order val="2"/>
          <c:tx>
            <c:strRef>
              <c:f>'6. Sample A Conf. Intervals'!$A$57:$A$68</c:f>
              <c:strCache>
                <c:ptCount val="12"/>
                <c:pt idx="0">
                  <c:v>-1000/+425</c:v>
                </c:pt>
              </c:strCache>
            </c:strRef>
          </c:tx>
          <c:spPr>
            <a:ln w="9525" cap="rnd">
              <a:solidFill>
                <a:schemeClr val="accent4">
                  <a:lumMod val="60000"/>
                </a:schemeClr>
              </a:solidFill>
              <a:round/>
            </a:ln>
            <a:effectLst/>
          </c:spPr>
          <c:marker>
            <c:symbol val="circle"/>
            <c:size val="10"/>
            <c:spPr>
              <a:solidFill>
                <a:schemeClr val="accent6"/>
              </a:solidFill>
              <a:ln w="9525">
                <a:noFill/>
                <a:round/>
              </a:ln>
              <a:effectLst/>
            </c:spPr>
          </c:marker>
          <c:errBars>
            <c:errDir val="y"/>
            <c:errBarType val="both"/>
            <c:errValType val="cust"/>
            <c:noEndCap val="0"/>
            <c:plus>
              <c:numRef>
                <c:f>'6. Sample A Conf. Intervals'!$J$57:$J$68</c:f>
                <c:numCache>
                  <c:formatCode>General</c:formatCode>
                  <c:ptCount val="12"/>
                  <c:pt idx="0">
                    <c:v>0</c:v>
                  </c:pt>
                  <c:pt idx="1">
                    <c:v>0</c:v>
                  </c:pt>
                  <c:pt idx="2">
                    <c:v>3.7081617256109416E-2</c:v>
                  </c:pt>
                  <c:pt idx="3">
                    <c:v>6.9215802541457538E-2</c:v>
                  </c:pt>
                  <c:pt idx="4">
                    <c:v>9.7866507942615519E-2</c:v>
                  </c:pt>
                  <c:pt idx="5">
                    <c:v>0.12121107051936635</c:v>
                  </c:pt>
                  <c:pt idx="6">
                    <c:v>0.13956087063960468</c:v>
                  </c:pt>
                  <c:pt idx="7">
                    <c:v>0.14210778192269691</c:v>
                  </c:pt>
                  <c:pt idx="8">
                    <c:v>0.14937768917436955</c:v>
                  </c:pt>
                  <c:pt idx="9">
                    <c:v>0.16154727312306069</c:v>
                  </c:pt>
                  <c:pt idx="10">
                    <c:v>0.15408440639817317</c:v>
                  </c:pt>
                  <c:pt idx="11">
                    <c:v>0</c:v>
                  </c:pt>
                </c:numCache>
              </c:numRef>
            </c:plus>
            <c:minus>
              <c:numRef>
                <c:f>'6. Sample A Conf. Intervals'!$J$57:$J$68</c:f>
                <c:numCache>
                  <c:formatCode>General</c:formatCode>
                  <c:ptCount val="12"/>
                  <c:pt idx="0">
                    <c:v>0</c:v>
                  </c:pt>
                  <c:pt idx="1">
                    <c:v>0</c:v>
                  </c:pt>
                  <c:pt idx="2">
                    <c:v>3.7081617256109416E-2</c:v>
                  </c:pt>
                  <c:pt idx="3">
                    <c:v>6.9215802541457538E-2</c:v>
                  </c:pt>
                  <c:pt idx="4">
                    <c:v>9.7866507942615519E-2</c:v>
                  </c:pt>
                  <c:pt idx="5">
                    <c:v>0.12121107051936635</c:v>
                  </c:pt>
                  <c:pt idx="6">
                    <c:v>0.13956087063960468</c:v>
                  </c:pt>
                  <c:pt idx="7">
                    <c:v>0.14210778192269691</c:v>
                  </c:pt>
                  <c:pt idx="8">
                    <c:v>0.14937768917436955</c:v>
                  </c:pt>
                  <c:pt idx="9">
                    <c:v>0.16154727312306069</c:v>
                  </c:pt>
                  <c:pt idx="10">
                    <c:v>0.15408440639817317</c:v>
                  </c:pt>
                  <c:pt idx="11">
                    <c:v>0</c:v>
                  </c:pt>
                </c:numCache>
              </c:numRef>
            </c:minus>
            <c:spPr>
              <a:noFill/>
              <a:ln w="9525">
                <a:solidFill>
                  <a:schemeClr val="tx2">
                    <a:lumMod val="75000"/>
                  </a:schemeClr>
                </a:solidFill>
                <a:round/>
              </a:ln>
              <a:effectLst/>
            </c:spPr>
          </c:errBars>
          <c:errBars>
            <c:errDir val="x"/>
            <c:errBarType val="both"/>
            <c:errValType val="fixedVal"/>
            <c:noEndCap val="0"/>
            <c:val val="0"/>
            <c:spPr>
              <a:noFill/>
              <a:ln w="9525">
                <a:solidFill>
                  <a:schemeClr val="tx2">
                    <a:lumMod val="75000"/>
                  </a:schemeClr>
                </a:solidFill>
                <a:round/>
              </a:ln>
              <a:effectLst/>
            </c:spPr>
          </c:errBars>
          <c:xVal>
            <c:numRef>
              <c:f>'6. Sample A Conf. Intervals'!$B$57:$B$68</c:f>
              <c:numCache>
                <c:formatCode>0%</c:formatCode>
                <c:ptCount val="12"/>
                <c:pt idx="0">
                  <c:v>0</c:v>
                </c:pt>
                <c:pt idx="1">
                  <c:v>0.05</c:v>
                </c:pt>
                <c:pt idx="2">
                  <c:v>0.15000000000000002</c:v>
                </c:pt>
                <c:pt idx="3">
                  <c:v>0.25</c:v>
                </c:pt>
                <c:pt idx="4">
                  <c:v>0.35</c:v>
                </c:pt>
                <c:pt idx="5">
                  <c:v>0.45</c:v>
                </c:pt>
                <c:pt idx="6">
                  <c:v>0.55000000000000004</c:v>
                </c:pt>
                <c:pt idx="7">
                  <c:v>0.64999999999999991</c:v>
                </c:pt>
                <c:pt idx="8">
                  <c:v>0.75</c:v>
                </c:pt>
                <c:pt idx="9">
                  <c:v>0.85000000000000009</c:v>
                </c:pt>
                <c:pt idx="10">
                  <c:v>0.95</c:v>
                </c:pt>
                <c:pt idx="11">
                  <c:v>1</c:v>
                </c:pt>
              </c:numCache>
            </c:numRef>
          </c:xVal>
          <c:yVal>
            <c:numRef>
              <c:f>'6. Sample A Conf. Intervals'!$E$57:$E$68</c:f>
              <c:numCache>
                <c:formatCode>0%</c:formatCode>
                <c:ptCount val="12"/>
                <c:pt idx="0">
                  <c:v>1</c:v>
                </c:pt>
                <c:pt idx="1">
                  <c:v>1</c:v>
                </c:pt>
                <c:pt idx="2">
                  <c:v>0.82801592891963205</c:v>
                </c:pt>
                <c:pt idx="3">
                  <c:v>0.70058143152446506</c:v>
                </c:pt>
                <c:pt idx="4">
                  <c:v>0.60120207715848684</c:v>
                </c:pt>
                <c:pt idx="5">
                  <c:v>0.5058506880183663</c:v>
                </c:pt>
                <c:pt idx="6">
                  <c:v>0.4239941240974216</c:v>
                </c:pt>
                <c:pt idx="7">
                  <c:v>0.36515869462048811</c:v>
                </c:pt>
                <c:pt idx="8">
                  <c:v>0.31064835959959719</c:v>
                </c:pt>
                <c:pt idx="9">
                  <c:v>0.26367282630750127</c:v>
                </c:pt>
                <c:pt idx="10">
                  <c:v>0.16873088351830795</c:v>
                </c:pt>
                <c:pt idx="11">
                  <c:v>-2.0539125955565396E-15</c:v>
                </c:pt>
              </c:numCache>
            </c:numRef>
          </c:yVal>
          <c:smooth val="1"/>
          <c:extLst>
            <c:ext xmlns:c16="http://schemas.microsoft.com/office/drawing/2014/chart" uri="{C3380CC4-5D6E-409C-BE32-E72D297353CC}">
              <c16:uniqueId val="{00000006-0ADA-1D47-BBA2-812FDD70FF63}"/>
            </c:ext>
          </c:extLst>
        </c:ser>
        <c:ser>
          <c:idx val="12"/>
          <c:order val="3"/>
          <c:tx>
            <c:strRef>
              <c:f>'6. Sample A Conf. Intervals'!$A$69:$A$80</c:f>
              <c:strCache>
                <c:ptCount val="12"/>
                <c:pt idx="0">
                  <c:v>-425/+150</c:v>
                </c:pt>
              </c:strCache>
            </c:strRef>
          </c:tx>
          <c:spPr>
            <a:ln w="9525" cap="rnd">
              <a:solidFill>
                <a:schemeClr val="accent1">
                  <a:lumMod val="80000"/>
                  <a:lumOff val="20000"/>
                </a:schemeClr>
              </a:solidFill>
              <a:round/>
            </a:ln>
            <a:effectLst/>
          </c:spPr>
          <c:marker>
            <c:symbol val="triangle"/>
            <c:size val="10"/>
            <c:spPr>
              <a:solidFill>
                <a:schemeClr val="accent2"/>
              </a:solidFill>
              <a:ln w="9525">
                <a:solidFill>
                  <a:schemeClr val="accent2"/>
                </a:solidFill>
                <a:round/>
              </a:ln>
              <a:effectLst/>
            </c:spPr>
          </c:marker>
          <c:errBars>
            <c:errDir val="y"/>
            <c:errBarType val="both"/>
            <c:errValType val="cust"/>
            <c:noEndCap val="0"/>
            <c:plus>
              <c:numRef>
                <c:f>'6. Sample A Conf. Intervals'!$J$69:$J$80</c:f>
                <c:numCache>
                  <c:formatCode>General</c:formatCode>
                  <c:ptCount val="12"/>
                  <c:pt idx="0">
                    <c:v>0</c:v>
                  </c:pt>
                  <c:pt idx="1">
                    <c:v>0</c:v>
                  </c:pt>
                  <c:pt idx="2">
                    <c:v>1.0365688926033602E-2</c:v>
                  </c:pt>
                  <c:pt idx="3">
                    <c:v>2.1082287875743646E-2</c:v>
                  </c:pt>
                  <c:pt idx="4">
                    <c:v>2.9494876221844785E-2</c:v>
                  </c:pt>
                  <c:pt idx="5">
                    <c:v>3.5953821500270475E-2</c:v>
                  </c:pt>
                  <c:pt idx="6">
                    <c:v>4.1312433891737284E-2</c:v>
                  </c:pt>
                  <c:pt idx="7">
                    <c:v>4.5216689778990037E-2</c:v>
                  </c:pt>
                  <c:pt idx="8">
                    <c:v>5.0495858947011224E-2</c:v>
                  </c:pt>
                  <c:pt idx="9">
                    <c:v>5.4065800045742705E-2</c:v>
                  </c:pt>
                  <c:pt idx="10">
                    <c:v>5.6182011441246911E-2</c:v>
                  </c:pt>
                  <c:pt idx="11">
                    <c:v>0</c:v>
                  </c:pt>
                </c:numCache>
              </c:numRef>
            </c:plus>
            <c:minus>
              <c:numRef>
                <c:f>'6. Sample A Conf. Intervals'!$J$69:$J$80</c:f>
                <c:numCache>
                  <c:formatCode>General</c:formatCode>
                  <c:ptCount val="12"/>
                  <c:pt idx="0">
                    <c:v>0</c:v>
                  </c:pt>
                  <c:pt idx="1">
                    <c:v>0</c:v>
                  </c:pt>
                  <c:pt idx="2">
                    <c:v>1.0365688926033602E-2</c:v>
                  </c:pt>
                  <c:pt idx="3">
                    <c:v>2.1082287875743646E-2</c:v>
                  </c:pt>
                  <c:pt idx="4">
                    <c:v>2.9494876221844785E-2</c:v>
                  </c:pt>
                  <c:pt idx="5">
                    <c:v>3.5953821500270475E-2</c:v>
                  </c:pt>
                  <c:pt idx="6">
                    <c:v>4.1312433891737284E-2</c:v>
                  </c:pt>
                  <c:pt idx="7">
                    <c:v>4.5216689778990037E-2</c:v>
                  </c:pt>
                  <c:pt idx="8">
                    <c:v>5.0495858947011224E-2</c:v>
                  </c:pt>
                  <c:pt idx="9">
                    <c:v>5.4065800045742705E-2</c:v>
                  </c:pt>
                  <c:pt idx="10">
                    <c:v>5.6182011441246911E-2</c:v>
                  </c:pt>
                  <c:pt idx="11">
                    <c:v>0</c:v>
                  </c:pt>
                </c:numCache>
              </c:numRef>
            </c:minus>
            <c:spPr>
              <a:noFill/>
              <a:ln w="9525">
                <a:solidFill>
                  <a:schemeClr val="tx2">
                    <a:lumMod val="75000"/>
                  </a:schemeClr>
                </a:solidFill>
                <a:round/>
              </a:ln>
              <a:effectLst/>
            </c:spPr>
          </c:errBars>
          <c:errBars>
            <c:errDir val="x"/>
            <c:errBarType val="both"/>
            <c:errValType val="fixedVal"/>
            <c:noEndCap val="0"/>
            <c:val val="0"/>
            <c:spPr>
              <a:noFill/>
              <a:ln w="9525">
                <a:solidFill>
                  <a:schemeClr val="tx2">
                    <a:lumMod val="75000"/>
                  </a:schemeClr>
                </a:solidFill>
                <a:round/>
              </a:ln>
              <a:effectLst/>
            </c:spPr>
          </c:errBars>
          <c:xVal>
            <c:numRef>
              <c:f>'6. Sample A Conf. Intervals'!$B$69:$B$80</c:f>
              <c:numCache>
                <c:formatCode>0%</c:formatCode>
                <c:ptCount val="12"/>
                <c:pt idx="0">
                  <c:v>0</c:v>
                </c:pt>
                <c:pt idx="1">
                  <c:v>0.05</c:v>
                </c:pt>
                <c:pt idx="2">
                  <c:v>0.15000000000000002</c:v>
                </c:pt>
                <c:pt idx="3">
                  <c:v>0.25</c:v>
                </c:pt>
                <c:pt idx="4">
                  <c:v>0.35</c:v>
                </c:pt>
                <c:pt idx="5">
                  <c:v>0.45</c:v>
                </c:pt>
                <c:pt idx="6">
                  <c:v>0.55000000000000004</c:v>
                </c:pt>
                <c:pt idx="7">
                  <c:v>0.64999999999999991</c:v>
                </c:pt>
                <c:pt idx="8">
                  <c:v>0.75</c:v>
                </c:pt>
                <c:pt idx="9">
                  <c:v>0.85000000000000009</c:v>
                </c:pt>
                <c:pt idx="10">
                  <c:v>0.95</c:v>
                </c:pt>
                <c:pt idx="11">
                  <c:v>1</c:v>
                </c:pt>
              </c:numCache>
            </c:numRef>
          </c:xVal>
          <c:yVal>
            <c:numRef>
              <c:f>'6. Sample A Conf. Intervals'!$E$69:$E$80</c:f>
              <c:numCache>
                <c:formatCode>0%</c:formatCode>
                <c:ptCount val="12"/>
                <c:pt idx="0">
                  <c:v>1</c:v>
                </c:pt>
                <c:pt idx="1">
                  <c:v>1</c:v>
                </c:pt>
                <c:pt idx="2">
                  <c:v>0.89429105317288804</c:v>
                </c:pt>
                <c:pt idx="3">
                  <c:v>0.79936140571432368</c:v>
                </c:pt>
                <c:pt idx="4">
                  <c:v>0.72549413319245493</c:v>
                </c:pt>
                <c:pt idx="5">
                  <c:v>0.66460899795634865</c:v>
                </c:pt>
                <c:pt idx="6">
                  <c:v>0.61741712717106589</c:v>
                </c:pt>
                <c:pt idx="7">
                  <c:v>0.57510556347289843</c:v>
                </c:pt>
                <c:pt idx="8">
                  <c:v>0.50415899590369084</c:v>
                </c:pt>
                <c:pt idx="9">
                  <c:v>0.46301959619001065</c:v>
                </c:pt>
                <c:pt idx="10">
                  <c:v>0.34910140290166064</c:v>
                </c:pt>
                <c:pt idx="11">
                  <c:v>5.8680219360876529E-3</c:v>
                </c:pt>
              </c:numCache>
            </c:numRef>
          </c:yVal>
          <c:smooth val="1"/>
          <c:extLst>
            <c:ext xmlns:c16="http://schemas.microsoft.com/office/drawing/2014/chart" uri="{C3380CC4-5D6E-409C-BE32-E72D297353CC}">
              <c16:uniqueId val="{00000009-0ADA-1D47-BBA2-812FDD70FF63}"/>
            </c:ext>
          </c:extLst>
        </c:ser>
        <c:ser>
          <c:idx val="15"/>
          <c:order val="4"/>
          <c:tx>
            <c:strRef>
              <c:f>'6. Sample A Conf. Intervals'!$A$81:$A$92</c:f>
              <c:strCache>
                <c:ptCount val="12"/>
                <c:pt idx="0">
                  <c:v>-150/+0</c:v>
                </c:pt>
              </c:strCache>
            </c:strRef>
          </c:tx>
          <c:spPr>
            <a:ln w="9525" cap="rnd">
              <a:solidFill>
                <a:schemeClr val="accent4">
                  <a:lumMod val="80000"/>
                  <a:lumOff val="20000"/>
                </a:schemeClr>
              </a:solidFill>
              <a:round/>
            </a:ln>
            <a:effectLst/>
          </c:spPr>
          <c:marker>
            <c:symbol val="x"/>
            <c:size val="10"/>
            <c:spPr>
              <a:noFill/>
              <a:ln w="19050">
                <a:solidFill>
                  <a:schemeClr val="tx1"/>
                </a:solidFill>
                <a:round/>
              </a:ln>
              <a:effectLst/>
            </c:spPr>
          </c:marker>
          <c:errBars>
            <c:errDir val="y"/>
            <c:errBarType val="both"/>
            <c:errValType val="cust"/>
            <c:noEndCap val="0"/>
            <c:plus>
              <c:numRef>
                <c:f>'6. Sample A Conf. Intervals'!$J$81:$J$92</c:f>
                <c:numCache>
                  <c:formatCode>General</c:formatCode>
                  <c:ptCount val="12"/>
                  <c:pt idx="0">
                    <c:v>0</c:v>
                  </c:pt>
                  <c:pt idx="1">
                    <c:v>0</c:v>
                  </c:pt>
                  <c:pt idx="2">
                    <c:v>5.7764561312718336E-4</c:v>
                  </c:pt>
                  <c:pt idx="3">
                    <c:v>1.2222256155028362E-3</c:v>
                  </c:pt>
                  <c:pt idx="4">
                    <c:v>1.7436425637013379E-3</c:v>
                  </c:pt>
                  <c:pt idx="5">
                    <c:v>2.2719037539476595E-3</c:v>
                  </c:pt>
                  <c:pt idx="6">
                    <c:v>2.7656679088210578E-3</c:v>
                  </c:pt>
                  <c:pt idx="7">
                    <c:v>3.2431304592286971E-3</c:v>
                  </c:pt>
                  <c:pt idx="8">
                    <c:v>3.943150531947665E-3</c:v>
                  </c:pt>
                  <c:pt idx="9">
                    <c:v>4.8261481953160079E-3</c:v>
                  </c:pt>
                  <c:pt idx="10">
                    <c:v>5.8575589010938069E-3</c:v>
                  </c:pt>
                  <c:pt idx="11">
                    <c:v>0</c:v>
                  </c:pt>
                </c:numCache>
              </c:numRef>
            </c:plus>
            <c:minus>
              <c:numRef>
                <c:f>'6. Sample A Conf. Intervals'!$J$81:$J$92</c:f>
                <c:numCache>
                  <c:formatCode>General</c:formatCode>
                  <c:ptCount val="12"/>
                  <c:pt idx="0">
                    <c:v>0</c:v>
                  </c:pt>
                  <c:pt idx="1">
                    <c:v>0</c:v>
                  </c:pt>
                  <c:pt idx="2">
                    <c:v>5.7764561312718336E-4</c:v>
                  </c:pt>
                  <c:pt idx="3">
                    <c:v>1.2222256155028362E-3</c:v>
                  </c:pt>
                  <c:pt idx="4">
                    <c:v>1.7436425637013379E-3</c:v>
                  </c:pt>
                  <c:pt idx="5">
                    <c:v>2.2719037539476595E-3</c:v>
                  </c:pt>
                  <c:pt idx="6">
                    <c:v>2.7656679088210578E-3</c:v>
                  </c:pt>
                  <c:pt idx="7">
                    <c:v>3.2431304592286971E-3</c:v>
                  </c:pt>
                  <c:pt idx="8">
                    <c:v>3.943150531947665E-3</c:v>
                  </c:pt>
                  <c:pt idx="9">
                    <c:v>4.8261481953160079E-3</c:v>
                  </c:pt>
                  <c:pt idx="10">
                    <c:v>5.8575589010938069E-3</c:v>
                  </c:pt>
                  <c:pt idx="11">
                    <c:v>0</c:v>
                  </c:pt>
                </c:numCache>
              </c:numRef>
            </c:minus>
            <c:spPr>
              <a:noFill/>
              <a:ln w="9525">
                <a:solidFill>
                  <a:schemeClr val="tx2">
                    <a:lumMod val="75000"/>
                  </a:schemeClr>
                </a:solidFill>
                <a:round/>
              </a:ln>
              <a:effectLst/>
            </c:spPr>
          </c:errBars>
          <c:errBars>
            <c:errDir val="x"/>
            <c:errBarType val="both"/>
            <c:errValType val="fixedVal"/>
            <c:noEndCap val="0"/>
            <c:val val="0"/>
            <c:spPr>
              <a:noFill/>
              <a:ln w="9525">
                <a:solidFill>
                  <a:schemeClr val="tx2">
                    <a:lumMod val="75000"/>
                  </a:schemeClr>
                </a:solidFill>
                <a:round/>
              </a:ln>
              <a:effectLst/>
            </c:spPr>
          </c:errBars>
          <c:xVal>
            <c:numRef>
              <c:f>'6. Sample A Conf. Intervals'!$B$81:$B$92</c:f>
              <c:numCache>
                <c:formatCode>0%</c:formatCode>
                <c:ptCount val="12"/>
                <c:pt idx="0">
                  <c:v>0</c:v>
                </c:pt>
                <c:pt idx="1">
                  <c:v>0.05</c:v>
                </c:pt>
                <c:pt idx="2">
                  <c:v>0.15000000000000002</c:v>
                </c:pt>
                <c:pt idx="3">
                  <c:v>0.25</c:v>
                </c:pt>
                <c:pt idx="4">
                  <c:v>0.35</c:v>
                </c:pt>
                <c:pt idx="5">
                  <c:v>0.45</c:v>
                </c:pt>
                <c:pt idx="6">
                  <c:v>0.55000000000000004</c:v>
                </c:pt>
                <c:pt idx="7">
                  <c:v>0.64999999999999991</c:v>
                </c:pt>
                <c:pt idx="8">
                  <c:v>0.75</c:v>
                </c:pt>
                <c:pt idx="9">
                  <c:v>0.85000000000000009</c:v>
                </c:pt>
                <c:pt idx="10">
                  <c:v>0.95</c:v>
                </c:pt>
                <c:pt idx="11">
                  <c:v>1</c:v>
                </c:pt>
              </c:numCache>
            </c:numRef>
          </c:xVal>
          <c:yVal>
            <c:numRef>
              <c:f>'6. Sample A Conf. Intervals'!$E$81:$E$92</c:f>
              <c:numCache>
                <c:formatCode>0%</c:formatCode>
                <c:ptCount val="12"/>
                <c:pt idx="0">
                  <c:v>1</c:v>
                </c:pt>
                <c:pt idx="1">
                  <c:v>1</c:v>
                </c:pt>
                <c:pt idx="2">
                  <c:v>0.96591443744647165</c:v>
                </c:pt>
                <c:pt idx="3">
                  <c:v>0.92859256081715247</c:v>
                </c:pt>
                <c:pt idx="4">
                  <c:v>0.89768809369131619</c:v>
                </c:pt>
                <c:pt idx="5">
                  <c:v>0.86742901382013771</c:v>
                </c:pt>
                <c:pt idx="6">
                  <c:v>0.83471382569780561</c:v>
                </c:pt>
                <c:pt idx="7">
                  <c:v>0.80062143233673122</c:v>
                </c:pt>
                <c:pt idx="8">
                  <c:v>0.75057217634055162</c:v>
                </c:pt>
                <c:pt idx="9">
                  <c:v>0.67768453306330168</c:v>
                </c:pt>
                <c:pt idx="10">
                  <c:v>0.51925924413979563</c:v>
                </c:pt>
                <c:pt idx="11">
                  <c:v>0.12054545329997962</c:v>
                </c:pt>
              </c:numCache>
            </c:numRef>
          </c:yVal>
          <c:smooth val="1"/>
          <c:extLst>
            <c:ext xmlns:c16="http://schemas.microsoft.com/office/drawing/2014/chart" uri="{C3380CC4-5D6E-409C-BE32-E72D297353CC}">
              <c16:uniqueId val="{0000000C-0ADA-1D47-BBA2-812FDD70FF63}"/>
            </c:ext>
          </c:extLst>
        </c:ser>
        <c:dLbls>
          <c:showLegendKey val="0"/>
          <c:showVal val="0"/>
          <c:showCatName val="0"/>
          <c:showSerName val="0"/>
          <c:showPercent val="0"/>
          <c:showBubbleSize val="0"/>
        </c:dLbls>
        <c:axId val="182050152"/>
        <c:axId val="130788960"/>
      </c:scatterChart>
      <c:valAx>
        <c:axId val="182050152"/>
        <c:scaling>
          <c:orientation val="minMax"/>
          <c:max val="1"/>
        </c:scaling>
        <c:delete val="0"/>
        <c:axPos val="b"/>
        <c:title>
          <c:tx>
            <c:rich>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Lberation class (% liberation)</a:t>
                </a:r>
              </a:p>
            </c:rich>
          </c:tx>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30788960"/>
        <c:crosses val="autoZero"/>
        <c:crossBetween val="midCat"/>
      </c:valAx>
      <c:valAx>
        <c:axId val="130788960"/>
        <c:scaling>
          <c:orientation val="minMax"/>
          <c:max val="1"/>
          <c:min val="0"/>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ZA"/>
                  <a:t>Cumulative liberation yield (%)</a:t>
                </a:r>
              </a:p>
            </c:rich>
          </c:tx>
          <c:layout>
            <c:manualLayout>
              <c:xMode val="edge"/>
              <c:yMode val="edge"/>
              <c:x val="4.3356936055683783E-3"/>
              <c:y val="0.18218059416271981"/>
            </c:manualLayout>
          </c:layout>
          <c:overlay val="0"/>
          <c:spPr>
            <a:noFill/>
            <a:ln>
              <a:noFill/>
            </a:ln>
            <a:effectLst/>
          </c:spPr>
          <c:txPr>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82050152"/>
        <c:crosses val="autoZero"/>
        <c:crossBetween val="midCat"/>
      </c:valAx>
      <c:spPr>
        <a:noFill/>
        <a:ln>
          <a:noFill/>
        </a:ln>
        <a:effectLst/>
      </c:spPr>
    </c:plotArea>
    <c:legend>
      <c:legendPos val="b"/>
      <c:layout>
        <c:manualLayout>
          <c:xMode val="edge"/>
          <c:yMode val="edge"/>
          <c:x val="1.9173564235624621E-2"/>
          <c:y val="0.93402409341525094"/>
          <c:w val="0.96165287152875079"/>
          <c:h val="6.5975906584749069E-2"/>
        </c:manualLayout>
      </c:layout>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600" b="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10030469674396"/>
          <c:y val="3.723927113862778E-2"/>
          <c:w val="0.85922106147272137"/>
          <c:h val="0.79081161795703803"/>
        </c:manualLayout>
      </c:layout>
      <c:scatterChart>
        <c:scatterStyle val="smoothMarker"/>
        <c:varyColors val="0"/>
        <c:ser>
          <c:idx val="0"/>
          <c:order val="0"/>
          <c:tx>
            <c:strRef>
              <c:f>'7. Sample B Conf. Intervals'!$A$33:$A$44</c:f>
              <c:strCache>
                <c:ptCount val="12"/>
                <c:pt idx="0">
                  <c:v>-6700/+2000</c:v>
                </c:pt>
              </c:strCache>
            </c:strRef>
          </c:tx>
          <c:spPr>
            <a:ln w="9525" cap="rnd">
              <a:solidFill>
                <a:schemeClr val="accent1"/>
              </a:solidFill>
              <a:round/>
            </a:ln>
            <a:effectLst/>
          </c:spPr>
          <c:marker>
            <c:symbol val="square"/>
            <c:size val="1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errBars>
            <c:errDir val="y"/>
            <c:errBarType val="both"/>
            <c:errValType val="cust"/>
            <c:noEndCap val="0"/>
            <c:plus>
              <c:numRef>
                <c:f>'7. Sample B Conf. Intervals'!$J$33:$J$44</c:f>
                <c:numCache>
                  <c:formatCode>General</c:formatCode>
                  <c:ptCount val="12"/>
                  <c:pt idx="0">
                    <c:v>0</c:v>
                  </c:pt>
                  <c:pt idx="1">
                    <c:v>0</c:v>
                  </c:pt>
                  <c:pt idx="2">
                    <c:v>4.8284739514925262E-2</c:v>
                  </c:pt>
                  <c:pt idx="3">
                    <c:v>9.213411009951282E-2</c:v>
                  </c:pt>
                  <c:pt idx="4">
                    <c:v>0.11064970390514352</c:v>
                  </c:pt>
                  <c:pt idx="5">
                    <c:v>0.11133061624874316</c:v>
                  </c:pt>
                  <c:pt idx="6">
                    <c:v>0.1199330363720317</c:v>
                  </c:pt>
                  <c:pt idx="7">
                    <c:v>0.11194222042221703</c:v>
                  </c:pt>
                  <c:pt idx="8">
                    <c:v>0.10890317373619088</c:v>
                  </c:pt>
                  <c:pt idx="9">
                    <c:v>5.0240668494770137E-2</c:v>
                  </c:pt>
                  <c:pt idx="10">
                    <c:v>0</c:v>
                  </c:pt>
                  <c:pt idx="11">
                    <c:v>0</c:v>
                  </c:pt>
                </c:numCache>
              </c:numRef>
            </c:plus>
            <c:minus>
              <c:numRef>
                <c:f>'7. Sample B Conf. Intervals'!$J$33:$J$44</c:f>
                <c:numCache>
                  <c:formatCode>General</c:formatCode>
                  <c:ptCount val="12"/>
                  <c:pt idx="0">
                    <c:v>0</c:v>
                  </c:pt>
                  <c:pt idx="1">
                    <c:v>0</c:v>
                  </c:pt>
                  <c:pt idx="2">
                    <c:v>4.8284739514925262E-2</c:v>
                  </c:pt>
                  <c:pt idx="3">
                    <c:v>9.213411009951282E-2</c:v>
                  </c:pt>
                  <c:pt idx="4">
                    <c:v>0.11064970390514352</c:v>
                  </c:pt>
                  <c:pt idx="5">
                    <c:v>0.11133061624874316</c:v>
                  </c:pt>
                  <c:pt idx="6">
                    <c:v>0.1199330363720317</c:v>
                  </c:pt>
                  <c:pt idx="7">
                    <c:v>0.11194222042221703</c:v>
                  </c:pt>
                  <c:pt idx="8">
                    <c:v>0.10890317373619088</c:v>
                  </c:pt>
                  <c:pt idx="9">
                    <c:v>5.0240668494770137E-2</c:v>
                  </c:pt>
                  <c:pt idx="10">
                    <c:v>0</c:v>
                  </c:pt>
                  <c:pt idx="11">
                    <c:v>0</c:v>
                  </c:pt>
                </c:numCache>
              </c:numRef>
            </c:minus>
            <c:spPr>
              <a:noFill/>
              <a:ln w="9525">
                <a:solidFill>
                  <a:schemeClr val="tx2">
                    <a:lumMod val="75000"/>
                  </a:schemeClr>
                </a:solidFill>
                <a:round/>
              </a:ln>
              <a:effectLst/>
            </c:spPr>
          </c:errBars>
          <c:errBars>
            <c:errDir val="x"/>
            <c:errBarType val="both"/>
            <c:errValType val="fixedVal"/>
            <c:noEndCap val="0"/>
            <c:val val="0"/>
            <c:spPr>
              <a:noFill/>
              <a:ln w="9525">
                <a:solidFill>
                  <a:schemeClr val="tx2">
                    <a:lumMod val="75000"/>
                  </a:schemeClr>
                </a:solidFill>
                <a:round/>
              </a:ln>
              <a:effectLst/>
            </c:spPr>
          </c:errBars>
          <c:xVal>
            <c:numRef>
              <c:f>'7. Sample B Conf. Intervals'!$B$33:$B$44</c:f>
              <c:numCache>
                <c:formatCode>0%</c:formatCode>
                <c:ptCount val="12"/>
                <c:pt idx="0">
                  <c:v>0</c:v>
                </c:pt>
                <c:pt idx="1">
                  <c:v>0.05</c:v>
                </c:pt>
                <c:pt idx="2">
                  <c:v>0.15000000000000002</c:v>
                </c:pt>
                <c:pt idx="3">
                  <c:v>0.25</c:v>
                </c:pt>
                <c:pt idx="4">
                  <c:v>0.35</c:v>
                </c:pt>
                <c:pt idx="5">
                  <c:v>0.45</c:v>
                </c:pt>
                <c:pt idx="6">
                  <c:v>0.55000000000000004</c:v>
                </c:pt>
                <c:pt idx="7">
                  <c:v>0.64999999999999991</c:v>
                </c:pt>
                <c:pt idx="8">
                  <c:v>0.75</c:v>
                </c:pt>
                <c:pt idx="9">
                  <c:v>0.85000000000000009</c:v>
                </c:pt>
                <c:pt idx="10">
                  <c:v>0.95</c:v>
                </c:pt>
                <c:pt idx="11">
                  <c:v>1</c:v>
                </c:pt>
              </c:numCache>
            </c:numRef>
          </c:xVal>
          <c:yVal>
            <c:numRef>
              <c:f>'7. Sample B Conf. Intervals'!$E$33:$E$44</c:f>
              <c:numCache>
                <c:formatCode>0%</c:formatCode>
                <c:ptCount val="12"/>
                <c:pt idx="0">
                  <c:v>1</c:v>
                </c:pt>
                <c:pt idx="1">
                  <c:v>1</c:v>
                </c:pt>
                <c:pt idx="2">
                  <c:v>0.77111442328978996</c:v>
                </c:pt>
                <c:pt idx="3">
                  <c:v>0.55948060554231493</c:v>
                </c:pt>
                <c:pt idx="4">
                  <c:v>0.31569484500897693</c:v>
                </c:pt>
                <c:pt idx="5">
                  <c:v>0.18549513086476394</c:v>
                </c:pt>
                <c:pt idx="6">
                  <c:v>0.14193536967634512</c:v>
                </c:pt>
                <c:pt idx="7">
                  <c:v>0.11499746162036772</c:v>
                </c:pt>
                <c:pt idx="8">
                  <c:v>9.4819111617023125E-2</c:v>
                </c:pt>
                <c:pt idx="9">
                  <c:v>2.3454880169508724E-2</c:v>
                </c:pt>
                <c:pt idx="10">
                  <c:v>-1.1761425167122752E-15</c:v>
                </c:pt>
                <c:pt idx="11">
                  <c:v>-1.1761425167122752E-15</c:v>
                </c:pt>
              </c:numCache>
            </c:numRef>
          </c:yVal>
          <c:smooth val="1"/>
          <c:extLst>
            <c:ext xmlns:c16="http://schemas.microsoft.com/office/drawing/2014/chart" uri="{C3380CC4-5D6E-409C-BE32-E72D297353CC}">
              <c16:uniqueId val="{00000000-B52E-D242-BC28-C99A3957C275}"/>
            </c:ext>
          </c:extLst>
        </c:ser>
        <c:ser>
          <c:idx val="3"/>
          <c:order val="1"/>
          <c:tx>
            <c:strRef>
              <c:f>'7. Sample B Conf. Intervals'!$A$45:$A$56</c:f>
              <c:strCache>
                <c:ptCount val="12"/>
                <c:pt idx="0">
                  <c:v>-2000/+1000</c:v>
                </c:pt>
              </c:strCache>
            </c:strRef>
          </c:tx>
          <c:spPr>
            <a:ln w="9525" cap="rnd">
              <a:solidFill>
                <a:schemeClr val="accent4"/>
              </a:solidFill>
              <a:round/>
            </a:ln>
            <a:effectLst/>
          </c:spPr>
          <c:marker>
            <c:symbol val="diamond"/>
            <c:size val="10"/>
            <c:spPr>
              <a:solidFill>
                <a:schemeClr val="accent4"/>
              </a:solidFill>
              <a:ln w="9525">
                <a:solidFill>
                  <a:schemeClr val="accent4"/>
                </a:solidFill>
                <a:round/>
              </a:ln>
              <a:effectLst/>
            </c:spPr>
          </c:marker>
          <c:errBars>
            <c:errDir val="y"/>
            <c:errBarType val="both"/>
            <c:errValType val="cust"/>
            <c:noEndCap val="0"/>
            <c:plus>
              <c:numRef>
                <c:f>'7. Sample B Conf. Intervals'!$J$45:$J$56</c:f>
                <c:numCache>
                  <c:formatCode>General</c:formatCode>
                  <c:ptCount val="12"/>
                  <c:pt idx="0">
                    <c:v>0</c:v>
                  </c:pt>
                  <c:pt idx="1">
                    <c:v>0</c:v>
                  </c:pt>
                  <c:pt idx="2">
                    <c:v>2.4077533508458582E-2</c:v>
                  </c:pt>
                  <c:pt idx="3">
                    <c:v>4.9442853291754921E-2</c:v>
                  </c:pt>
                  <c:pt idx="4">
                    <c:v>6.8235180420908426E-2</c:v>
                  </c:pt>
                  <c:pt idx="5">
                    <c:v>7.9049929276637662E-2</c:v>
                  </c:pt>
                  <c:pt idx="6">
                    <c:v>8.1820653003602264E-2</c:v>
                  </c:pt>
                  <c:pt idx="7">
                    <c:v>7.7761685440506573E-2</c:v>
                  </c:pt>
                  <c:pt idx="8">
                    <c:v>6.1821014545639083E-2</c:v>
                  </c:pt>
                  <c:pt idx="9">
                    <c:v>4.6821327676345621E-2</c:v>
                  </c:pt>
                  <c:pt idx="10">
                    <c:v>3.7946546759424132E-2</c:v>
                  </c:pt>
                  <c:pt idx="11">
                    <c:v>0</c:v>
                  </c:pt>
                </c:numCache>
              </c:numRef>
            </c:plus>
            <c:minus>
              <c:numRef>
                <c:f>'7. Sample B Conf. Intervals'!$J$45:$J$56</c:f>
                <c:numCache>
                  <c:formatCode>General</c:formatCode>
                  <c:ptCount val="12"/>
                  <c:pt idx="0">
                    <c:v>0</c:v>
                  </c:pt>
                  <c:pt idx="1">
                    <c:v>0</c:v>
                  </c:pt>
                  <c:pt idx="2">
                    <c:v>2.4077533508458582E-2</c:v>
                  </c:pt>
                  <c:pt idx="3">
                    <c:v>4.9442853291754921E-2</c:v>
                  </c:pt>
                  <c:pt idx="4">
                    <c:v>6.8235180420908426E-2</c:v>
                  </c:pt>
                  <c:pt idx="5">
                    <c:v>7.9049929276637662E-2</c:v>
                  </c:pt>
                  <c:pt idx="6">
                    <c:v>8.1820653003602264E-2</c:v>
                  </c:pt>
                  <c:pt idx="7">
                    <c:v>7.7761685440506573E-2</c:v>
                  </c:pt>
                  <c:pt idx="8">
                    <c:v>6.1821014545639083E-2</c:v>
                  </c:pt>
                  <c:pt idx="9">
                    <c:v>4.6821327676345621E-2</c:v>
                  </c:pt>
                  <c:pt idx="10">
                    <c:v>3.7946546759424132E-2</c:v>
                  </c:pt>
                  <c:pt idx="11">
                    <c:v>0</c:v>
                  </c:pt>
                </c:numCache>
              </c:numRef>
            </c:minus>
            <c:spPr>
              <a:noFill/>
              <a:ln w="9525">
                <a:solidFill>
                  <a:schemeClr val="tx2">
                    <a:lumMod val="75000"/>
                  </a:schemeClr>
                </a:solidFill>
                <a:round/>
              </a:ln>
              <a:effectLst/>
            </c:spPr>
          </c:errBars>
          <c:errBars>
            <c:errDir val="x"/>
            <c:errBarType val="both"/>
            <c:errValType val="fixedVal"/>
            <c:noEndCap val="0"/>
            <c:val val="0"/>
            <c:spPr>
              <a:noFill/>
              <a:ln w="9525">
                <a:solidFill>
                  <a:schemeClr val="tx2">
                    <a:lumMod val="75000"/>
                  </a:schemeClr>
                </a:solidFill>
                <a:round/>
              </a:ln>
              <a:effectLst/>
            </c:spPr>
          </c:errBars>
          <c:xVal>
            <c:numRef>
              <c:f>'7. Sample B Conf. Intervals'!$B$45:$B$56</c:f>
              <c:numCache>
                <c:formatCode>0%</c:formatCode>
                <c:ptCount val="12"/>
                <c:pt idx="0">
                  <c:v>0</c:v>
                </c:pt>
                <c:pt idx="1">
                  <c:v>0.05</c:v>
                </c:pt>
                <c:pt idx="2">
                  <c:v>0.15000000000000002</c:v>
                </c:pt>
                <c:pt idx="3">
                  <c:v>0.25</c:v>
                </c:pt>
                <c:pt idx="4">
                  <c:v>0.35</c:v>
                </c:pt>
                <c:pt idx="5">
                  <c:v>0.45</c:v>
                </c:pt>
                <c:pt idx="6">
                  <c:v>0.55000000000000004</c:v>
                </c:pt>
                <c:pt idx="7">
                  <c:v>0.64999999999999991</c:v>
                </c:pt>
                <c:pt idx="8">
                  <c:v>0.75</c:v>
                </c:pt>
                <c:pt idx="9">
                  <c:v>0.85000000000000009</c:v>
                </c:pt>
                <c:pt idx="10">
                  <c:v>0.95</c:v>
                </c:pt>
                <c:pt idx="11">
                  <c:v>1</c:v>
                </c:pt>
              </c:numCache>
            </c:numRef>
          </c:xVal>
          <c:yVal>
            <c:numRef>
              <c:f>'7. Sample B Conf. Intervals'!$E$45:$E$56</c:f>
              <c:numCache>
                <c:formatCode>0%</c:formatCode>
                <c:ptCount val="12"/>
                <c:pt idx="0">
                  <c:v>1</c:v>
                </c:pt>
                <c:pt idx="1">
                  <c:v>1</c:v>
                </c:pt>
                <c:pt idx="2">
                  <c:v>0.80390389128450401</c:v>
                </c:pt>
                <c:pt idx="3">
                  <c:v>0.60140123296923198</c:v>
                </c:pt>
                <c:pt idx="4">
                  <c:v>0.42683305406848449</c:v>
                </c:pt>
                <c:pt idx="5">
                  <c:v>0.28146978227957048</c:v>
                </c:pt>
                <c:pt idx="6">
                  <c:v>0.21734325358419931</c:v>
                </c:pt>
                <c:pt idx="7">
                  <c:v>0.15686621597673275</c:v>
                </c:pt>
                <c:pt idx="8">
                  <c:v>9.3088194167068358E-2</c:v>
                </c:pt>
                <c:pt idx="9">
                  <c:v>3.8455851667146906E-2</c:v>
                </c:pt>
                <c:pt idx="10">
                  <c:v>1.7622284562388558E-2</c:v>
                </c:pt>
                <c:pt idx="11">
                  <c:v>5.0653925498522767E-16</c:v>
                </c:pt>
              </c:numCache>
            </c:numRef>
          </c:yVal>
          <c:smooth val="1"/>
          <c:extLst>
            <c:ext xmlns:c16="http://schemas.microsoft.com/office/drawing/2014/chart" uri="{C3380CC4-5D6E-409C-BE32-E72D297353CC}">
              <c16:uniqueId val="{00000001-B52E-D242-BC28-C99A3957C275}"/>
            </c:ext>
          </c:extLst>
        </c:ser>
        <c:ser>
          <c:idx val="9"/>
          <c:order val="2"/>
          <c:tx>
            <c:strRef>
              <c:f>'7. Sample B Conf. Intervals'!$A$57:$A$68</c:f>
              <c:strCache>
                <c:ptCount val="12"/>
                <c:pt idx="0">
                  <c:v>-1000/+425</c:v>
                </c:pt>
              </c:strCache>
            </c:strRef>
          </c:tx>
          <c:spPr>
            <a:ln w="9525" cap="rnd">
              <a:solidFill>
                <a:schemeClr val="accent4">
                  <a:lumMod val="60000"/>
                </a:schemeClr>
              </a:solidFill>
              <a:round/>
            </a:ln>
            <a:effectLst/>
          </c:spPr>
          <c:marker>
            <c:symbol val="circle"/>
            <c:size val="10"/>
            <c:spPr>
              <a:solidFill>
                <a:schemeClr val="accent6"/>
              </a:solidFill>
              <a:ln w="9525">
                <a:noFill/>
                <a:round/>
              </a:ln>
              <a:effectLst/>
            </c:spPr>
          </c:marker>
          <c:errBars>
            <c:errDir val="y"/>
            <c:errBarType val="both"/>
            <c:errValType val="cust"/>
            <c:noEndCap val="0"/>
            <c:plus>
              <c:numRef>
                <c:f>'7. Sample B Conf. Intervals'!$J$57:$J$68</c:f>
                <c:numCache>
                  <c:formatCode>General</c:formatCode>
                  <c:ptCount val="12"/>
                  <c:pt idx="0">
                    <c:v>0</c:v>
                  </c:pt>
                  <c:pt idx="1">
                    <c:v>0</c:v>
                  </c:pt>
                  <c:pt idx="2">
                    <c:v>2.1187649667195947E-2</c:v>
                  </c:pt>
                  <c:pt idx="3">
                    <c:v>3.9721225102863307E-2</c:v>
                  </c:pt>
                  <c:pt idx="4">
                    <c:v>5.5744192863300721E-2</c:v>
                  </c:pt>
                  <c:pt idx="5">
                    <c:v>6.5539260786307327E-2</c:v>
                  </c:pt>
                  <c:pt idx="6">
                    <c:v>7.2773028208597323E-2</c:v>
                  </c:pt>
                  <c:pt idx="7">
                    <c:v>7.5112277460865171E-2</c:v>
                  </c:pt>
                  <c:pt idx="8">
                    <c:v>7.713852411739984E-2</c:v>
                  </c:pt>
                  <c:pt idx="9">
                    <c:v>7.7210033957446605E-2</c:v>
                  </c:pt>
                  <c:pt idx="10">
                    <c:v>6.66230847684679E-2</c:v>
                  </c:pt>
                  <c:pt idx="11">
                    <c:v>0</c:v>
                  </c:pt>
                </c:numCache>
              </c:numRef>
            </c:plus>
            <c:minus>
              <c:numRef>
                <c:f>'7. Sample B Conf. Intervals'!$J$57:$J$68</c:f>
                <c:numCache>
                  <c:formatCode>General</c:formatCode>
                  <c:ptCount val="12"/>
                  <c:pt idx="0">
                    <c:v>0</c:v>
                  </c:pt>
                  <c:pt idx="1">
                    <c:v>0</c:v>
                  </c:pt>
                  <c:pt idx="2">
                    <c:v>2.1187649667195947E-2</c:v>
                  </c:pt>
                  <c:pt idx="3">
                    <c:v>3.9721225102863307E-2</c:v>
                  </c:pt>
                  <c:pt idx="4">
                    <c:v>5.5744192863300721E-2</c:v>
                  </c:pt>
                  <c:pt idx="5">
                    <c:v>6.5539260786307327E-2</c:v>
                  </c:pt>
                  <c:pt idx="6">
                    <c:v>7.2773028208597323E-2</c:v>
                  </c:pt>
                  <c:pt idx="7">
                    <c:v>7.5112277460865171E-2</c:v>
                  </c:pt>
                  <c:pt idx="8">
                    <c:v>7.713852411739984E-2</c:v>
                  </c:pt>
                  <c:pt idx="9">
                    <c:v>7.7210033957446605E-2</c:v>
                  </c:pt>
                  <c:pt idx="10">
                    <c:v>6.66230847684679E-2</c:v>
                  </c:pt>
                  <c:pt idx="11">
                    <c:v>0</c:v>
                  </c:pt>
                </c:numCache>
              </c:numRef>
            </c:minus>
            <c:spPr>
              <a:noFill/>
              <a:ln w="9525">
                <a:solidFill>
                  <a:schemeClr val="tx2">
                    <a:lumMod val="75000"/>
                  </a:schemeClr>
                </a:solidFill>
                <a:round/>
              </a:ln>
              <a:effectLst/>
            </c:spPr>
          </c:errBars>
          <c:errBars>
            <c:errDir val="x"/>
            <c:errBarType val="both"/>
            <c:errValType val="fixedVal"/>
            <c:noEndCap val="0"/>
            <c:val val="0"/>
            <c:spPr>
              <a:noFill/>
              <a:ln w="9525">
                <a:solidFill>
                  <a:schemeClr val="tx2">
                    <a:lumMod val="75000"/>
                  </a:schemeClr>
                </a:solidFill>
                <a:round/>
              </a:ln>
              <a:effectLst/>
            </c:spPr>
          </c:errBars>
          <c:xVal>
            <c:numRef>
              <c:f>'7. Sample B Conf. Intervals'!$B$57:$B$68</c:f>
              <c:numCache>
                <c:formatCode>0%</c:formatCode>
                <c:ptCount val="12"/>
                <c:pt idx="0">
                  <c:v>0</c:v>
                </c:pt>
                <c:pt idx="1">
                  <c:v>0.05</c:v>
                </c:pt>
                <c:pt idx="2">
                  <c:v>0.15000000000000002</c:v>
                </c:pt>
                <c:pt idx="3">
                  <c:v>0.25</c:v>
                </c:pt>
                <c:pt idx="4">
                  <c:v>0.35</c:v>
                </c:pt>
                <c:pt idx="5">
                  <c:v>0.45</c:v>
                </c:pt>
                <c:pt idx="6">
                  <c:v>0.55000000000000004</c:v>
                </c:pt>
                <c:pt idx="7">
                  <c:v>0.64999999999999991</c:v>
                </c:pt>
                <c:pt idx="8">
                  <c:v>0.75</c:v>
                </c:pt>
                <c:pt idx="9">
                  <c:v>0.85000000000000009</c:v>
                </c:pt>
                <c:pt idx="10">
                  <c:v>0.95</c:v>
                </c:pt>
                <c:pt idx="11">
                  <c:v>1</c:v>
                </c:pt>
              </c:numCache>
            </c:numRef>
          </c:xVal>
          <c:yVal>
            <c:numRef>
              <c:f>'7. Sample B Conf. Intervals'!$E$57:$E$68</c:f>
              <c:numCache>
                <c:formatCode>0%</c:formatCode>
                <c:ptCount val="12"/>
                <c:pt idx="0">
                  <c:v>1</c:v>
                </c:pt>
                <c:pt idx="1">
                  <c:v>1</c:v>
                </c:pt>
                <c:pt idx="2">
                  <c:v>0.82368047111144205</c:v>
                </c:pt>
                <c:pt idx="3">
                  <c:v>0.67355513857173199</c:v>
                </c:pt>
                <c:pt idx="4">
                  <c:v>0.53863832589068095</c:v>
                </c:pt>
                <c:pt idx="5">
                  <c:v>0.40948184308007196</c:v>
                </c:pt>
                <c:pt idx="6">
                  <c:v>0.34416655679190067</c:v>
                </c:pt>
                <c:pt idx="7">
                  <c:v>0.27974688791198909</c:v>
                </c:pt>
                <c:pt idx="8">
                  <c:v>0.27189152344003215</c:v>
                </c:pt>
                <c:pt idx="9">
                  <c:v>0.21411186928047043</c:v>
                </c:pt>
                <c:pt idx="10">
                  <c:v>0.15152479962414295</c:v>
                </c:pt>
                <c:pt idx="11">
                  <c:v>9.4368957093138306E-16</c:v>
                </c:pt>
              </c:numCache>
            </c:numRef>
          </c:yVal>
          <c:smooth val="1"/>
          <c:extLst>
            <c:ext xmlns:c16="http://schemas.microsoft.com/office/drawing/2014/chart" uri="{C3380CC4-5D6E-409C-BE32-E72D297353CC}">
              <c16:uniqueId val="{00000002-B52E-D242-BC28-C99A3957C275}"/>
            </c:ext>
          </c:extLst>
        </c:ser>
        <c:ser>
          <c:idx val="12"/>
          <c:order val="3"/>
          <c:tx>
            <c:strRef>
              <c:f>'7. Sample B Conf. Intervals'!$A$69:$A$80</c:f>
              <c:strCache>
                <c:ptCount val="12"/>
                <c:pt idx="0">
                  <c:v>-425/+150</c:v>
                </c:pt>
              </c:strCache>
            </c:strRef>
          </c:tx>
          <c:spPr>
            <a:ln w="9525" cap="rnd">
              <a:solidFill>
                <a:schemeClr val="accent1">
                  <a:lumMod val="80000"/>
                  <a:lumOff val="20000"/>
                </a:schemeClr>
              </a:solidFill>
              <a:round/>
            </a:ln>
            <a:effectLst/>
          </c:spPr>
          <c:marker>
            <c:symbol val="triangle"/>
            <c:size val="10"/>
            <c:spPr>
              <a:solidFill>
                <a:schemeClr val="accent2"/>
              </a:solidFill>
              <a:ln w="9525">
                <a:solidFill>
                  <a:schemeClr val="accent2"/>
                </a:solidFill>
                <a:round/>
              </a:ln>
              <a:effectLst/>
            </c:spPr>
          </c:marker>
          <c:errBars>
            <c:errDir val="y"/>
            <c:errBarType val="both"/>
            <c:errValType val="cust"/>
            <c:noEndCap val="0"/>
            <c:plus>
              <c:numRef>
                <c:f>'7. Sample B Conf. Intervals'!$J$69:$J$80</c:f>
                <c:numCache>
                  <c:formatCode>General</c:formatCode>
                  <c:ptCount val="12"/>
                  <c:pt idx="0">
                    <c:v>0</c:v>
                  </c:pt>
                  <c:pt idx="1">
                    <c:v>0</c:v>
                  </c:pt>
                  <c:pt idx="2">
                    <c:v>4.2837005062982825E-3</c:v>
                  </c:pt>
                  <c:pt idx="3">
                    <c:v>9.7992054919421433E-3</c:v>
                  </c:pt>
                  <c:pt idx="4">
                    <c:v>1.398919562178714E-2</c:v>
                  </c:pt>
                  <c:pt idx="5">
                    <c:v>1.7159125166796966E-2</c:v>
                  </c:pt>
                  <c:pt idx="6">
                    <c:v>2.0383993214274344E-2</c:v>
                  </c:pt>
                  <c:pt idx="7">
                    <c:v>2.2935872992872582E-2</c:v>
                  </c:pt>
                  <c:pt idx="8">
                    <c:v>2.4832204114503396E-2</c:v>
                  </c:pt>
                  <c:pt idx="9">
                    <c:v>2.7336021219860715E-2</c:v>
                  </c:pt>
                  <c:pt idx="10">
                    <c:v>3.0476945097873347E-2</c:v>
                  </c:pt>
                  <c:pt idx="11">
                    <c:v>0</c:v>
                  </c:pt>
                </c:numCache>
              </c:numRef>
            </c:plus>
            <c:minus>
              <c:numRef>
                <c:f>'7. Sample B Conf. Intervals'!$J$69:$J$80</c:f>
                <c:numCache>
                  <c:formatCode>General</c:formatCode>
                  <c:ptCount val="12"/>
                  <c:pt idx="0">
                    <c:v>0</c:v>
                  </c:pt>
                  <c:pt idx="1">
                    <c:v>0</c:v>
                  </c:pt>
                  <c:pt idx="2">
                    <c:v>4.2837005062982825E-3</c:v>
                  </c:pt>
                  <c:pt idx="3">
                    <c:v>9.7992054919421433E-3</c:v>
                  </c:pt>
                  <c:pt idx="4">
                    <c:v>1.398919562178714E-2</c:v>
                  </c:pt>
                  <c:pt idx="5">
                    <c:v>1.7159125166796966E-2</c:v>
                  </c:pt>
                  <c:pt idx="6">
                    <c:v>2.0383993214274344E-2</c:v>
                  </c:pt>
                  <c:pt idx="7">
                    <c:v>2.2935872992872582E-2</c:v>
                  </c:pt>
                  <c:pt idx="8">
                    <c:v>2.4832204114503396E-2</c:v>
                  </c:pt>
                  <c:pt idx="9">
                    <c:v>2.7336021219860715E-2</c:v>
                  </c:pt>
                  <c:pt idx="10">
                    <c:v>3.0476945097873347E-2</c:v>
                  </c:pt>
                  <c:pt idx="11">
                    <c:v>0</c:v>
                  </c:pt>
                </c:numCache>
              </c:numRef>
            </c:minus>
            <c:spPr>
              <a:noFill/>
              <a:ln w="9525">
                <a:solidFill>
                  <a:schemeClr val="tx2">
                    <a:lumMod val="75000"/>
                  </a:schemeClr>
                </a:solidFill>
                <a:round/>
              </a:ln>
              <a:effectLst/>
            </c:spPr>
          </c:errBars>
          <c:errBars>
            <c:errDir val="x"/>
            <c:errBarType val="both"/>
            <c:errValType val="fixedVal"/>
            <c:noEndCap val="0"/>
            <c:val val="0"/>
            <c:spPr>
              <a:noFill/>
              <a:ln w="9525">
                <a:solidFill>
                  <a:schemeClr val="tx2">
                    <a:lumMod val="75000"/>
                  </a:schemeClr>
                </a:solidFill>
                <a:round/>
              </a:ln>
              <a:effectLst/>
            </c:spPr>
          </c:errBars>
          <c:xVal>
            <c:numRef>
              <c:f>'7. Sample B Conf. Intervals'!$B$69:$B$80</c:f>
              <c:numCache>
                <c:formatCode>0%</c:formatCode>
                <c:ptCount val="12"/>
                <c:pt idx="0">
                  <c:v>0</c:v>
                </c:pt>
                <c:pt idx="1">
                  <c:v>0.05</c:v>
                </c:pt>
                <c:pt idx="2">
                  <c:v>0.15000000000000002</c:v>
                </c:pt>
                <c:pt idx="3">
                  <c:v>0.25</c:v>
                </c:pt>
                <c:pt idx="4">
                  <c:v>0.35</c:v>
                </c:pt>
                <c:pt idx="5">
                  <c:v>0.45</c:v>
                </c:pt>
                <c:pt idx="6">
                  <c:v>0.55000000000000004</c:v>
                </c:pt>
                <c:pt idx="7">
                  <c:v>0.64999999999999991</c:v>
                </c:pt>
                <c:pt idx="8">
                  <c:v>0.75</c:v>
                </c:pt>
                <c:pt idx="9">
                  <c:v>0.85000000000000009</c:v>
                </c:pt>
                <c:pt idx="10">
                  <c:v>0.95</c:v>
                </c:pt>
                <c:pt idx="11">
                  <c:v>1</c:v>
                </c:pt>
              </c:numCache>
            </c:numRef>
          </c:xVal>
          <c:yVal>
            <c:numRef>
              <c:f>'7. Sample B Conf. Intervals'!$E$69:$E$80</c:f>
              <c:numCache>
                <c:formatCode>0%</c:formatCode>
                <c:ptCount val="12"/>
                <c:pt idx="0">
                  <c:v>1</c:v>
                </c:pt>
                <c:pt idx="1">
                  <c:v>1</c:v>
                </c:pt>
                <c:pt idx="2">
                  <c:v>0.9382806466802206</c:v>
                </c:pt>
                <c:pt idx="3">
                  <c:v>0.86317201305646951</c:v>
                </c:pt>
                <c:pt idx="4">
                  <c:v>0.80517280270783176</c:v>
                </c:pt>
                <c:pt idx="5">
                  <c:v>0.76109315592726834</c:v>
                </c:pt>
                <c:pt idx="6">
                  <c:v>0.71094346323322122</c:v>
                </c:pt>
                <c:pt idx="7">
                  <c:v>0.6672571772660647</c:v>
                </c:pt>
                <c:pt idx="8">
                  <c:v>0.63058976376021969</c:v>
                </c:pt>
                <c:pt idx="9">
                  <c:v>0.57467618701469558</c:v>
                </c:pt>
                <c:pt idx="10">
                  <c:v>0.46889188052686859</c:v>
                </c:pt>
                <c:pt idx="11">
                  <c:v>2.0289860197609588E-2</c:v>
                </c:pt>
              </c:numCache>
            </c:numRef>
          </c:yVal>
          <c:smooth val="1"/>
          <c:extLst>
            <c:ext xmlns:c16="http://schemas.microsoft.com/office/drawing/2014/chart" uri="{C3380CC4-5D6E-409C-BE32-E72D297353CC}">
              <c16:uniqueId val="{00000003-B52E-D242-BC28-C99A3957C275}"/>
            </c:ext>
          </c:extLst>
        </c:ser>
        <c:ser>
          <c:idx val="15"/>
          <c:order val="4"/>
          <c:tx>
            <c:strRef>
              <c:f>'7. Sample B Conf. Intervals'!$A$81:$A$92</c:f>
              <c:strCache>
                <c:ptCount val="12"/>
                <c:pt idx="0">
                  <c:v>-150/+0</c:v>
                </c:pt>
              </c:strCache>
            </c:strRef>
          </c:tx>
          <c:spPr>
            <a:ln w="9525" cap="rnd">
              <a:solidFill>
                <a:schemeClr val="accent4">
                  <a:lumMod val="80000"/>
                  <a:lumOff val="20000"/>
                </a:schemeClr>
              </a:solidFill>
              <a:round/>
            </a:ln>
            <a:effectLst/>
          </c:spPr>
          <c:marker>
            <c:symbol val="x"/>
            <c:size val="10"/>
            <c:spPr>
              <a:noFill/>
              <a:ln w="19050">
                <a:solidFill>
                  <a:schemeClr val="tx1"/>
                </a:solidFill>
                <a:round/>
              </a:ln>
              <a:effectLst/>
            </c:spPr>
          </c:marker>
          <c:errBars>
            <c:errDir val="y"/>
            <c:errBarType val="both"/>
            <c:errValType val="cust"/>
            <c:noEndCap val="0"/>
            <c:plus>
              <c:numRef>
                <c:f>'7. Sample B Conf. Intervals'!$J$81:$J$92</c:f>
                <c:numCache>
                  <c:formatCode>General</c:formatCode>
                  <c:ptCount val="12"/>
                  <c:pt idx="0">
                    <c:v>0</c:v>
                  </c:pt>
                  <c:pt idx="1">
                    <c:v>0</c:v>
                  </c:pt>
                  <c:pt idx="2">
                    <c:v>1.1757171456701402E-4</c:v>
                  </c:pt>
                  <c:pt idx="3">
                    <c:v>2.4063177203384234E-4</c:v>
                  </c:pt>
                  <c:pt idx="4">
                    <c:v>3.5293283553248671E-4</c:v>
                  </c:pt>
                  <c:pt idx="5">
                    <c:v>4.7646359368187807E-4</c:v>
                  </c:pt>
                  <c:pt idx="6">
                    <c:v>6.5860407242560276E-4</c:v>
                  </c:pt>
                  <c:pt idx="7">
                    <c:v>7.5244483197225325E-4</c:v>
                  </c:pt>
                  <c:pt idx="8">
                    <c:v>9.8693347556611834E-4</c:v>
                  </c:pt>
                  <c:pt idx="9">
                    <c:v>1.3156712047173217E-3</c:v>
                  </c:pt>
                  <c:pt idx="10">
                    <c:v>1.9186240796387102E-3</c:v>
                  </c:pt>
                  <c:pt idx="11">
                    <c:v>0</c:v>
                  </c:pt>
                </c:numCache>
              </c:numRef>
            </c:plus>
            <c:minus>
              <c:numRef>
                <c:f>'7. Sample B Conf. Intervals'!$J$81:$J$92</c:f>
                <c:numCache>
                  <c:formatCode>General</c:formatCode>
                  <c:ptCount val="12"/>
                  <c:pt idx="0">
                    <c:v>0</c:v>
                  </c:pt>
                  <c:pt idx="1">
                    <c:v>0</c:v>
                  </c:pt>
                  <c:pt idx="2">
                    <c:v>1.1757171456701402E-4</c:v>
                  </c:pt>
                  <c:pt idx="3">
                    <c:v>2.4063177203384234E-4</c:v>
                  </c:pt>
                  <c:pt idx="4">
                    <c:v>3.5293283553248671E-4</c:v>
                  </c:pt>
                  <c:pt idx="5">
                    <c:v>4.7646359368187807E-4</c:v>
                  </c:pt>
                  <c:pt idx="6">
                    <c:v>6.5860407242560276E-4</c:v>
                  </c:pt>
                  <c:pt idx="7">
                    <c:v>7.5244483197225325E-4</c:v>
                  </c:pt>
                  <c:pt idx="8">
                    <c:v>9.8693347556611834E-4</c:v>
                  </c:pt>
                  <c:pt idx="9">
                    <c:v>1.3156712047173217E-3</c:v>
                  </c:pt>
                  <c:pt idx="10">
                    <c:v>1.9186240796387102E-3</c:v>
                  </c:pt>
                  <c:pt idx="11">
                    <c:v>0</c:v>
                  </c:pt>
                </c:numCache>
              </c:numRef>
            </c:minus>
            <c:spPr>
              <a:noFill/>
              <a:ln w="9525">
                <a:solidFill>
                  <a:schemeClr val="tx2">
                    <a:lumMod val="75000"/>
                  </a:schemeClr>
                </a:solidFill>
                <a:round/>
              </a:ln>
              <a:effectLst/>
            </c:spPr>
          </c:errBars>
          <c:errBars>
            <c:errDir val="x"/>
            <c:errBarType val="both"/>
            <c:errValType val="fixedVal"/>
            <c:noEndCap val="0"/>
            <c:val val="0"/>
            <c:spPr>
              <a:noFill/>
              <a:ln w="9525">
                <a:solidFill>
                  <a:schemeClr val="tx2">
                    <a:lumMod val="75000"/>
                  </a:schemeClr>
                </a:solidFill>
                <a:round/>
              </a:ln>
              <a:effectLst/>
            </c:spPr>
          </c:errBars>
          <c:xVal>
            <c:numRef>
              <c:f>'7. Sample B Conf. Intervals'!$B$81:$B$92</c:f>
              <c:numCache>
                <c:formatCode>0%</c:formatCode>
                <c:ptCount val="12"/>
                <c:pt idx="0">
                  <c:v>0</c:v>
                </c:pt>
                <c:pt idx="1">
                  <c:v>0.05</c:v>
                </c:pt>
                <c:pt idx="2">
                  <c:v>0.15000000000000002</c:v>
                </c:pt>
                <c:pt idx="3">
                  <c:v>0.25</c:v>
                </c:pt>
                <c:pt idx="4">
                  <c:v>0.35</c:v>
                </c:pt>
                <c:pt idx="5">
                  <c:v>0.45</c:v>
                </c:pt>
                <c:pt idx="6">
                  <c:v>0.55000000000000004</c:v>
                </c:pt>
                <c:pt idx="7">
                  <c:v>0.64999999999999991</c:v>
                </c:pt>
                <c:pt idx="8">
                  <c:v>0.75</c:v>
                </c:pt>
                <c:pt idx="9">
                  <c:v>0.85000000000000009</c:v>
                </c:pt>
                <c:pt idx="10">
                  <c:v>0.95</c:v>
                </c:pt>
                <c:pt idx="11">
                  <c:v>1</c:v>
                </c:pt>
              </c:numCache>
            </c:numRef>
          </c:xVal>
          <c:yVal>
            <c:numRef>
              <c:f>'7. Sample B Conf. Intervals'!$E$81:$E$92</c:f>
              <c:numCache>
                <c:formatCode>0%</c:formatCode>
                <c:ptCount val="12"/>
                <c:pt idx="0">
                  <c:v>1</c:v>
                </c:pt>
                <c:pt idx="1">
                  <c:v>1</c:v>
                </c:pt>
                <c:pt idx="2">
                  <c:v>0.98897865471843871</c:v>
                </c:pt>
                <c:pt idx="3">
                  <c:v>0.97748991434189059</c:v>
                </c:pt>
                <c:pt idx="4">
                  <c:v>0.96697150934418363</c:v>
                </c:pt>
                <c:pt idx="5">
                  <c:v>0.95554381253758713</c:v>
                </c:pt>
                <c:pt idx="6">
                  <c:v>0.93753797047740206</c:v>
                </c:pt>
                <c:pt idx="7">
                  <c:v>0.92809142875032569</c:v>
                </c:pt>
                <c:pt idx="8">
                  <c:v>0.90435697802075898</c:v>
                </c:pt>
                <c:pt idx="9">
                  <c:v>0.86859389883099813</c:v>
                </c:pt>
                <c:pt idx="10">
                  <c:v>0.79274336813557678</c:v>
                </c:pt>
                <c:pt idx="11">
                  <c:v>0.31086433855716178</c:v>
                </c:pt>
              </c:numCache>
            </c:numRef>
          </c:yVal>
          <c:smooth val="1"/>
          <c:extLst>
            <c:ext xmlns:c16="http://schemas.microsoft.com/office/drawing/2014/chart" uri="{C3380CC4-5D6E-409C-BE32-E72D297353CC}">
              <c16:uniqueId val="{00000004-B52E-D242-BC28-C99A3957C275}"/>
            </c:ext>
          </c:extLst>
        </c:ser>
        <c:dLbls>
          <c:showLegendKey val="0"/>
          <c:showVal val="0"/>
          <c:showCatName val="0"/>
          <c:showSerName val="0"/>
          <c:showPercent val="0"/>
          <c:showBubbleSize val="0"/>
        </c:dLbls>
        <c:axId val="182050152"/>
        <c:axId val="130788960"/>
      </c:scatterChart>
      <c:valAx>
        <c:axId val="182050152"/>
        <c:scaling>
          <c:orientation val="minMax"/>
          <c:max val="1"/>
        </c:scaling>
        <c:delete val="0"/>
        <c:axPos val="b"/>
        <c:title>
          <c:tx>
            <c:rich>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Lberation class (% liberation)</a:t>
                </a:r>
              </a:p>
            </c:rich>
          </c:tx>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30788960"/>
        <c:crosses val="autoZero"/>
        <c:crossBetween val="midCat"/>
      </c:valAx>
      <c:valAx>
        <c:axId val="130788960"/>
        <c:scaling>
          <c:orientation val="minMax"/>
          <c:max val="1"/>
          <c:min val="0"/>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ZA"/>
                  <a:t>Cumulative liberation yield (%)</a:t>
                </a:r>
              </a:p>
            </c:rich>
          </c:tx>
          <c:layout>
            <c:manualLayout>
              <c:xMode val="edge"/>
              <c:yMode val="edge"/>
              <c:x val="4.3356936055683783E-3"/>
              <c:y val="0.18218059416271981"/>
            </c:manualLayout>
          </c:layout>
          <c:overlay val="0"/>
          <c:spPr>
            <a:noFill/>
            <a:ln>
              <a:noFill/>
            </a:ln>
            <a:effectLst/>
          </c:spPr>
          <c:txPr>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82050152"/>
        <c:crosses val="autoZero"/>
        <c:crossBetween val="midCat"/>
      </c:valAx>
      <c:spPr>
        <a:noFill/>
        <a:ln>
          <a:noFill/>
        </a:ln>
        <a:effectLst/>
      </c:spPr>
    </c:plotArea>
    <c:legend>
      <c:legendPos val="b"/>
      <c:layout>
        <c:manualLayout>
          <c:xMode val="edge"/>
          <c:yMode val="edge"/>
          <c:x val="1.9173564235624621E-2"/>
          <c:y val="0.93402409341525094"/>
          <c:w val="0.96165287152875079"/>
          <c:h val="6.5975906584749069E-2"/>
        </c:manualLayout>
      </c:layout>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600" b="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10030469674396"/>
          <c:y val="3.723927113862778E-2"/>
          <c:w val="0.85922106147272137"/>
          <c:h val="0.79081161795703803"/>
        </c:manualLayout>
      </c:layout>
      <c:scatterChart>
        <c:scatterStyle val="smoothMarker"/>
        <c:varyColors val="0"/>
        <c:ser>
          <c:idx val="0"/>
          <c:order val="0"/>
          <c:tx>
            <c:strRef>
              <c:f>'8. Sample C Conf. Intervals'!$A$33:$A$44</c:f>
              <c:strCache>
                <c:ptCount val="12"/>
                <c:pt idx="0">
                  <c:v>-6700/+2000</c:v>
                </c:pt>
              </c:strCache>
            </c:strRef>
          </c:tx>
          <c:spPr>
            <a:ln w="9525" cap="rnd">
              <a:solidFill>
                <a:schemeClr val="accent1"/>
              </a:solidFill>
              <a:round/>
            </a:ln>
            <a:effectLst/>
          </c:spPr>
          <c:marker>
            <c:symbol val="square"/>
            <c:size val="1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errBars>
            <c:errDir val="y"/>
            <c:errBarType val="both"/>
            <c:errValType val="cust"/>
            <c:noEndCap val="0"/>
            <c:plus>
              <c:numRef>
                <c:f>'8. Sample C Conf. Intervals'!$J$33:$J$44</c:f>
                <c:numCache>
                  <c:formatCode>General</c:formatCode>
                  <c:ptCount val="12"/>
                  <c:pt idx="0">
                    <c:v>0</c:v>
                  </c:pt>
                  <c:pt idx="1">
                    <c:v>0</c:v>
                  </c:pt>
                  <c:pt idx="2">
                    <c:v>3.4560789422359593E-2</c:v>
                  </c:pt>
                  <c:pt idx="3">
                    <c:v>5.6979080901087463E-2</c:v>
                  </c:pt>
                  <c:pt idx="4">
                    <c:v>6.9790014466099365E-2</c:v>
                  </c:pt>
                  <c:pt idx="5">
                    <c:v>7.8142942603250623E-2</c:v>
                  </c:pt>
                  <c:pt idx="6">
                    <c:v>8.2118193735985529E-2</c:v>
                  </c:pt>
                  <c:pt idx="7">
                    <c:v>8.5987425748478216E-2</c:v>
                  </c:pt>
                  <c:pt idx="8">
                    <c:v>8.4769451049604871E-2</c:v>
                  </c:pt>
                  <c:pt idx="9">
                    <c:v>7.3585070475033362E-2</c:v>
                  </c:pt>
                  <c:pt idx="10">
                    <c:v>5.314155210223933E-2</c:v>
                  </c:pt>
                  <c:pt idx="11">
                    <c:v>0</c:v>
                  </c:pt>
                </c:numCache>
              </c:numRef>
            </c:plus>
            <c:minus>
              <c:numRef>
                <c:f>'8. Sample C Conf. Intervals'!$J$33:$J$44</c:f>
                <c:numCache>
                  <c:formatCode>General</c:formatCode>
                  <c:ptCount val="12"/>
                  <c:pt idx="0">
                    <c:v>0</c:v>
                  </c:pt>
                  <c:pt idx="1">
                    <c:v>0</c:v>
                  </c:pt>
                  <c:pt idx="2">
                    <c:v>3.4560789422359593E-2</c:v>
                  </c:pt>
                  <c:pt idx="3">
                    <c:v>5.6979080901087463E-2</c:v>
                  </c:pt>
                  <c:pt idx="4">
                    <c:v>6.9790014466099365E-2</c:v>
                  </c:pt>
                  <c:pt idx="5">
                    <c:v>7.8142942603250623E-2</c:v>
                  </c:pt>
                  <c:pt idx="6">
                    <c:v>8.2118193735985529E-2</c:v>
                  </c:pt>
                  <c:pt idx="7">
                    <c:v>8.5987425748478216E-2</c:v>
                  </c:pt>
                  <c:pt idx="8">
                    <c:v>8.4769451049604871E-2</c:v>
                  </c:pt>
                  <c:pt idx="9">
                    <c:v>7.3585070475033362E-2</c:v>
                  </c:pt>
                  <c:pt idx="10">
                    <c:v>5.314155210223933E-2</c:v>
                  </c:pt>
                  <c:pt idx="11">
                    <c:v>0</c:v>
                  </c:pt>
                </c:numCache>
              </c:numRef>
            </c:minus>
            <c:spPr>
              <a:noFill/>
              <a:ln w="9525">
                <a:solidFill>
                  <a:schemeClr val="tx2">
                    <a:lumMod val="75000"/>
                  </a:schemeClr>
                </a:solidFill>
                <a:round/>
              </a:ln>
              <a:effectLst/>
            </c:spPr>
          </c:errBars>
          <c:errBars>
            <c:errDir val="x"/>
            <c:errBarType val="both"/>
            <c:errValType val="fixedVal"/>
            <c:noEndCap val="0"/>
            <c:val val="0"/>
            <c:spPr>
              <a:noFill/>
              <a:ln w="9525">
                <a:solidFill>
                  <a:schemeClr val="tx2">
                    <a:lumMod val="75000"/>
                  </a:schemeClr>
                </a:solidFill>
                <a:round/>
              </a:ln>
              <a:effectLst/>
            </c:spPr>
          </c:errBars>
          <c:xVal>
            <c:numRef>
              <c:f>'8. Sample C Conf. Intervals'!$B$33:$B$44</c:f>
              <c:numCache>
                <c:formatCode>0%</c:formatCode>
                <c:ptCount val="12"/>
                <c:pt idx="0">
                  <c:v>0</c:v>
                </c:pt>
                <c:pt idx="1">
                  <c:v>0.05</c:v>
                </c:pt>
                <c:pt idx="2">
                  <c:v>0.15000000000000002</c:v>
                </c:pt>
                <c:pt idx="3">
                  <c:v>0.25</c:v>
                </c:pt>
                <c:pt idx="4">
                  <c:v>0.35</c:v>
                </c:pt>
                <c:pt idx="5">
                  <c:v>0.45</c:v>
                </c:pt>
                <c:pt idx="6">
                  <c:v>0.55000000000000004</c:v>
                </c:pt>
                <c:pt idx="7">
                  <c:v>0.64999999999999991</c:v>
                </c:pt>
                <c:pt idx="8">
                  <c:v>0.75</c:v>
                </c:pt>
                <c:pt idx="9">
                  <c:v>0.85000000000000009</c:v>
                </c:pt>
                <c:pt idx="10">
                  <c:v>0.95</c:v>
                </c:pt>
                <c:pt idx="11">
                  <c:v>1</c:v>
                </c:pt>
              </c:numCache>
            </c:numRef>
          </c:xVal>
          <c:yVal>
            <c:numRef>
              <c:f>'8. Sample C Conf. Intervals'!$E$33:$E$44</c:f>
              <c:numCache>
                <c:formatCode>0%</c:formatCode>
                <c:ptCount val="12"/>
                <c:pt idx="0">
                  <c:v>1</c:v>
                </c:pt>
                <c:pt idx="1">
                  <c:v>1</c:v>
                </c:pt>
                <c:pt idx="2">
                  <c:v>0.78851515182406395</c:v>
                </c:pt>
                <c:pt idx="3">
                  <c:v>0.631010113409465</c:v>
                </c:pt>
                <c:pt idx="4">
                  <c:v>0.53952045900256707</c:v>
                </c:pt>
                <c:pt idx="5">
                  <c:v>0.43966665857885456</c:v>
                </c:pt>
                <c:pt idx="6">
                  <c:v>0.39468677196492596</c:v>
                </c:pt>
                <c:pt idx="7">
                  <c:v>0.33640515067516558</c:v>
                </c:pt>
                <c:pt idx="8">
                  <c:v>0.27292401369358177</c:v>
                </c:pt>
                <c:pt idx="9">
                  <c:v>0.17342622131066757</c:v>
                </c:pt>
                <c:pt idx="10">
                  <c:v>7.3383742807525562E-2</c:v>
                </c:pt>
                <c:pt idx="11">
                  <c:v>0</c:v>
                </c:pt>
              </c:numCache>
            </c:numRef>
          </c:yVal>
          <c:smooth val="1"/>
          <c:extLst>
            <c:ext xmlns:c16="http://schemas.microsoft.com/office/drawing/2014/chart" uri="{C3380CC4-5D6E-409C-BE32-E72D297353CC}">
              <c16:uniqueId val="{00000000-2CF8-C144-87A1-2483D0736D2F}"/>
            </c:ext>
          </c:extLst>
        </c:ser>
        <c:ser>
          <c:idx val="3"/>
          <c:order val="1"/>
          <c:tx>
            <c:strRef>
              <c:f>'8. Sample C Conf. Intervals'!$A$45:$A$56</c:f>
              <c:strCache>
                <c:ptCount val="12"/>
                <c:pt idx="0">
                  <c:v>-2000/+1000</c:v>
                </c:pt>
              </c:strCache>
            </c:strRef>
          </c:tx>
          <c:spPr>
            <a:ln w="9525" cap="rnd">
              <a:solidFill>
                <a:schemeClr val="accent4"/>
              </a:solidFill>
              <a:round/>
            </a:ln>
            <a:effectLst/>
          </c:spPr>
          <c:marker>
            <c:symbol val="diamond"/>
            <c:size val="10"/>
            <c:spPr>
              <a:solidFill>
                <a:schemeClr val="accent4"/>
              </a:solidFill>
              <a:ln w="9525">
                <a:solidFill>
                  <a:schemeClr val="accent4"/>
                </a:solidFill>
                <a:round/>
              </a:ln>
              <a:effectLst/>
            </c:spPr>
          </c:marker>
          <c:errBars>
            <c:errDir val="y"/>
            <c:errBarType val="both"/>
            <c:errValType val="cust"/>
            <c:noEndCap val="0"/>
            <c:plus>
              <c:numRef>
                <c:f>'8. Sample C Conf. Intervals'!$J$45:$J$56</c:f>
                <c:numCache>
                  <c:formatCode>General</c:formatCode>
                  <c:ptCount val="12"/>
                  <c:pt idx="0">
                    <c:v>0</c:v>
                  </c:pt>
                  <c:pt idx="1">
                    <c:v>0</c:v>
                  </c:pt>
                  <c:pt idx="2">
                    <c:v>1.4695056810015421E-2</c:v>
                  </c:pt>
                  <c:pt idx="3">
                    <c:v>2.6639959821264877E-2</c:v>
                  </c:pt>
                  <c:pt idx="4">
                    <c:v>3.2334774574591323E-2</c:v>
                  </c:pt>
                  <c:pt idx="5">
                    <c:v>3.7869292852730968E-2</c:v>
                  </c:pt>
                  <c:pt idx="6">
                    <c:v>4.3272179365222332E-2</c:v>
                  </c:pt>
                  <c:pt idx="7">
                    <c:v>4.5625516226737987E-2</c:v>
                  </c:pt>
                  <c:pt idx="8">
                    <c:v>4.794277041874586E-2</c:v>
                  </c:pt>
                  <c:pt idx="9">
                    <c:v>5.0272409415188568E-2</c:v>
                  </c:pt>
                  <c:pt idx="10">
                    <c:v>5.0383825645357157E-2</c:v>
                  </c:pt>
                  <c:pt idx="11">
                    <c:v>0</c:v>
                  </c:pt>
                </c:numCache>
              </c:numRef>
            </c:plus>
            <c:minus>
              <c:numRef>
                <c:f>'8. Sample C Conf. Intervals'!$J$45:$J$56</c:f>
                <c:numCache>
                  <c:formatCode>General</c:formatCode>
                  <c:ptCount val="12"/>
                  <c:pt idx="0">
                    <c:v>0</c:v>
                  </c:pt>
                  <c:pt idx="1">
                    <c:v>0</c:v>
                  </c:pt>
                  <c:pt idx="2">
                    <c:v>1.4695056810015421E-2</c:v>
                  </c:pt>
                  <c:pt idx="3">
                    <c:v>2.6639959821264877E-2</c:v>
                  </c:pt>
                  <c:pt idx="4">
                    <c:v>3.2334774574591323E-2</c:v>
                  </c:pt>
                  <c:pt idx="5">
                    <c:v>3.7869292852730968E-2</c:v>
                  </c:pt>
                  <c:pt idx="6">
                    <c:v>4.3272179365222332E-2</c:v>
                  </c:pt>
                  <c:pt idx="7">
                    <c:v>4.5625516226737987E-2</c:v>
                  </c:pt>
                  <c:pt idx="8">
                    <c:v>4.794277041874586E-2</c:v>
                  </c:pt>
                  <c:pt idx="9">
                    <c:v>5.0272409415188568E-2</c:v>
                  </c:pt>
                  <c:pt idx="10">
                    <c:v>5.0383825645357157E-2</c:v>
                  </c:pt>
                  <c:pt idx="11">
                    <c:v>0</c:v>
                  </c:pt>
                </c:numCache>
              </c:numRef>
            </c:minus>
            <c:spPr>
              <a:noFill/>
              <a:ln w="9525">
                <a:solidFill>
                  <a:schemeClr val="tx2">
                    <a:lumMod val="75000"/>
                  </a:schemeClr>
                </a:solidFill>
                <a:round/>
              </a:ln>
              <a:effectLst/>
            </c:spPr>
          </c:errBars>
          <c:errBars>
            <c:errDir val="x"/>
            <c:errBarType val="both"/>
            <c:errValType val="fixedVal"/>
            <c:noEndCap val="0"/>
            <c:val val="0"/>
            <c:spPr>
              <a:noFill/>
              <a:ln w="9525">
                <a:solidFill>
                  <a:schemeClr val="tx2">
                    <a:lumMod val="75000"/>
                  </a:schemeClr>
                </a:solidFill>
                <a:round/>
              </a:ln>
              <a:effectLst/>
            </c:spPr>
          </c:errBars>
          <c:xVal>
            <c:numRef>
              <c:f>'8. Sample C Conf. Intervals'!$B$45:$B$56</c:f>
              <c:numCache>
                <c:formatCode>0%</c:formatCode>
                <c:ptCount val="12"/>
                <c:pt idx="0">
                  <c:v>0</c:v>
                </c:pt>
                <c:pt idx="1">
                  <c:v>0.05</c:v>
                </c:pt>
                <c:pt idx="2">
                  <c:v>0.15000000000000002</c:v>
                </c:pt>
                <c:pt idx="3">
                  <c:v>0.25</c:v>
                </c:pt>
                <c:pt idx="4">
                  <c:v>0.35</c:v>
                </c:pt>
                <c:pt idx="5">
                  <c:v>0.45</c:v>
                </c:pt>
                <c:pt idx="6">
                  <c:v>0.55000000000000004</c:v>
                </c:pt>
                <c:pt idx="7">
                  <c:v>0.64999999999999991</c:v>
                </c:pt>
                <c:pt idx="8">
                  <c:v>0.75</c:v>
                </c:pt>
                <c:pt idx="9">
                  <c:v>0.85000000000000009</c:v>
                </c:pt>
                <c:pt idx="10">
                  <c:v>0.95</c:v>
                </c:pt>
                <c:pt idx="11">
                  <c:v>1</c:v>
                </c:pt>
              </c:numCache>
            </c:numRef>
          </c:xVal>
          <c:yVal>
            <c:numRef>
              <c:f>'8. Sample C Conf. Intervals'!$E$45:$E$56</c:f>
              <c:numCache>
                <c:formatCode>0%</c:formatCode>
                <c:ptCount val="12"/>
                <c:pt idx="0">
                  <c:v>1</c:v>
                </c:pt>
                <c:pt idx="1">
                  <c:v>1</c:v>
                </c:pt>
                <c:pt idx="2">
                  <c:v>0.85989462765665803</c:v>
                </c:pt>
                <c:pt idx="3">
                  <c:v>0.737774530813183</c:v>
                </c:pt>
                <c:pt idx="4">
                  <c:v>0.6814468975429514</c:v>
                </c:pt>
                <c:pt idx="5">
                  <c:v>0.61742471152055456</c:v>
                </c:pt>
                <c:pt idx="6">
                  <c:v>0.54818823512866133</c:v>
                </c:pt>
                <c:pt idx="7">
                  <c:v>0.50671149573746488</c:v>
                </c:pt>
                <c:pt idx="8">
                  <c:v>0.45120175242129279</c:v>
                </c:pt>
                <c:pt idx="9">
                  <c:v>0.39308022097349549</c:v>
                </c:pt>
                <c:pt idx="10">
                  <c:v>0.27212260996891846</c:v>
                </c:pt>
                <c:pt idx="11">
                  <c:v>4.4408920985006262E-16</c:v>
                </c:pt>
              </c:numCache>
            </c:numRef>
          </c:yVal>
          <c:smooth val="1"/>
          <c:extLst>
            <c:ext xmlns:c16="http://schemas.microsoft.com/office/drawing/2014/chart" uri="{C3380CC4-5D6E-409C-BE32-E72D297353CC}">
              <c16:uniqueId val="{00000001-2CF8-C144-87A1-2483D0736D2F}"/>
            </c:ext>
          </c:extLst>
        </c:ser>
        <c:ser>
          <c:idx val="9"/>
          <c:order val="2"/>
          <c:tx>
            <c:strRef>
              <c:f>'8. Sample C Conf. Intervals'!$A$57:$A$68</c:f>
              <c:strCache>
                <c:ptCount val="12"/>
                <c:pt idx="0">
                  <c:v>-1000/+425</c:v>
                </c:pt>
              </c:strCache>
            </c:strRef>
          </c:tx>
          <c:spPr>
            <a:ln w="9525" cap="rnd">
              <a:solidFill>
                <a:schemeClr val="accent4">
                  <a:lumMod val="60000"/>
                </a:schemeClr>
              </a:solidFill>
              <a:round/>
            </a:ln>
            <a:effectLst/>
          </c:spPr>
          <c:marker>
            <c:symbol val="circle"/>
            <c:size val="10"/>
            <c:spPr>
              <a:solidFill>
                <a:schemeClr val="accent6"/>
              </a:solidFill>
              <a:ln w="9525">
                <a:noFill/>
                <a:round/>
              </a:ln>
              <a:effectLst/>
            </c:spPr>
          </c:marker>
          <c:errBars>
            <c:errDir val="y"/>
            <c:errBarType val="both"/>
            <c:errValType val="cust"/>
            <c:noEndCap val="0"/>
            <c:plus>
              <c:numRef>
                <c:f>'8. Sample C Conf. Intervals'!$J$57:$J$68</c:f>
                <c:numCache>
                  <c:formatCode>General</c:formatCode>
                  <c:ptCount val="12"/>
                  <c:pt idx="0">
                    <c:v>0</c:v>
                  </c:pt>
                  <c:pt idx="1">
                    <c:v>0</c:v>
                  </c:pt>
                  <c:pt idx="2">
                    <c:v>2.0397208292806931E-2</c:v>
                  </c:pt>
                  <c:pt idx="3">
                    <c:v>3.3745707359415497E-2</c:v>
                  </c:pt>
                  <c:pt idx="4">
                    <c:v>4.1428387309791211E-2</c:v>
                  </c:pt>
                  <c:pt idx="5">
                    <c:v>4.6265696664349903E-2</c:v>
                  </c:pt>
                  <c:pt idx="6">
                    <c:v>4.915891084361363E-2</c:v>
                  </c:pt>
                  <c:pt idx="7">
                    <c:v>5.0551306732251736E-2</c:v>
                  </c:pt>
                  <c:pt idx="8">
                    <c:v>5.1847725126284612E-2</c:v>
                  </c:pt>
                  <c:pt idx="9">
                    <c:v>5.3558649422635954E-2</c:v>
                  </c:pt>
                  <c:pt idx="10">
                    <c:v>5.1777737817149394E-2</c:v>
                  </c:pt>
                  <c:pt idx="11">
                    <c:v>0</c:v>
                  </c:pt>
                </c:numCache>
              </c:numRef>
            </c:plus>
            <c:minus>
              <c:numRef>
                <c:f>'8. Sample C Conf. Intervals'!$J$57:$J$68</c:f>
                <c:numCache>
                  <c:formatCode>General</c:formatCode>
                  <c:ptCount val="12"/>
                  <c:pt idx="0">
                    <c:v>0</c:v>
                  </c:pt>
                  <c:pt idx="1">
                    <c:v>0</c:v>
                  </c:pt>
                  <c:pt idx="2">
                    <c:v>2.0397208292806931E-2</c:v>
                  </c:pt>
                  <c:pt idx="3">
                    <c:v>3.3745707359415497E-2</c:v>
                  </c:pt>
                  <c:pt idx="4">
                    <c:v>4.1428387309791211E-2</c:v>
                  </c:pt>
                  <c:pt idx="5">
                    <c:v>4.6265696664349903E-2</c:v>
                  </c:pt>
                  <c:pt idx="6">
                    <c:v>4.915891084361363E-2</c:v>
                  </c:pt>
                  <c:pt idx="7">
                    <c:v>5.0551306732251736E-2</c:v>
                  </c:pt>
                  <c:pt idx="8">
                    <c:v>5.1847725126284612E-2</c:v>
                  </c:pt>
                  <c:pt idx="9">
                    <c:v>5.3558649422635954E-2</c:v>
                  </c:pt>
                  <c:pt idx="10">
                    <c:v>5.1777737817149394E-2</c:v>
                  </c:pt>
                  <c:pt idx="11">
                    <c:v>0</c:v>
                  </c:pt>
                </c:numCache>
              </c:numRef>
            </c:minus>
            <c:spPr>
              <a:noFill/>
              <a:ln w="9525">
                <a:solidFill>
                  <a:schemeClr val="tx2">
                    <a:lumMod val="75000"/>
                  </a:schemeClr>
                </a:solidFill>
                <a:round/>
              </a:ln>
              <a:effectLst/>
            </c:spPr>
          </c:errBars>
          <c:errBars>
            <c:errDir val="x"/>
            <c:errBarType val="both"/>
            <c:errValType val="fixedVal"/>
            <c:noEndCap val="0"/>
            <c:val val="0"/>
            <c:spPr>
              <a:noFill/>
              <a:ln w="9525">
                <a:solidFill>
                  <a:schemeClr val="tx2">
                    <a:lumMod val="75000"/>
                  </a:schemeClr>
                </a:solidFill>
                <a:round/>
              </a:ln>
              <a:effectLst/>
            </c:spPr>
          </c:errBars>
          <c:xVal>
            <c:numRef>
              <c:f>'8. Sample C Conf. Intervals'!$B$57:$B$68</c:f>
              <c:numCache>
                <c:formatCode>0%</c:formatCode>
                <c:ptCount val="12"/>
                <c:pt idx="0">
                  <c:v>0</c:v>
                </c:pt>
                <c:pt idx="1">
                  <c:v>0.05</c:v>
                </c:pt>
                <c:pt idx="2">
                  <c:v>0.15000000000000002</c:v>
                </c:pt>
                <c:pt idx="3">
                  <c:v>0.25</c:v>
                </c:pt>
                <c:pt idx="4">
                  <c:v>0.35</c:v>
                </c:pt>
                <c:pt idx="5">
                  <c:v>0.45</c:v>
                </c:pt>
                <c:pt idx="6">
                  <c:v>0.55000000000000004</c:v>
                </c:pt>
                <c:pt idx="7">
                  <c:v>0.64999999999999991</c:v>
                </c:pt>
                <c:pt idx="8">
                  <c:v>0.75</c:v>
                </c:pt>
                <c:pt idx="9">
                  <c:v>0.85000000000000009</c:v>
                </c:pt>
                <c:pt idx="10">
                  <c:v>0.95</c:v>
                </c:pt>
                <c:pt idx="11">
                  <c:v>1</c:v>
                </c:pt>
              </c:numCache>
            </c:numRef>
          </c:xVal>
          <c:yVal>
            <c:numRef>
              <c:f>'8. Sample C Conf. Intervals'!$E$57:$E$68</c:f>
              <c:numCache>
                <c:formatCode>0%</c:formatCode>
                <c:ptCount val="12"/>
                <c:pt idx="0">
                  <c:v>1</c:v>
                </c:pt>
                <c:pt idx="1">
                  <c:v>1</c:v>
                </c:pt>
                <c:pt idx="2">
                  <c:v>0.80144750074943505</c:v>
                </c:pt>
                <c:pt idx="3">
                  <c:v>0.68561344961539106</c:v>
                </c:pt>
                <c:pt idx="4">
                  <c:v>0.6132289613084887</c:v>
                </c:pt>
                <c:pt idx="5">
                  <c:v>0.56432717626661189</c:v>
                </c:pt>
                <c:pt idx="6">
                  <c:v>0.51855271035643125</c:v>
                </c:pt>
                <c:pt idx="7">
                  <c:v>0.49873806410759375</c:v>
                </c:pt>
                <c:pt idx="8">
                  <c:v>0.47190589839260694</c:v>
                </c:pt>
                <c:pt idx="9">
                  <c:v>0.38732644567833613</c:v>
                </c:pt>
                <c:pt idx="10">
                  <c:v>0.26833060207204912</c:v>
                </c:pt>
                <c:pt idx="11">
                  <c:v>1.5039107634451376E-3</c:v>
                </c:pt>
              </c:numCache>
            </c:numRef>
          </c:yVal>
          <c:smooth val="1"/>
          <c:extLst>
            <c:ext xmlns:c16="http://schemas.microsoft.com/office/drawing/2014/chart" uri="{C3380CC4-5D6E-409C-BE32-E72D297353CC}">
              <c16:uniqueId val="{00000002-2CF8-C144-87A1-2483D0736D2F}"/>
            </c:ext>
          </c:extLst>
        </c:ser>
        <c:ser>
          <c:idx val="12"/>
          <c:order val="3"/>
          <c:tx>
            <c:strRef>
              <c:f>'8. Sample C Conf. Intervals'!$A$69:$A$80</c:f>
              <c:strCache>
                <c:ptCount val="12"/>
                <c:pt idx="0">
                  <c:v>-425/+150</c:v>
                </c:pt>
              </c:strCache>
            </c:strRef>
          </c:tx>
          <c:spPr>
            <a:ln w="9525" cap="rnd">
              <a:solidFill>
                <a:schemeClr val="accent1">
                  <a:lumMod val="80000"/>
                  <a:lumOff val="20000"/>
                </a:schemeClr>
              </a:solidFill>
              <a:round/>
            </a:ln>
            <a:effectLst/>
          </c:spPr>
          <c:marker>
            <c:symbol val="triangle"/>
            <c:size val="10"/>
            <c:spPr>
              <a:solidFill>
                <a:schemeClr val="accent2"/>
              </a:solidFill>
              <a:ln w="9525">
                <a:solidFill>
                  <a:schemeClr val="accent2"/>
                </a:solidFill>
                <a:round/>
              </a:ln>
              <a:effectLst/>
            </c:spPr>
          </c:marker>
          <c:errBars>
            <c:errDir val="y"/>
            <c:errBarType val="both"/>
            <c:errValType val="cust"/>
            <c:noEndCap val="0"/>
            <c:plus>
              <c:numRef>
                <c:f>'8. Sample C Conf. Intervals'!$J$69:$J$80</c:f>
                <c:numCache>
                  <c:formatCode>General</c:formatCode>
                  <c:ptCount val="12"/>
                  <c:pt idx="0">
                    <c:v>0</c:v>
                  </c:pt>
                  <c:pt idx="1">
                    <c:v>0</c:v>
                  </c:pt>
                  <c:pt idx="2">
                    <c:v>1.0862822114877761E-2</c:v>
                  </c:pt>
                  <c:pt idx="3">
                    <c:v>1.7368780332882746E-2</c:v>
                  </c:pt>
                  <c:pt idx="4">
                    <c:v>2.1719395559198135E-2</c:v>
                  </c:pt>
                  <c:pt idx="5">
                    <c:v>2.4204485958646983E-2</c:v>
                  </c:pt>
                  <c:pt idx="6">
                    <c:v>2.5584278017334646E-2</c:v>
                  </c:pt>
                  <c:pt idx="7">
                    <c:v>2.682117286595968E-2</c:v>
                  </c:pt>
                  <c:pt idx="8">
                    <c:v>2.7806684702546651E-2</c:v>
                  </c:pt>
                  <c:pt idx="9">
                    <c:v>3.1527458300662281E-2</c:v>
                  </c:pt>
                  <c:pt idx="10">
                    <c:v>3.7840270934836343E-2</c:v>
                  </c:pt>
                  <c:pt idx="11">
                    <c:v>0</c:v>
                  </c:pt>
                </c:numCache>
              </c:numRef>
            </c:plus>
            <c:minus>
              <c:numRef>
                <c:f>'8. Sample C Conf. Intervals'!$J$69:$J$80</c:f>
                <c:numCache>
                  <c:formatCode>General</c:formatCode>
                  <c:ptCount val="12"/>
                  <c:pt idx="0">
                    <c:v>0</c:v>
                  </c:pt>
                  <c:pt idx="1">
                    <c:v>0</c:v>
                  </c:pt>
                  <c:pt idx="2">
                    <c:v>1.0862822114877761E-2</c:v>
                  </c:pt>
                  <c:pt idx="3">
                    <c:v>1.7368780332882746E-2</c:v>
                  </c:pt>
                  <c:pt idx="4">
                    <c:v>2.1719395559198135E-2</c:v>
                  </c:pt>
                  <c:pt idx="5">
                    <c:v>2.4204485958646983E-2</c:v>
                  </c:pt>
                  <c:pt idx="6">
                    <c:v>2.5584278017334646E-2</c:v>
                  </c:pt>
                  <c:pt idx="7">
                    <c:v>2.682117286595968E-2</c:v>
                  </c:pt>
                  <c:pt idx="8">
                    <c:v>2.7806684702546651E-2</c:v>
                  </c:pt>
                  <c:pt idx="9">
                    <c:v>3.1527458300662281E-2</c:v>
                  </c:pt>
                  <c:pt idx="10">
                    <c:v>3.7840270934836343E-2</c:v>
                  </c:pt>
                  <c:pt idx="11">
                    <c:v>0</c:v>
                  </c:pt>
                </c:numCache>
              </c:numRef>
            </c:minus>
            <c:spPr>
              <a:noFill/>
              <a:ln w="9525">
                <a:solidFill>
                  <a:schemeClr val="tx2">
                    <a:lumMod val="75000"/>
                  </a:schemeClr>
                </a:solidFill>
                <a:round/>
              </a:ln>
              <a:effectLst/>
            </c:spPr>
          </c:errBars>
          <c:errBars>
            <c:errDir val="x"/>
            <c:errBarType val="both"/>
            <c:errValType val="fixedVal"/>
            <c:noEndCap val="0"/>
            <c:val val="0"/>
            <c:spPr>
              <a:noFill/>
              <a:ln w="9525">
                <a:solidFill>
                  <a:schemeClr val="tx2">
                    <a:lumMod val="75000"/>
                  </a:schemeClr>
                </a:solidFill>
                <a:round/>
              </a:ln>
              <a:effectLst/>
            </c:spPr>
          </c:errBars>
          <c:xVal>
            <c:numRef>
              <c:f>'8. Sample C Conf. Intervals'!$B$69:$B$80</c:f>
              <c:numCache>
                <c:formatCode>0%</c:formatCode>
                <c:ptCount val="12"/>
                <c:pt idx="0">
                  <c:v>0</c:v>
                </c:pt>
                <c:pt idx="1">
                  <c:v>0.05</c:v>
                </c:pt>
                <c:pt idx="2">
                  <c:v>0.15000000000000002</c:v>
                </c:pt>
                <c:pt idx="3">
                  <c:v>0.25</c:v>
                </c:pt>
                <c:pt idx="4">
                  <c:v>0.35</c:v>
                </c:pt>
                <c:pt idx="5">
                  <c:v>0.45</c:v>
                </c:pt>
                <c:pt idx="6">
                  <c:v>0.55000000000000004</c:v>
                </c:pt>
                <c:pt idx="7">
                  <c:v>0.64999999999999991</c:v>
                </c:pt>
                <c:pt idx="8">
                  <c:v>0.75</c:v>
                </c:pt>
                <c:pt idx="9">
                  <c:v>0.85000000000000009</c:v>
                </c:pt>
                <c:pt idx="10">
                  <c:v>0.95</c:v>
                </c:pt>
                <c:pt idx="11">
                  <c:v>1</c:v>
                </c:pt>
              </c:numCache>
            </c:numRef>
          </c:xVal>
          <c:yVal>
            <c:numRef>
              <c:f>'8. Sample C Conf. Intervals'!$E$69:$E$80</c:f>
              <c:numCache>
                <c:formatCode>0%</c:formatCode>
                <c:ptCount val="12"/>
                <c:pt idx="0">
                  <c:v>1</c:v>
                </c:pt>
                <c:pt idx="1">
                  <c:v>1</c:v>
                </c:pt>
                <c:pt idx="2">
                  <c:v>0.86816103399032196</c:v>
                </c:pt>
                <c:pt idx="3">
                  <c:v>0.79323980407310324</c:v>
                </c:pt>
                <c:pt idx="4">
                  <c:v>0.73675429579419582</c:v>
                </c:pt>
                <c:pt idx="5">
                  <c:v>0.70360635502413549</c:v>
                </c:pt>
                <c:pt idx="6">
                  <c:v>0.68344929347117644</c:v>
                </c:pt>
                <c:pt idx="7">
                  <c:v>0.66634456056815294</c:v>
                </c:pt>
                <c:pt idx="8">
                  <c:v>0.65205321617787104</c:v>
                </c:pt>
                <c:pt idx="9">
                  <c:v>0.58294896021805553</c:v>
                </c:pt>
                <c:pt idx="10">
                  <c:v>0.40963639309131855</c:v>
                </c:pt>
                <c:pt idx="11">
                  <c:v>2.651368539507537E-3</c:v>
                </c:pt>
              </c:numCache>
            </c:numRef>
          </c:yVal>
          <c:smooth val="1"/>
          <c:extLst>
            <c:ext xmlns:c16="http://schemas.microsoft.com/office/drawing/2014/chart" uri="{C3380CC4-5D6E-409C-BE32-E72D297353CC}">
              <c16:uniqueId val="{00000003-2CF8-C144-87A1-2483D0736D2F}"/>
            </c:ext>
          </c:extLst>
        </c:ser>
        <c:ser>
          <c:idx val="15"/>
          <c:order val="4"/>
          <c:tx>
            <c:strRef>
              <c:f>'8. Sample C Conf. Intervals'!$A$81:$A$92</c:f>
              <c:strCache>
                <c:ptCount val="12"/>
                <c:pt idx="0">
                  <c:v>-150/+0</c:v>
                </c:pt>
              </c:strCache>
            </c:strRef>
          </c:tx>
          <c:spPr>
            <a:ln w="9525" cap="rnd">
              <a:solidFill>
                <a:schemeClr val="accent4">
                  <a:lumMod val="80000"/>
                  <a:lumOff val="20000"/>
                </a:schemeClr>
              </a:solidFill>
              <a:round/>
            </a:ln>
            <a:effectLst/>
          </c:spPr>
          <c:marker>
            <c:symbol val="x"/>
            <c:size val="10"/>
            <c:spPr>
              <a:noFill/>
              <a:ln w="19050">
                <a:solidFill>
                  <a:schemeClr val="tx1"/>
                </a:solidFill>
                <a:round/>
              </a:ln>
              <a:effectLst/>
            </c:spPr>
          </c:marker>
          <c:errBars>
            <c:errDir val="y"/>
            <c:errBarType val="both"/>
            <c:errValType val="cust"/>
            <c:noEndCap val="0"/>
            <c:plus>
              <c:numRef>
                <c:f>'8. Sample C Conf. Intervals'!$J$81:$J$92</c:f>
                <c:numCache>
                  <c:formatCode>General</c:formatCode>
                  <c:ptCount val="12"/>
                  <c:pt idx="0">
                    <c:v>0</c:v>
                  </c:pt>
                  <c:pt idx="1">
                    <c:v>0</c:v>
                  </c:pt>
                  <c:pt idx="2">
                    <c:v>2.601616724646743E-4</c:v>
                  </c:pt>
                  <c:pt idx="3">
                    <c:v>5.2593565118246011E-4</c:v>
                  </c:pt>
                  <c:pt idx="4">
                    <c:v>6.9570790977660534E-4</c:v>
                  </c:pt>
                  <c:pt idx="5">
                    <c:v>8.6840134636853345E-4</c:v>
                  </c:pt>
                  <c:pt idx="6">
                    <c:v>1.0512336332996377E-3</c:v>
                  </c:pt>
                  <c:pt idx="7">
                    <c:v>1.1786430636367305E-3</c:v>
                  </c:pt>
                  <c:pt idx="8">
                    <c:v>1.3820520679871109E-3</c:v>
                  </c:pt>
                  <c:pt idx="9">
                    <c:v>1.6978747160369841E-3</c:v>
                  </c:pt>
                  <c:pt idx="10">
                    <c:v>2.2624236480309336E-3</c:v>
                  </c:pt>
                  <c:pt idx="11">
                    <c:v>0</c:v>
                  </c:pt>
                </c:numCache>
              </c:numRef>
            </c:plus>
            <c:minus>
              <c:numRef>
                <c:f>'8. Sample C Conf. Intervals'!$J$81:$J$92</c:f>
                <c:numCache>
                  <c:formatCode>General</c:formatCode>
                  <c:ptCount val="12"/>
                  <c:pt idx="0">
                    <c:v>0</c:v>
                  </c:pt>
                  <c:pt idx="1">
                    <c:v>0</c:v>
                  </c:pt>
                  <c:pt idx="2">
                    <c:v>2.601616724646743E-4</c:v>
                  </c:pt>
                  <c:pt idx="3">
                    <c:v>5.2593565118246011E-4</c:v>
                  </c:pt>
                  <c:pt idx="4">
                    <c:v>6.9570790977660534E-4</c:v>
                  </c:pt>
                  <c:pt idx="5">
                    <c:v>8.6840134636853345E-4</c:v>
                  </c:pt>
                  <c:pt idx="6">
                    <c:v>1.0512336332996377E-3</c:v>
                  </c:pt>
                  <c:pt idx="7">
                    <c:v>1.1786430636367305E-3</c:v>
                  </c:pt>
                  <c:pt idx="8">
                    <c:v>1.3820520679871109E-3</c:v>
                  </c:pt>
                  <c:pt idx="9">
                    <c:v>1.6978747160369841E-3</c:v>
                  </c:pt>
                  <c:pt idx="10">
                    <c:v>2.2624236480309336E-3</c:v>
                  </c:pt>
                  <c:pt idx="11">
                    <c:v>0</c:v>
                  </c:pt>
                </c:numCache>
              </c:numRef>
            </c:minus>
            <c:spPr>
              <a:noFill/>
              <a:ln w="9525">
                <a:solidFill>
                  <a:schemeClr val="tx2">
                    <a:lumMod val="75000"/>
                  </a:schemeClr>
                </a:solidFill>
                <a:round/>
              </a:ln>
              <a:effectLst/>
            </c:spPr>
          </c:errBars>
          <c:errBars>
            <c:errDir val="x"/>
            <c:errBarType val="both"/>
            <c:errValType val="fixedVal"/>
            <c:noEndCap val="0"/>
            <c:val val="0"/>
            <c:spPr>
              <a:noFill/>
              <a:ln w="9525">
                <a:solidFill>
                  <a:schemeClr val="tx2">
                    <a:lumMod val="75000"/>
                  </a:schemeClr>
                </a:solidFill>
                <a:round/>
              </a:ln>
              <a:effectLst/>
            </c:spPr>
          </c:errBars>
          <c:xVal>
            <c:numRef>
              <c:f>'8. Sample C Conf. Intervals'!$B$81:$B$92</c:f>
              <c:numCache>
                <c:formatCode>0%</c:formatCode>
                <c:ptCount val="12"/>
                <c:pt idx="0">
                  <c:v>0</c:v>
                </c:pt>
                <c:pt idx="1">
                  <c:v>0.05</c:v>
                </c:pt>
                <c:pt idx="2">
                  <c:v>0.15000000000000002</c:v>
                </c:pt>
                <c:pt idx="3">
                  <c:v>0.25</c:v>
                </c:pt>
                <c:pt idx="4">
                  <c:v>0.35</c:v>
                </c:pt>
                <c:pt idx="5">
                  <c:v>0.45</c:v>
                </c:pt>
                <c:pt idx="6">
                  <c:v>0.55000000000000004</c:v>
                </c:pt>
                <c:pt idx="7">
                  <c:v>0.64999999999999991</c:v>
                </c:pt>
                <c:pt idx="8">
                  <c:v>0.75</c:v>
                </c:pt>
                <c:pt idx="9">
                  <c:v>0.85000000000000009</c:v>
                </c:pt>
                <c:pt idx="10">
                  <c:v>0.95</c:v>
                </c:pt>
                <c:pt idx="11">
                  <c:v>1</c:v>
                </c:pt>
              </c:numCache>
            </c:numRef>
          </c:xVal>
          <c:yVal>
            <c:numRef>
              <c:f>'8. Sample C Conf. Intervals'!$E$81:$E$92</c:f>
              <c:numCache>
                <c:formatCode>0%</c:formatCode>
                <c:ptCount val="12"/>
                <c:pt idx="0">
                  <c:v>1</c:v>
                </c:pt>
                <c:pt idx="1">
                  <c:v>1</c:v>
                </c:pt>
                <c:pt idx="2">
                  <c:v>0.97584583486997944</c:v>
                </c:pt>
                <c:pt idx="3">
                  <c:v>0.95046848688709196</c:v>
                </c:pt>
                <c:pt idx="4">
                  <c:v>0.9338775930948594</c:v>
                </c:pt>
                <c:pt idx="5">
                  <c:v>0.91689969365003032</c:v>
                </c:pt>
                <c:pt idx="6">
                  <c:v>0.89749487050799848</c:v>
                </c:pt>
                <c:pt idx="7">
                  <c:v>0.88377973611765936</c:v>
                </c:pt>
                <c:pt idx="8">
                  <c:v>0.86250368905556973</c:v>
                </c:pt>
                <c:pt idx="9">
                  <c:v>0.82596956728714577</c:v>
                </c:pt>
                <c:pt idx="10">
                  <c:v>0.74933048390939805</c:v>
                </c:pt>
                <c:pt idx="11">
                  <c:v>0.289779120631867</c:v>
                </c:pt>
              </c:numCache>
            </c:numRef>
          </c:yVal>
          <c:smooth val="1"/>
          <c:extLst>
            <c:ext xmlns:c16="http://schemas.microsoft.com/office/drawing/2014/chart" uri="{C3380CC4-5D6E-409C-BE32-E72D297353CC}">
              <c16:uniqueId val="{00000004-2CF8-C144-87A1-2483D0736D2F}"/>
            </c:ext>
          </c:extLst>
        </c:ser>
        <c:dLbls>
          <c:showLegendKey val="0"/>
          <c:showVal val="0"/>
          <c:showCatName val="0"/>
          <c:showSerName val="0"/>
          <c:showPercent val="0"/>
          <c:showBubbleSize val="0"/>
        </c:dLbls>
        <c:axId val="182050152"/>
        <c:axId val="130788960"/>
      </c:scatterChart>
      <c:valAx>
        <c:axId val="182050152"/>
        <c:scaling>
          <c:orientation val="minMax"/>
          <c:max val="1"/>
        </c:scaling>
        <c:delete val="0"/>
        <c:axPos val="b"/>
        <c:title>
          <c:tx>
            <c:rich>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Lberation class (% liberation)</a:t>
                </a:r>
              </a:p>
            </c:rich>
          </c:tx>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30788960"/>
        <c:crosses val="autoZero"/>
        <c:crossBetween val="midCat"/>
      </c:valAx>
      <c:valAx>
        <c:axId val="130788960"/>
        <c:scaling>
          <c:orientation val="minMax"/>
          <c:max val="1"/>
          <c:min val="0"/>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ZA"/>
                  <a:t>Cumulative liberation yield (%)</a:t>
                </a:r>
              </a:p>
            </c:rich>
          </c:tx>
          <c:layout>
            <c:manualLayout>
              <c:xMode val="edge"/>
              <c:yMode val="edge"/>
              <c:x val="4.3356936055683783E-3"/>
              <c:y val="0.18218059416271981"/>
            </c:manualLayout>
          </c:layout>
          <c:overlay val="0"/>
          <c:spPr>
            <a:noFill/>
            <a:ln>
              <a:noFill/>
            </a:ln>
            <a:effectLst/>
          </c:spPr>
          <c:txPr>
            <a:bodyPr rot="-54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82050152"/>
        <c:crosses val="autoZero"/>
        <c:crossBetween val="midCat"/>
      </c:valAx>
      <c:spPr>
        <a:noFill/>
        <a:ln>
          <a:noFill/>
        </a:ln>
        <a:effectLst/>
      </c:spPr>
    </c:plotArea>
    <c:legend>
      <c:legendPos val="b"/>
      <c:layout>
        <c:manualLayout>
          <c:xMode val="edge"/>
          <c:yMode val="edge"/>
          <c:x val="1.9173564235624621E-2"/>
          <c:y val="0.93402409341525094"/>
          <c:w val="0.96165287152875079"/>
          <c:h val="6.5975906584749069E-2"/>
        </c:manualLayout>
      </c:layout>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600" b="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1">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8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41">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8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41">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8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41">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8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oneCellAnchor>
    <xdr:from>
      <xdr:col>5</xdr:col>
      <xdr:colOff>679488</xdr:colOff>
      <xdr:row>36</xdr:row>
      <xdr:rowOff>71254</xdr:rowOff>
    </xdr:from>
    <xdr:ext cx="572849" cy="172227"/>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8995DDCB-A810-3647-894F-0A53C7BCC949}"/>
                </a:ext>
              </a:extLst>
            </xdr:cNvPr>
            <xdr:cNvSpPr txBox="1"/>
          </xdr:nvSpPr>
          <xdr:spPr>
            <a:xfrm>
              <a:off x="7334288" y="7932554"/>
              <a:ext cx="572849"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m:rPr>
                        <m:sty m:val="p"/>
                      </m:rPr>
                      <a:rPr lang="en-ZA" sz="1100" b="0" i="0">
                        <a:latin typeface="Cambria Math" panose="02040503050406030204" pitchFamily="18" charset="0"/>
                      </a:rPr>
                      <m:t>C</m:t>
                    </m:r>
                    <m:r>
                      <a:rPr lang="en-ZA" sz="1100" i="0">
                        <a:latin typeface="Cambria Math" panose="02040503050406030204" pitchFamily="18" charset="0"/>
                      </a:rPr>
                      <m:t>=</m:t>
                    </m:r>
                    <m:r>
                      <a:rPr lang="en-ZA" sz="1100" i="1">
                        <a:latin typeface="Cambria Math" panose="02040503050406030204" pitchFamily="18" charset="0"/>
                      </a:rPr>
                      <m:t>𝑓𝑔</m:t>
                    </m:r>
                    <m:r>
                      <a:rPr lang="en-US" sz="1100" b="0" i="1">
                        <a:latin typeface="Cambria Math" panose="02040503050406030204" pitchFamily="18" charset="0"/>
                      </a:rPr>
                      <m:t>𝑙</m:t>
                    </m:r>
                    <m:r>
                      <a:rPr lang="en-ZA" sz="1100" i="1">
                        <a:latin typeface="Cambria Math" panose="02040503050406030204" pitchFamily="18" charset="0"/>
                      </a:rPr>
                      <m:t>𝑐</m:t>
                    </m:r>
                  </m:oMath>
                </m:oMathPara>
              </a14:m>
              <a:endParaRPr lang="en-ZA" sz="1100"/>
            </a:p>
          </xdr:txBody>
        </xdr:sp>
      </mc:Choice>
      <mc:Fallback xmlns="">
        <xdr:sp macro="" textlink="">
          <xdr:nvSpPr>
            <xdr:cNvPr id="2" name="TextBox 1">
              <a:extLst>
                <a:ext uri="{FF2B5EF4-FFF2-40B4-BE49-F238E27FC236}">
                  <a16:creationId xmlns:a16="http://schemas.microsoft.com/office/drawing/2014/main" id="{8995DDCB-A810-3647-894F-0A53C7BCC949}"/>
                </a:ext>
              </a:extLst>
            </xdr:cNvPr>
            <xdr:cNvSpPr txBox="1"/>
          </xdr:nvSpPr>
          <xdr:spPr>
            <a:xfrm>
              <a:off x="7334288" y="7932554"/>
              <a:ext cx="572849"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ZA" sz="1100" b="0" i="0">
                  <a:latin typeface="Cambria Math" panose="02040503050406030204" pitchFamily="18" charset="0"/>
                </a:rPr>
                <a:t>C</a:t>
              </a:r>
              <a:r>
                <a:rPr lang="en-ZA" sz="1100" i="0">
                  <a:latin typeface="Cambria Math" panose="02040503050406030204" pitchFamily="18" charset="0"/>
                </a:rPr>
                <a:t>=𝑓𝑔</a:t>
              </a:r>
              <a:r>
                <a:rPr lang="en-US" sz="1100" b="0" i="0">
                  <a:latin typeface="Cambria Math" panose="02040503050406030204" pitchFamily="18" charset="0"/>
                </a:rPr>
                <a:t>𝑙</a:t>
              </a:r>
              <a:r>
                <a:rPr lang="en-ZA" sz="1100" i="0">
                  <a:latin typeface="Cambria Math" panose="02040503050406030204" pitchFamily="18" charset="0"/>
                </a:rPr>
                <a:t>𝑐</a:t>
              </a:r>
              <a:endParaRPr lang="en-ZA" sz="1100"/>
            </a:p>
          </xdr:txBody>
        </xdr:sp>
      </mc:Fallback>
    </mc:AlternateContent>
    <xdr:clientData/>
  </xdr:oneCellAnchor>
  <xdr:oneCellAnchor>
    <xdr:from>
      <xdr:col>4</xdr:col>
      <xdr:colOff>820635</xdr:colOff>
      <xdr:row>33</xdr:row>
      <xdr:rowOff>42651</xdr:rowOff>
    </xdr:from>
    <xdr:ext cx="1997265" cy="317972"/>
    <mc:AlternateContent xmlns:mc="http://schemas.openxmlformats.org/markup-compatibility/2006" xmlns:a14="http://schemas.microsoft.com/office/drawing/2010/main">
      <mc:Choice Requires="a14">
        <xdr:sp macro="" textlink="">
          <xdr:nvSpPr>
            <xdr:cNvPr id="3" name="TextBox 2">
              <a:extLst>
                <a:ext uri="{FF2B5EF4-FFF2-40B4-BE49-F238E27FC236}">
                  <a16:creationId xmlns:a16="http://schemas.microsoft.com/office/drawing/2014/main" id="{64AAB907-F868-3144-9379-E0B98CB2EA00}"/>
                </a:ext>
              </a:extLst>
            </xdr:cNvPr>
            <xdr:cNvSpPr txBox="1"/>
          </xdr:nvSpPr>
          <xdr:spPr>
            <a:xfrm>
              <a:off x="6649935" y="9110451"/>
              <a:ext cx="1997265" cy="317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r>
                      <a:rPr lang="en-GB" sz="1100" i="1">
                        <a:solidFill>
                          <a:schemeClr val="tx1"/>
                        </a:solidFill>
                        <a:effectLst/>
                        <a:latin typeface="Cambria Math" panose="02040503050406030204" pitchFamily="18" charset="0"/>
                        <a:ea typeface="+mn-ea"/>
                        <a:cs typeface="+mn-cs"/>
                      </a:rPr>
                      <m:t>𝑐</m:t>
                    </m:r>
                    <m:r>
                      <a:rPr lang="en-GB" sz="1100">
                        <a:solidFill>
                          <a:schemeClr val="tx1"/>
                        </a:solidFill>
                        <a:effectLst/>
                        <a:latin typeface="Cambria Math" panose="02040503050406030204" pitchFamily="18" charset="0"/>
                        <a:ea typeface="+mn-ea"/>
                        <a:cs typeface="+mn-cs"/>
                      </a:rPr>
                      <m:t>=</m:t>
                    </m:r>
                    <m:f>
                      <m:fPr>
                        <m:ctrlPr>
                          <a:rPr lang="en-ZA" sz="1100" i="1">
                            <a:solidFill>
                              <a:schemeClr val="tx1"/>
                            </a:solidFill>
                            <a:effectLst/>
                            <a:latin typeface="Cambria Math" panose="02040503050406030204" pitchFamily="18" charset="0"/>
                            <a:ea typeface="+mn-ea"/>
                            <a:cs typeface="+mn-cs"/>
                          </a:rPr>
                        </m:ctrlPr>
                      </m:fPr>
                      <m:num>
                        <m:r>
                          <a:rPr lang="en-GB" sz="1100">
                            <a:solidFill>
                              <a:schemeClr val="tx1"/>
                            </a:solidFill>
                            <a:effectLst/>
                            <a:latin typeface="Cambria Math" panose="02040503050406030204" pitchFamily="18" charset="0"/>
                            <a:ea typeface="+mn-ea"/>
                            <a:cs typeface="+mn-cs"/>
                          </a:rPr>
                          <m:t>1</m:t>
                        </m:r>
                        <m:r>
                          <a:rPr lang="en-GB" sz="1100" i="1">
                            <a:solidFill>
                              <a:schemeClr val="tx1"/>
                            </a:solidFill>
                            <a:effectLst/>
                            <a:latin typeface="Cambria Math" panose="02040503050406030204" pitchFamily="18" charset="0"/>
                            <a:ea typeface="+mn-ea"/>
                            <a:cs typeface="+mn-cs"/>
                          </a:rPr>
                          <m:t>−</m:t>
                        </m:r>
                        <m:r>
                          <a:rPr lang="en-GB" sz="1100" i="1">
                            <a:solidFill>
                              <a:schemeClr val="tx1"/>
                            </a:solidFill>
                            <a:effectLst/>
                            <a:latin typeface="Cambria Math" panose="02040503050406030204" pitchFamily="18" charset="0"/>
                            <a:ea typeface="+mn-ea"/>
                            <a:cs typeface="+mn-cs"/>
                          </a:rPr>
                          <m:t>𝑎</m:t>
                        </m:r>
                      </m:num>
                      <m:den>
                        <m:r>
                          <a:rPr lang="en-GB" sz="1100" i="1">
                            <a:solidFill>
                              <a:schemeClr val="tx1"/>
                            </a:solidFill>
                            <a:effectLst/>
                            <a:latin typeface="Cambria Math" panose="02040503050406030204" pitchFamily="18" charset="0"/>
                            <a:ea typeface="+mn-ea"/>
                            <a:cs typeface="+mn-cs"/>
                          </a:rPr>
                          <m:t>𝑎</m:t>
                        </m:r>
                      </m:den>
                    </m:f>
                    <m:d>
                      <m:dPr>
                        <m:begChr m:val="["/>
                        <m:endChr m:val="]"/>
                        <m:ctrlPr>
                          <a:rPr lang="en-ZA" sz="1100" i="1">
                            <a:solidFill>
                              <a:schemeClr val="tx1"/>
                            </a:solidFill>
                            <a:effectLst/>
                            <a:latin typeface="Cambria Math" panose="02040503050406030204" pitchFamily="18" charset="0"/>
                            <a:ea typeface="+mn-ea"/>
                            <a:cs typeface="+mn-cs"/>
                          </a:rPr>
                        </m:ctrlPr>
                      </m:dPr>
                      <m:e>
                        <m:d>
                          <m:dPr>
                            <m:ctrlPr>
                              <a:rPr lang="en-ZA" sz="1100" i="1">
                                <a:solidFill>
                                  <a:schemeClr val="tx1"/>
                                </a:solidFill>
                                <a:effectLst/>
                                <a:latin typeface="Cambria Math" panose="02040503050406030204" pitchFamily="18" charset="0"/>
                                <a:ea typeface="+mn-ea"/>
                                <a:cs typeface="+mn-cs"/>
                              </a:rPr>
                            </m:ctrlPr>
                          </m:dPr>
                          <m:e>
                            <m:r>
                              <a:rPr lang="en-GB" sz="1100">
                                <a:solidFill>
                                  <a:schemeClr val="tx1"/>
                                </a:solidFill>
                                <a:effectLst/>
                                <a:latin typeface="Cambria Math" panose="02040503050406030204" pitchFamily="18" charset="0"/>
                                <a:ea typeface="+mn-ea"/>
                                <a:cs typeface="+mn-cs"/>
                              </a:rPr>
                              <m:t>1</m:t>
                            </m:r>
                            <m:r>
                              <a:rPr lang="en-GB" sz="1100" i="1">
                                <a:solidFill>
                                  <a:schemeClr val="tx1"/>
                                </a:solidFill>
                                <a:effectLst/>
                                <a:latin typeface="Cambria Math" panose="02040503050406030204" pitchFamily="18" charset="0"/>
                                <a:ea typeface="+mn-ea"/>
                                <a:cs typeface="+mn-cs"/>
                              </a:rPr>
                              <m:t>−</m:t>
                            </m:r>
                            <m:r>
                              <a:rPr lang="en-GB" sz="1100" i="1">
                                <a:solidFill>
                                  <a:schemeClr val="tx1"/>
                                </a:solidFill>
                                <a:effectLst/>
                                <a:latin typeface="Cambria Math" panose="02040503050406030204" pitchFamily="18" charset="0"/>
                                <a:ea typeface="+mn-ea"/>
                                <a:cs typeface="+mn-cs"/>
                              </a:rPr>
                              <m:t>𝑎</m:t>
                            </m:r>
                          </m:e>
                        </m:d>
                        <m:sSub>
                          <m:sSubPr>
                            <m:ctrlPr>
                              <a:rPr lang="en-ZA" sz="1100" i="1">
                                <a:solidFill>
                                  <a:schemeClr val="tx1"/>
                                </a:solidFill>
                                <a:effectLst/>
                                <a:latin typeface="Cambria Math" panose="02040503050406030204" pitchFamily="18" charset="0"/>
                                <a:ea typeface="+mn-ea"/>
                                <a:cs typeface="+mn-cs"/>
                              </a:rPr>
                            </m:ctrlPr>
                          </m:sSubPr>
                          <m:e>
                            <m:r>
                              <a:rPr lang="en-GB" sz="1100" i="1">
                                <a:solidFill>
                                  <a:schemeClr val="tx1"/>
                                </a:solidFill>
                                <a:effectLst/>
                                <a:latin typeface="Cambria Math" panose="02040503050406030204" pitchFamily="18" charset="0"/>
                                <a:ea typeface="+mn-ea"/>
                                <a:cs typeface="+mn-cs"/>
                              </a:rPr>
                              <m:t>𝜌</m:t>
                            </m:r>
                          </m:e>
                          <m:sub>
                            <m:r>
                              <a:rPr lang="en-GB" sz="1100" i="1">
                                <a:solidFill>
                                  <a:schemeClr val="tx1"/>
                                </a:solidFill>
                                <a:effectLst/>
                                <a:latin typeface="Cambria Math" panose="02040503050406030204" pitchFamily="18" charset="0"/>
                                <a:ea typeface="+mn-ea"/>
                                <a:cs typeface="+mn-cs"/>
                              </a:rPr>
                              <m:t>𝑚</m:t>
                            </m:r>
                          </m:sub>
                        </m:sSub>
                        <m:r>
                          <a:rPr lang="en-GB" sz="1100">
                            <a:solidFill>
                              <a:schemeClr val="tx1"/>
                            </a:solidFill>
                            <a:effectLst/>
                            <a:latin typeface="Cambria Math" panose="02040503050406030204" pitchFamily="18" charset="0"/>
                            <a:ea typeface="+mn-ea"/>
                            <a:cs typeface="+mn-cs"/>
                          </a:rPr>
                          <m:t>+</m:t>
                        </m:r>
                        <m:r>
                          <a:rPr lang="en-GB" sz="1100" i="1">
                            <a:solidFill>
                              <a:schemeClr val="tx1"/>
                            </a:solidFill>
                            <a:effectLst/>
                            <a:latin typeface="Cambria Math" panose="02040503050406030204" pitchFamily="18" charset="0"/>
                            <a:ea typeface="+mn-ea"/>
                            <a:cs typeface="+mn-cs"/>
                          </a:rPr>
                          <m:t>𝑎</m:t>
                        </m:r>
                        <m:sSub>
                          <m:sSubPr>
                            <m:ctrlPr>
                              <a:rPr lang="en-ZA" sz="1100" i="1">
                                <a:solidFill>
                                  <a:schemeClr val="tx1"/>
                                </a:solidFill>
                                <a:effectLst/>
                                <a:latin typeface="Cambria Math" panose="02040503050406030204" pitchFamily="18" charset="0"/>
                                <a:ea typeface="+mn-ea"/>
                                <a:cs typeface="+mn-cs"/>
                              </a:rPr>
                            </m:ctrlPr>
                          </m:sSubPr>
                          <m:e>
                            <m:r>
                              <a:rPr lang="en-GB" sz="1100" i="1">
                                <a:solidFill>
                                  <a:schemeClr val="tx1"/>
                                </a:solidFill>
                                <a:effectLst/>
                                <a:latin typeface="Cambria Math" panose="02040503050406030204" pitchFamily="18" charset="0"/>
                                <a:ea typeface="+mn-ea"/>
                                <a:cs typeface="+mn-cs"/>
                              </a:rPr>
                              <m:t>𝜌</m:t>
                            </m:r>
                          </m:e>
                          <m:sub>
                            <m:r>
                              <a:rPr lang="en-GB" sz="1100" i="1">
                                <a:solidFill>
                                  <a:schemeClr val="tx1"/>
                                </a:solidFill>
                                <a:effectLst/>
                                <a:latin typeface="Cambria Math" panose="02040503050406030204" pitchFamily="18" charset="0"/>
                                <a:ea typeface="+mn-ea"/>
                                <a:cs typeface="+mn-cs"/>
                              </a:rPr>
                              <m:t>𝑔</m:t>
                            </m:r>
                          </m:sub>
                        </m:sSub>
                      </m:e>
                    </m:d>
                    <m:r>
                      <m:rPr>
                        <m:nor/>
                      </m:rPr>
                      <a:rPr lang="en-ZA" sz="1100">
                        <a:effectLst/>
                      </a:rPr>
                      <m:t> </m:t>
                    </m:r>
                  </m:oMath>
                </m:oMathPara>
              </a14:m>
              <a:endParaRPr lang="en-ZA" sz="1100"/>
            </a:p>
          </xdr:txBody>
        </xdr:sp>
      </mc:Choice>
      <mc:Fallback xmlns="">
        <xdr:sp macro="" textlink="">
          <xdr:nvSpPr>
            <xdr:cNvPr id="3" name="TextBox 2">
              <a:extLst>
                <a:ext uri="{FF2B5EF4-FFF2-40B4-BE49-F238E27FC236}">
                  <a16:creationId xmlns:a16="http://schemas.microsoft.com/office/drawing/2014/main" id="{64AAB907-F868-3144-9379-E0B98CB2EA00}"/>
                </a:ext>
              </a:extLst>
            </xdr:cNvPr>
            <xdr:cNvSpPr txBox="1"/>
          </xdr:nvSpPr>
          <xdr:spPr>
            <a:xfrm>
              <a:off x="6649935" y="9110451"/>
              <a:ext cx="1997265" cy="317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GB" sz="1100" i="0">
                  <a:solidFill>
                    <a:schemeClr val="tx1"/>
                  </a:solidFill>
                  <a:effectLst/>
                  <a:latin typeface="Cambria Math" panose="02040503050406030204" pitchFamily="18" charset="0"/>
                  <a:ea typeface="+mn-ea"/>
                  <a:cs typeface="+mn-cs"/>
                </a:rPr>
                <a:t>𝑐=</a:t>
              </a:r>
              <a:r>
                <a:rPr lang="en-ZA" sz="1100" i="0">
                  <a:solidFill>
                    <a:schemeClr val="tx1"/>
                  </a:solidFill>
                  <a:effectLst/>
                  <a:latin typeface="Cambria Math" panose="02040503050406030204" pitchFamily="18" charset="0"/>
                  <a:ea typeface="+mn-ea"/>
                  <a:cs typeface="+mn-cs"/>
                </a:rPr>
                <a:t>(</a:t>
              </a:r>
              <a:r>
                <a:rPr lang="en-GB" sz="1100" i="0">
                  <a:solidFill>
                    <a:schemeClr val="tx1"/>
                  </a:solidFill>
                  <a:effectLst/>
                  <a:latin typeface="Cambria Math" panose="02040503050406030204" pitchFamily="18" charset="0"/>
                  <a:ea typeface="+mn-ea"/>
                  <a:cs typeface="+mn-cs"/>
                </a:rPr>
                <a:t>1−𝑎</a:t>
              </a:r>
              <a:r>
                <a:rPr lang="en-ZA" sz="1100" i="0">
                  <a:solidFill>
                    <a:schemeClr val="tx1"/>
                  </a:solidFill>
                  <a:effectLst/>
                  <a:latin typeface="Cambria Math" panose="02040503050406030204" pitchFamily="18" charset="0"/>
                  <a:ea typeface="+mn-ea"/>
                  <a:cs typeface="+mn-cs"/>
                </a:rPr>
                <a:t>)/</a:t>
              </a:r>
              <a:r>
                <a:rPr lang="en-GB" sz="1100" i="0">
                  <a:solidFill>
                    <a:schemeClr val="tx1"/>
                  </a:solidFill>
                  <a:effectLst/>
                  <a:latin typeface="Cambria Math" panose="02040503050406030204" pitchFamily="18" charset="0"/>
                  <a:ea typeface="+mn-ea"/>
                  <a:cs typeface="+mn-cs"/>
                </a:rPr>
                <a:t>𝑎</a:t>
              </a:r>
              <a:r>
                <a:rPr lang="en-ZA" sz="1100" i="0">
                  <a:solidFill>
                    <a:schemeClr val="tx1"/>
                  </a:solidFill>
                  <a:effectLst/>
                  <a:latin typeface="Cambria Math" panose="02040503050406030204" pitchFamily="18" charset="0"/>
                  <a:ea typeface="+mn-ea"/>
                  <a:cs typeface="+mn-cs"/>
                </a:rPr>
                <a:t> [(</a:t>
              </a:r>
              <a:r>
                <a:rPr lang="en-GB" sz="1100" i="0">
                  <a:solidFill>
                    <a:schemeClr val="tx1"/>
                  </a:solidFill>
                  <a:effectLst/>
                  <a:latin typeface="Cambria Math" panose="02040503050406030204" pitchFamily="18" charset="0"/>
                  <a:ea typeface="+mn-ea"/>
                  <a:cs typeface="+mn-cs"/>
                </a:rPr>
                <a:t>1−𝑎)</a:t>
              </a:r>
              <a:r>
                <a:rPr lang="en-ZA" sz="1100" i="0">
                  <a:solidFill>
                    <a:schemeClr val="tx1"/>
                  </a:solidFill>
                  <a:effectLst/>
                  <a:latin typeface="Cambria Math" panose="02040503050406030204" pitchFamily="18" charset="0"/>
                  <a:ea typeface="+mn-ea"/>
                  <a:cs typeface="+mn-cs"/>
                </a:rPr>
                <a:t> </a:t>
              </a:r>
              <a:r>
                <a:rPr lang="en-GB" sz="1100" i="0">
                  <a:solidFill>
                    <a:schemeClr val="tx1"/>
                  </a:solidFill>
                  <a:effectLst/>
                  <a:latin typeface="Cambria Math" panose="02040503050406030204" pitchFamily="18" charset="0"/>
                  <a:ea typeface="+mn-ea"/>
                  <a:cs typeface="+mn-cs"/>
                </a:rPr>
                <a:t>𝜌</a:t>
              </a:r>
              <a:r>
                <a:rPr lang="en-ZA" sz="1100" i="0">
                  <a:solidFill>
                    <a:schemeClr val="tx1"/>
                  </a:solidFill>
                  <a:effectLst/>
                  <a:latin typeface="Cambria Math" panose="02040503050406030204" pitchFamily="18" charset="0"/>
                  <a:ea typeface="+mn-ea"/>
                  <a:cs typeface="+mn-cs"/>
                </a:rPr>
                <a:t>_</a:t>
              </a:r>
              <a:r>
                <a:rPr lang="en-GB" sz="1100" i="0">
                  <a:solidFill>
                    <a:schemeClr val="tx1"/>
                  </a:solidFill>
                  <a:effectLst/>
                  <a:latin typeface="Cambria Math" panose="02040503050406030204" pitchFamily="18" charset="0"/>
                  <a:ea typeface="+mn-ea"/>
                  <a:cs typeface="+mn-cs"/>
                </a:rPr>
                <a:t>𝑚+𝑎𝜌</a:t>
              </a:r>
              <a:r>
                <a:rPr lang="en-ZA" sz="1100" i="0">
                  <a:solidFill>
                    <a:schemeClr val="tx1"/>
                  </a:solidFill>
                  <a:effectLst/>
                  <a:latin typeface="Cambria Math" panose="02040503050406030204" pitchFamily="18" charset="0"/>
                  <a:ea typeface="+mn-ea"/>
                  <a:cs typeface="+mn-cs"/>
                </a:rPr>
                <a:t>_</a:t>
              </a:r>
              <a:r>
                <a:rPr lang="en-GB" sz="1100" i="0">
                  <a:solidFill>
                    <a:schemeClr val="tx1"/>
                  </a:solidFill>
                  <a:effectLst/>
                  <a:latin typeface="Cambria Math" panose="02040503050406030204" pitchFamily="18" charset="0"/>
                  <a:ea typeface="+mn-ea"/>
                  <a:cs typeface="+mn-cs"/>
                </a:rPr>
                <a:t>𝑔 ]</a:t>
              </a:r>
              <a:r>
                <a:rPr lang="en-ZA" sz="1100" i="0">
                  <a:solidFill>
                    <a:schemeClr val="tx1"/>
                  </a:solidFill>
                  <a:effectLst/>
                  <a:latin typeface="Cambria Math" panose="02040503050406030204" pitchFamily="18" charset="0"/>
                  <a:ea typeface="+mn-ea"/>
                  <a:cs typeface="+mn-cs"/>
                </a:rPr>
                <a:t>"</a:t>
              </a:r>
              <a:r>
                <a:rPr lang="en-ZA" sz="1100" i="0">
                  <a:effectLst/>
                  <a:latin typeface="Cambria Math" panose="02040503050406030204" pitchFamily="18" charset="0"/>
                </a:rPr>
                <a:t> </a:t>
              </a:r>
              <a:r>
                <a:rPr lang="en-GB" sz="1100" i="0">
                  <a:effectLst/>
                </a:rPr>
                <a:t>"</a:t>
              </a:r>
              <a:endParaRPr lang="en-ZA" sz="1100"/>
            </a:p>
          </xdr:txBody>
        </xdr:sp>
      </mc:Fallback>
    </mc:AlternateContent>
    <xdr:clientData/>
  </xdr:oneCellAnchor>
  <xdr:oneCellAnchor>
    <xdr:from>
      <xdr:col>5</xdr:col>
      <xdr:colOff>239641</xdr:colOff>
      <xdr:row>53</xdr:row>
      <xdr:rowOff>98321</xdr:rowOff>
    </xdr:from>
    <xdr:ext cx="1358641" cy="346826"/>
    <mc:AlternateContent xmlns:mc="http://schemas.openxmlformats.org/markup-compatibility/2006" xmlns:a14="http://schemas.microsoft.com/office/drawing/2010/main">
      <mc:Choice Requires="a14">
        <xdr:sp macro="" textlink="">
          <xdr:nvSpPr>
            <xdr:cNvPr id="4" name="TextBox 3">
              <a:extLst>
                <a:ext uri="{FF2B5EF4-FFF2-40B4-BE49-F238E27FC236}">
                  <a16:creationId xmlns:a16="http://schemas.microsoft.com/office/drawing/2014/main" id="{CB5ED735-1C98-6F4A-85EE-63DE4D987D01}"/>
                </a:ext>
              </a:extLst>
            </xdr:cNvPr>
            <xdr:cNvSpPr txBox="1"/>
          </xdr:nvSpPr>
          <xdr:spPr>
            <a:xfrm>
              <a:off x="7034141" y="11756921"/>
              <a:ext cx="1358641" cy="3468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Sup>
                      <m:sSubSupPr>
                        <m:ctrlPr>
                          <a:rPr lang="en-ZA" sz="1100" b="0" i="1">
                            <a:latin typeface="Cambria Math" panose="02040503050406030204" pitchFamily="18" charset="0"/>
                          </a:rPr>
                        </m:ctrlPr>
                      </m:sSubSupPr>
                      <m:e>
                        <m:r>
                          <m:rPr>
                            <m:sty m:val="p"/>
                          </m:rPr>
                          <a:rPr lang="el-GR" sz="1100" b="0" i="1">
                            <a:latin typeface="Cambria Math" panose="02040503050406030204" pitchFamily="18" charset="0"/>
                          </a:rPr>
                          <m:t>σ</m:t>
                        </m:r>
                      </m:e>
                      <m:sub>
                        <m:r>
                          <a:rPr lang="en-US" sz="1100" b="0" i="1">
                            <a:latin typeface="Cambria Math" panose="02040503050406030204" pitchFamily="18" charset="0"/>
                          </a:rPr>
                          <m:t>𝑆𝐸</m:t>
                        </m:r>
                      </m:sub>
                      <m:sup>
                        <m:r>
                          <a:rPr lang="en-ZA" sz="1100" b="0" i="1">
                            <a:latin typeface="Cambria Math" panose="02040503050406030204" pitchFamily="18" charset="0"/>
                          </a:rPr>
                          <m:t>2</m:t>
                        </m:r>
                      </m:sup>
                    </m:sSubSup>
                    <m:r>
                      <a:rPr lang="en-US" sz="1100" b="0" i="1">
                        <a:latin typeface="Cambria Math" panose="02040503050406030204" pitchFamily="18" charset="0"/>
                      </a:rPr>
                      <m:t>=</m:t>
                    </m:r>
                    <m:r>
                      <a:rPr lang="en-US" sz="1100" b="0" i="1">
                        <a:latin typeface="Cambria Math" panose="02040503050406030204" pitchFamily="18" charset="0"/>
                      </a:rPr>
                      <m:t>𝐶</m:t>
                    </m:r>
                    <m:sSubSup>
                      <m:sSubSupPr>
                        <m:ctrlPr>
                          <a:rPr lang="en-US" sz="1100" b="0" i="1">
                            <a:latin typeface="Cambria Math" panose="02040503050406030204" pitchFamily="18" charset="0"/>
                          </a:rPr>
                        </m:ctrlPr>
                      </m:sSubSupPr>
                      <m:e>
                        <m:r>
                          <a:rPr lang="en-US" sz="1100" b="0" i="1">
                            <a:latin typeface="Cambria Math" panose="02040503050406030204" pitchFamily="18" charset="0"/>
                          </a:rPr>
                          <m:t>𝑑</m:t>
                        </m:r>
                      </m:e>
                      <m:sub>
                        <m:r>
                          <a:rPr lang="en-US" sz="1100" b="0" i="1">
                            <a:latin typeface="Cambria Math" panose="02040503050406030204" pitchFamily="18" charset="0"/>
                          </a:rPr>
                          <m:t>𝑖</m:t>
                        </m:r>
                      </m:sub>
                      <m:sup>
                        <m:r>
                          <a:rPr lang="en-US" sz="1100" b="0" i="1">
                            <a:latin typeface="Cambria Math" panose="02040503050406030204" pitchFamily="18" charset="0"/>
                          </a:rPr>
                          <m:t>3</m:t>
                        </m:r>
                      </m:sup>
                    </m:sSubSup>
                    <m:d>
                      <m:dPr>
                        <m:ctrlPr>
                          <a:rPr lang="en-US" sz="1100" b="0" i="1">
                            <a:latin typeface="Cambria Math" panose="02040503050406030204" pitchFamily="18" charset="0"/>
                          </a:rPr>
                        </m:ctrlPr>
                      </m:dPr>
                      <m:e>
                        <m:f>
                          <m:fPr>
                            <m:ctrlPr>
                              <a:rPr lang="en-US" sz="1100" b="0" i="1">
                                <a:latin typeface="Cambria Math" panose="02040503050406030204" pitchFamily="18" charset="0"/>
                              </a:rPr>
                            </m:ctrlPr>
                          </m:fPr>
                          <m:num>
                            <m:r>
                              <a:rPr lang="en-US" sz="1100" b="0" i="1">
                                <a:latin typeface="Cambria Math" panose="02040503050406030204" pitchFamily="18" charset="0"/>
                              </a:rPr>
                              <m:t>1</m:t>
                            </m:r>
                          </m:num>
                          <m:den>
                            <m:sSub>
                              <m:sSubPr>
                                <m:ctrlPr>
                                  <a:rPr lang="en-US" sz="1100" b="0" i="1">
                                    <a:latin typeface="Cambria Math" panose="02040503050406030204" pitchFamily="18" charset="0"/>
                                  </a:rPr>
                                </m:ctrlPr>
                              </m:sSubPr>
                              <m:e>
                                <m:r>
                                  <m:rPr>
                                    <m:sty m:val="p"/>
                                  </m:rPr>
                                  <a:rPr lang="en-US" sz="1100" b="0" i="0">
                                    <a:latin typeface="Cambria Math" panose="02040503050406030204" pitchFamily="18" charset="0"/>
                                  </a:rPr>
                                  <m:t>M</m:t>
                                </m:r>
                              </m:e>
                              <m:sub>
                                <m:r>
                                  <m:rPr>
                                    <m:sty m:val="p"/>
                                  </m:rPr>
                                  <a:rPr lang="en-US" sz="1100" b="0" i="0">
                                    <a:latin typeface="Cambria Math" panose="02040503050406030204" pitchFamily="18" charset="0"/>
                                  </a:rPr>
                                  <m:t>S</m:t>
                                </m:r>
                              </m:sub>
                            </m:sSub>
                          </m:den>
                        </m:f>
                        <m:r>
                          <a:rPr lang="en-US" sz="1100" b="0" i="0">
                            <a:latin typeface="Cambria Math" panose="02040503050406030204" pitchFamily="18" charset="0"/>
                          </a:rPr>
                          <m:t>−</m:t>
                        </m:r>
                        <m:f>
                          <m:fPr>
                            <m:ctrlPr>
                              <a:rPr lang="en-US" sz="1100" b="0" i="1">
                                <a:latin typeface="Cambria Math" panose="02040503050406030204" pitchFamily="18" charset="0"/>
                              </a:rPr>
                            </m:ctrlPr>
                          </m:fPr>
                          <m:num>
                            <m:r>
                              <a:rPr lang="en-US" sz="1100" b="0" i="0">
                                <a:latin typeface="Cambria Math" panose="02040503050406030204" pitchFamily="18" charset="0"/>
                              </a:rPr>
                              <m:t>1</m:t>
                            </m:r>
                          </m:num>
                          <m:den>
                            <m:sSub>
                              <m:sSubPr>
                                <m:ctrlPr>
                                  <a:rPr lang="en-US" sz="1100" b="0" i="1">
                                    <a:latin typeface="Cambria Math" panose="02040503050406030204" pitchFamily="18" charset="0"/>
                                  </a:rPr>
                                </m:ctrlPr>
                              </m:sSubPr>
                              <m:e>
                                <m:r>
                                  <m:rPr>
                                    <m:sty m:val="p"/>
                                  </m:rPr>
                                  <a:rPr lang="en-US" sz="1100" b="0" i="0">
                                    <a:latin typeface="Cambria Math" panose="02040503050406030204" pitchFamily="18" charset="0"/>
                                  </a:rPr>
                                  <m:t>M</m:t>
                                </m:r>
                              </m:e>
                              <m:sub>
                                <m:r>
                                  <m:rPr>
                                    <m:sty m:val="p"/>
                                  </m:rPr>
                                  <a:rPr lang="en-US" sz="1100" b="0" i="0">
                                    <a:latin typeface="Cambria Math" panose="02040503050406030204" pitchFamily="18" charset="0"/>
                                  </a:rPr>
                                  <m:t>L</m:t>
                                </m:r>
                              </m:sub>
                            </m:sSub>
                          </m:den>
                        </m:f>
                      </m:e>
                    </m:d>
                  </m:oMath>
                </m:oMathPara>
              </a14:m>
              <a:endParaRPr lang="en-US" sz="1100"/>
            </a:p>
          </xdr:txBody>
        </xdr:sp>
      </mc:Choice>
      <mc:Fallback xmlns="">
        <xdr:sp macro="" textlink="">
          <xdr:nvSpPr>
            <xdr:cNvPr id="4" name="TextBox 3">
              <a:extLst>
                <a:ext uri="{FF2B5EF4-FFF2-40B4-BE49-F238E27FC236}">
                  <a16:creationId xmlns:a16="http://schemas.microsoft.com/office/drawing/2014/main" id="{CB5ED735-1C98-6F4A-85EE-63DE4D987D01}"/>
                </a:ext>
              </a:extLst>
            </xdr:cNvPr>
            <xdr:cNvSpPr txBox="1"/>
          </xdr:nvSpPr>
          <xdr:spPr>
            <a:xfrm>
              <a:off x="7034141" y="11756921"/>
              <a:ext cx="1358641" cy="3468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l-GR" sz="1100" b="0" i="0">
                  <a:latin typeface="Cambria Math" panose="02040503050406030204" pitchFamily="18" charset="0"/>
                </a:rPr>
                <a:t>σ</a:t>
              </a:r>
              <a:r>
                <a:rPr lang="en-ZA" sz="1100" b="0" i="0">
                  <a:latin typeface="Cambria Math" panose="02040503050406030204" pitchFamily="18" charset="0"/>
                </a:rPr>
                <a:t>_</a:t>
              </a:r>
              <a:r>
                <a:rPr lang="en-US" sz="1100" b="0" i="0">
                  <a:latin typeface="Cambria Math" panose="02040503050406030204" pitchFamily="18" charset="0"/>
                </a:rPr>
                <a:t>𝑆𝐸^</a:t>
              </a:r>
              <a:r>
                <a:rPr lang="en-ZA" sz="1100" b="0" i="0">
                  <a:latin typeface="Cambria Math" panose="02040503050406030204" pitchFamily="18" charset="0"/>
                </a:rPr>
                <a:t>2</a:t>
              </a:r>
              <a:r>
                <a:rPr lang="en-US" sz="1100" b="0" i="0">
                  <a:latin typeface="Cambria Math" panose="02040503050406030204" pitchFamily="18" charset="0"/>
                </a:rPr>
                <a:t>=𝐶𝑑_𝑖^3 (1/M_S −1/M_L )</a:t>
              </a:r>
              <a:endParaRPr lang="en-US" sz="1100"/>
            </a:p>
          </xdr:txBody>
        </xdr:sp>
      </mc:Fallback>
    </mc:AlternateContent>
    <xdr:clientData/>
  </xdr:oneCellAnchor>
  <xdr:oneCellAnchor>
    <xdr:from>
      <xdr:col>2</xdr:col>
      <xdr:colOff>250825</xdr:colOff>
      <xdr:row>6</xdr:row>
      <xdr:rowOff>44831</xdr:rowOff>
    </xdr:from>
    <xdr:ext cx="1960930" cy="905443"/>
    <xdr:pic>
      <xdr:nvPicPr>
        <xdr:cNvPr id="5" name="Picture 4">
          <a:extLst>
            <a:ext uri="{FF2B5EF4-FFF2-40B4-BE49-F238E27FC236}">
              <a16:creationId xmlns:a16="http://schemas.microsoft.com/office/drawing/2014/main" id="{A47C96E1-A5A0-FB4A-8E93-4727702558FB}"/>
            </a:ext>
          </a:extLst>
        </xdr:cNvPr>
        <xdr:cNvPicPr>
          <a:picLocks noChangeAspect="1"/>
        </xdr:cNvPicPr>
      </xdr:nvPicPr>
      <xdr:blipFill rotWithShape="1">
        <a:blip xmlns:r="http://schemas.openxmlformats.org/officeDocument/2006/relationships" r:embed="rId1"/>
        <a:srcRect r="41112"/>
        <a:stretch/>
      </xdr:blipFill>
      <xdr:spPr>
        <a:xfrm>
          <a:off x="3514725" y="1924431"/>
          <a:ext cx="1960930" cy="905443"/>
        </a:xfrm>
        <a:prstGeom prst="rect">
          <a:avLst/>
        </a:prstGeom>
      </xdr:spPr>
    </xdr:pic>
    <xdr:clientData/>
  </xdr:oneCellAnchor>
  <xdr:oneCellAnchor>
    <xdr:from>
      <xdr:col>5</xdr:col>
      <xdr:colOff>155322</xdr:colOff>
      <xdr:row>64</xdr:row>
      <xdr:rowOff>54172</xdr:rowOff>
    </xdr:from>
    <xdr:ext cx="1112805" cy="500137"/>
    <mc:AlternateContent xmlns:mc="http://schemas.openxmlformats.org/markup-compatibility/2006" xmlns:a14="http://schemas.microsoft.com/office/drawing/2010/main">
      <mc:Choice Requires="a14">
        <xdr:sp macro="" textlink="">
          <xdr:nvSpPr>
            <xdr:cNvPr id="6" name="TextBox 5">
              <a:extLst>
                <a:ext uri="{FF2B5EF4-FFF2-40B4-BE49-F238E27FC236}">
                  <a16:creationId xmlns:a16="http://schemas.microsoft.com/office/drawing/2014/main" id="{B1CD7E45-A5F7-F547-98D2-17E341350E28}"/>
                </a:ext>
              </a:extLst>
            </xdr:cNvPr>
            <xdr:cNvSpPr txBox="1"/>
          </xdr:nvSpPr>
          <xdr:spPr>
            <a:xfrm>
              <a:off x="6949822" y="13693972"/>
              <a:ext cx="1112805" cy="5001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100" b="0" i="1">
                            <a:solidFill>
                              <a:schemeClr val="tx1"/>
                            </a:solidFill>
                            <a:effectLst/>
                            <a:latin typeface="Cambria Math" panose="02040503050406030204" pitchFamily="18" charset="0"/>
                            <a:ea typeface="+mn-ea"/>
                            <a:cs typeface="+mn-cs"/>
                          </a:rPr>
                        </m:ctrlPr>
                      </m:sSubPr>
                      <m:e>
                        <m:r>
                          <a:rPr lang="en-GB" sz="1100" i="1">
                            <a:solidFill>
                              <a:schemeClr val="tx1"/>
                            </a:solidFill>
                            <a:effectLst/>
                            <a:latin typeface="Cambria Math" panose="02040503050406030204" pitchFamily="18" charset="0"/>
                            <a:ea typeface="+mn-ea"/>
                            <a:cs typeface="+mn-cs"/>
                          </a:rPr>
                          <m:t>𝜎</m:t>
                        </m:r>
                      </m:e>
                      <m:sub>
                        <m:r>
                          <a:rPr lang="en-US" sz="1100" b="0" i="1">
                            <a:solidFill>
                              <a:schemeClr val="tx1"/>
                            </a:solidFill>
                            <a:effectLst/>
                            <a:latin typeface="Cambria Math" panose="02040503050406030204" pitchFamily="18" charset="0"/>
                            <a:ea typeface="+mn-ea"/>
                            <a:cs typeface="+mn-cs"/>
                          </a:rPr>
                          <m:t>𝐴𝐸</m:t>
                        </m:r>
                      </m:sub>
                    </m:sSub>
                    <m:r>
                      <a:rPr lang="en-GB" sz="1100">
                        <a:solidFill>
                          <a:schemeClr val="tx1"/>
                        </a:solidFill>
                        <a:effectLst/>
                        <a:latin typeface="Cambria Math" panose="02040503050406030204" pitchFamily="18" charset="0"/>
                        <a:ea typeface="+mn-ea"/>
                        <a:cs typeface="+mn-cs"/>
                      </a:rPr>
                      <m:t>=</m:t>
                    </m:r>
                    <m:rad>
                      <m:radPr>
                        <m:degHide m:val="on"/>
                        <m:ctrlPr>
                          <a:rPr lang="en-ZA" sz="1100" i="1">
                            <a:solidFill>
                              <a:schemeClr val="tx1"/>
                            </a:solidFill>
                            <a:effectLst/>
                            <a:latin typeface="Cambria Math" panose="02040503050406030204" pitchFamily="18" charset="0"/>
                            <a:ea typeface="+mn-ea"/>
                            <a:cs typeface="+mn-cs"/>
                          </a:rPr>
                        </m:ctrlPr>
                      </m:radPr>
                      <m:deg/>
                      <m:e>
                        <m:f>
                          <m:fPr>
                            <m:ctrlPr>
                              <a:rPr lang="en-ZA" sz="1100" i="1">
                                <a:solidFill>
                                  <a:schemeClr val="tx1"/>
                                </a:solidFill>
                                <a:effectLst/>
                                <a:latin typeface="Cambria Math" panose="02040503050406030204" pitchFamily="18" charset="0"/>
                                <a:ea typeface="+mn-ea"/>
                                <a:cs typeface="+mn-cs"/>
                              </a:rPr>
                            </m:ctrlPr>
                          </m:fPr>
                          <m:num>
                            <m:r>
                              <a:rPr lang="en-GB" sz="1100" i="1">
                                <a:solidFill>
                                  <a:schemeClr val="tx1"/>
                                </a:solidFill>
                                <a:effectLst/>
                                <a:latin typeface="Cambria Math" panose="02040503050406030204" pitchFamily="18" charset="0"/>
                                <a:ea typeface="+mn-ea"/>
                                <a:cs typeface="+mn-cs"/>
                              </a:rPr>
                              <m:t>𝑝</m:t>
                            </m:r>
                            <m:d>
                              <m:dPr>
                                <m:ctrlPr>
                                  <a:rPr lang="en-ZA" sz="1100" i="1">
                                    <a:solidFill>
                                      <a:schemeClr val="tx1"/>
                                    </a:solidFill>
                                    <a:effectLst/>
                                    <a:latin typeface="Cambria Math" panose="02040503050406030204" pitchFamily="18" charset="0"/>
                                    <a:ea typeface="+mn-ea"/>
                                    <a:cs typeface="+mn-cs"/>
                                  </a:rPr>
                                </m:ctrlPr>
                              </m:dPr>
                              <m:e>
                                <m:r>
                                  <a:rPr lang="en-GB" sz="1100">
                                    <a:solidFill>
                                      <a:schemeClr val="tx1"/>
                                    </a:solidFill>
                                    <a:effectLst/>
                                    <a:latin typeface="Cambria Math" panose="02040503050406030204" pitchFamily="18" charset="0"/>
                                    <a:ea typeface="+mn-ea"/>
                                    <a:cs typeface="+mn-cs"/>
                                  </a:rPr>
                                  <m:t>1</m:t>
                                </m:r>
                                <m:r>
                                  <a:rPr lang="en-GB" sz="1100" i="1">
                                    <a:solidFill>
                                      <a:schemeClr val="tx1"/>
                                    </a:solidFill>
                                    <a:effectLst/>
                                    <a:latin typeface="Cambria Math" panose="02040503050406030204" pitchFamily="18" charset="0"/>
                                    <a:ea typeface="+mn-ea"/>
                                    <a:cs typeface="+mn-cs"/>
                                  </a:rPr>
                                  <m:t>−</m:t>
                                </m:r>
                                <m:r>
                                  <a:rPr lang="en-GB" sz="1100" i="1">
                                    <a:solidFill>
                                      <a:schemeClr val="tx1"/>
                                    </a:solidFill>
                                    <a:effectLst/>
                                    <a:latin typeface="Cambria Math" panose="02040503050406030204" pitchFamily="18" charset="0"/>
                                    <a:ea typeface="+mn-ea"/>
                                    <a:cs typeface="+mn-cs"/>
                                  </a:rPr>
                                  <m:t>𝑝</m:t>
                                </m:r>
                              </m:e>
                            </m:d>
                          </m:num>
                          <m:den>
                            <m:r>
                              <a:rPr lang="en-GB" sz="1100" i="1">
                                <a:solidFill>
                                  <a:schemeClr val="tx1"/>
                                </a:solidFill>
                                <a:effectLst/>
                                <a:latin typeface="Cambria Math" panose="02040503050406030204" pitchFamily="18" charset="0"/>
                                <a:ea typeface="+mn-ea"/>
                                <a:cs typeface="+mn-cs"/>
                              </a:rPr>
                              <m:t>𝑁</m:t>
                            </m:r>
                          </m:den>
                        </m:f>
                      </m:e>
                    </m:rad>
                    <m:r>
                      <m:rPr>
                        <m:nor/>
                      </m:rPr>
                      <a:rPr lang="en-ZA">
                        <a:effectLst/>
                      </a:rPr>
                      <m:t> </m:t>
                    </m:r>
                  </m:oMath>
                </m:oMathPara>
              </a14:m>
              <a:endParaRPr lang="en-GB" sz="1100"/>
            </a:p>
          </xdr:txBody>
        </xdr:sp>
      </mc:Choice>
      <mc:Fallback xmlns="">
        <xdr:sp macro="" textlink="">
          <xdr:nvSpPr>
            <xdr:cNvPr id="6" name="TextBox 5">
              <a:extLst>
                <a:ext uri="{FF2B5EF4-FFF2-40B4-BE49-F238E27FC236}">
                  <a16:creationId xmlns:a16="http://schemas.microsoft.com/office/drawing/2014/main" id="{B1CD7E45-A5F7-F547-98D2-17E341350E28}"/>
                </a:ext>
              </a:extLst>
            </xdr:cNvPr>
            <xdr:cNvSpPr txBox="1"/>
          </xdr:nvSpPr>
          <xdr:spPr>
            <a:xfrm>
              <a:off x="6949822" y="13693972"/>
              <a:ext cx="1112805" cy="5001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GB" sz="1100" i="0">
                  <a:solidFill>
                    <a:schemeClr val="tx1"/>
                  </a:solidFill>
                  <a:effectLst/>
                  <a:latin typeface="Cambria Math" panose="02040503050406030204" pitchFamily="18" charset="0"/>
                  <a:ea typeface="+mn-ea"/>
                  <a:cs typeface="+mn-cs"/>
                </a:rPr>
                <a:t>𝜎</a:t>
              </a:r>
              <a:r>
                <a:rPr lang="en-US" sz="1100" b="0" i="0">
                  <a:solidFill>
                    <a:schemeClr val="tx1"/>
                  </a:solidFill>
                  <a:effectLst/>
                  <a:latin typeface="Cambria Math" panose="02040503050406030204" pitchFamily="18" charset="0"/>
                  <a:ea typeface="+mn-ea"/>
                  <a:cs typeface="+mn-cs"/>
                </a:rPr>
                <a:t>_𝐴𝐸</a:t>
              </a:r>
              <a:r>
                <a:rPr lang="en-GB" sz="1100" i="0">
                  <a:solidFill>
                    <a:schemeClr val="tx1"/>
                  </a:solidFill>
                  <a:effectLst/>
                  <a:latin typeface="Cambria Math" panose="02040503050406030204" pitchFamily="18" charset="0"/>
                  <a:ea typeface="+mn-ea"/>
                  <a:cs typeface="+mn-cs"/>
                </a:rPr>
                <a:t>=</a:t>
              </a:r>
              <a:r>
                <a:rPr lang="en-ZA" sz="1100" i="0">
                  <a:solidFill>
                    <a:schemeClr val="tx1"/>
                  </a:solidFill>
                  <a:effectLst/>
                  <a:latin typeface="Cambria Math" panose="02040503050406030204" pitchFamily="18" charset="0"/>
                  <a:ea typeface="+mn-ea"/>
                  <a:cs typeface="+mn-cs"/>
                </a:rPr>
                <a:t>√(</a:t>
              </a:r>
              <a:r>
                <a:rPr lang="en-GB" sz="1100" i="0">
                  <a:solidFill>
                    <a:schemeClr val="tx1"/>
                  </a:solidFill>
                  <a:effectLst/>
                  <a:latin typeface="Cambria Math" panose="02040503050406030204" pitchFamily="18" charset="0"/>
                  <a:ea typeface="+mn-ea"/>
                  <a:cs typeface="+mn-cs"/>
                </a:rPr>
                <a:t>𝑝</a:t>
              </a:r>
              <a:r>
                <a:rPr lang="en-ZA" sz="1100" i="0">
                  <a:solidFill>
                    <a:schemeClr val="tx1"/>
                  </a:solidFill>
                  <a:effectLst/>
                  <a:latin typeface="Cambria Math" panose="02040503050406030204" pitchFamily="18" charset="0"/>
                  <a:ea typeface="+mn-ea"/>
                  <a:cs typeface="+mn-cs"/>
                </a:rPr>
                <a:t>(</a:t>
              </a:r>
              <a:r>
                <a:rPr lang="en-GB" sz="1100" i="0">
                  <a:solidFill>
                    <a:schemeClr val="tx1"/>
                  </a:solidFill>
                  <a:effectLst/>
                  <a:latin typeface="Cambria Math" panose="02040503050406030204" pitchFamily="18" charset="0"/>
                  <a:ea typeface="+mn-ea"/>
                  <a:cs typeface="+mn-cs"/>
                </a:rPr>
                <a:t>1−𝑝)</a:t>
              </a:r>
              <a:r>
                <a:rPr lang="en-ZA" sz="1100" i="0">
                  <a:solidFill>
                    <a:schemeClr val="tx1"/>
                  </a:solidFill>
                  <a:effectLst/>
                  <a:latin typeface="Cambria Math" panose="02040503050406030204" pitchFamily="18" charset="0"/>
                  <a:ea typeface="+mn-ea"/>
                  <a:cs typeface="+mn-cs"/>
                </a:rPr>
                <a:t>/</a:t>
              </a:r>
              <a:r>
                <a:rPr lang="en-GB" sz="1100" i="0">
                  <a:solidFill>
                    <a:schemeClr val="tx1"/>
                  </a:solidFill>
                  <a:effectLst/>
                  <a:latin typeface="Cambria Math" panose="02040503050406030204" pitchFamily="18" charset="0"/>
                  <a:ea typeface="+mn-ea"/>
                  <a:cs typeface="+mn-cs"/>
                </a:rPr>
                <a:t>𝑁</a:t>
              </a:r>
              <a:r>
                <a:rPr lang="en-ZA" sz="1100" i="0">
                  <a:solidFill>
                    <a:schemeClr val="tx1"/>
                  </a:solidFill>
                  <a:effectLst/>
                  <a:latin typeface="Cambria Math" panose="02040503050406030204" pitchFamily="18" charset="0"/>
                  <a:ea typeface="+mn-ea"/>
                  <a:cs typeface="+mn-cs"/>
                </a:rPr>
                <a:t>) "</a:t>
              </a:r>
              <a:r>
                <a:rPr lang="en-ZA" i="0">
                  <a:effectLst/>
                  <a:latin typeface="Cambria Math" panose="02040503050406030204" pitchFamily="18" charset="0"/>
                </a:rPr>
                <a:t> </a:t>
              </a:r>
              <a:r>
                <a:rPr lang="en-GB" i="0">
                  <a:effectLst/>
                </a:rPr>
                <a:t>"</a:t>
              </a:r>
              <a:endParaRPr lang="en-GB" sz="1100"/>
            </a:p>
          </xdr:txBody>
        </xdr:sp>
      </mc:Fallback>
    </mc:AlternateContent>
    <xdr:clientData/>
  </xdr:oneCellAnchor>
  <xdr:oneCellAnchor>
    <xdr:from>
      <xdr:col>5</xdr:col>
      <xdr:colOff>222756</xdr:colOff>
      <xdr:row>68</xdr:row>
      <xdr:rowOff>76649</xdr:rowOff>
    </xdr:from>
    <xdr:ext cx="1027782" cy="344453"/>
    <mc:AlternateContent xmlns:mc="http://schemas.openxmlformats.org/markup-compatibility/2006" xmlns:a14="http://schemas.microsoft.com/office/drawing/2010/main">
      <mc:Choice Requires="a14">
        <xdr:sp macro="" textlink="">
          <xdr:nvSpPr>
            <xdr:cNvPr id="7" name="TextBox 6">
              <a:extLst>
                <a:ext uri="{FF2B5EF4-FFF2-40B4-BE49-F238E27FC236}">
                  <a16:creationId xmlns:a16="http://schemas.microsoft.com/office/drawing/2014/main" id="{67A0BD1A-F632-1247-8005-CA7EF5F40C16}"/>
                </a:ext>
              </a:extLst>
            </xdr:cNvPr>
            <xdr:cNvSpPr txBox="1"/>
          </xdr:nvSpPr>
          <xdr:spPr>
            <a:xfrm>
              <a:off x="7017256" y="14478449"/>
              <a:ext cx="1027782"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100" b="0" i="1">
                            <a:latin typeface="Cambria Math" panose="02040503050406030204" pitchFamily="18" charset="0"/>
                            <a:ea typeface="Cambria Math" panose="02040503050406030204" pitchFamily="18" charset="0"/>
                          </a:rPr>
                        </m:ctrlPr>
                      </m:sSubPr>
                      <m:e>
                        <m:r>
                          <a:rPr lang="en-GB" sz="1100" i="1">
                            <a:latin typeface="Cambria Math" panose="02040503050406030204" pitchFamily="18" charset="0"/>
                            <a:ea typeface="Cambria Math" panose="02040503050406030204" pitchFamily="18" charset="0"/>
                          </a:rPr>
                          <m:t>𝜎</m:t>
                        </m:r>
                      </m:e>
                      <m:sub>
                        <m:r>
                          <a:rPr lang="en-US" sz="1100" b="0" i="1">
                            <a:latin typeface="Cambria Math" panose="02040503050406030204" pitchFamily="18" charset="0"/>
                            <a:ea typeface="Cambria Math" panose="02040503050406030204" pitchFamily="18" charset="0"/>
                          </a:rPr>
                          <m:t>𝑡</m:t>
                        </m:r>
                      </m:sub>
                    </m:sSub>
                    <m:r>
                      <a:rPr lang="en-US" sz="1100" b="0" i="1">
                        <a:latin typeface="Cambria Math" panose="02040503050406030204" pitchFamily="18" charset="0"/>
                        <a:ea typeface="Cambria Math" panose="02040503050406030204" pitchFamily="18" charset="0"/>
                      </a:rPr>
                      <m:t>=</m:t>
                    </m:r>
                    <m:rad>
                      <m:radPr>
                        <m:degHide m:val="on"/>
                        <m:ctrlPr>
                          <a:rPr lang="en-US" sz="1100" b="0" i="1">
                            <a:latin typeface="Cambria Math" panose="02040503050406030204" pitchFamily="18" charset="0"/>
                            <a:ea typeface="Cambria Math" panose="02040503050406030204" pitchFamily="18" charset="0"/>
                          </a:rPr>
                        </m:ctrlPr>
                      </m:radPr>
                      <m:deg/>
                      <m:e>
                        <m:sSubSup>
                          <m:sSubSupPr>
                            <m:ctrlPr>
                              <a:rPr lang="en-US" sz="1100" b="0" i="1">
                                <a:latin typeface="Cambria Math" panose="02040503050406030204" pitchFamily="18" charset="0"/>
                                <a:ea typeface="Cambria Math" panose="02040503050406030204" pitchFamily="18" charset="0"/>
                              </a:rPr>
                            </m:ctrlPr>
                          </m:sSubSupPr>
                          <m:e>
                            <m:r>
                              <a:rPr lang="en-US" sz="1100" b="0" i="1">
                                <a:latin typeface="Cambria Math" panose="02040503050406030204" pitchFamily="18" charset="0"/>
                                <a:ea typeface="Cambria Math" panose="02040503050406030204" pitchFamily="18" charset="0"/>
                              </a:rPr>
                              <m:t>𝜎</m:t>
                            </m:r>
                          </m:e>
                          <m:sub>
                            <m:r>
                              <a:rPr lang="en-US" sz="1100" b="0" i="1">
                                <a:latin typeface="Cambria Math" panose="02040503050406030204" pitchFamily="18" charset="0"/>
                                <a:ea typeface="Cambria Math" panose="02040503050406030204" pitchFamily="18" charset="0"/>
                              </a:rPr>
                              <m:t>𝐴𝐸</m:t>
                            </m:r>
                          </m:sub>
                          <m:sup>
                            <m:r>
                              <a:rPr lang="en-US" sz="1100" b="0" i="1">
                                <a:latin typeface="Cambria Math" panose="02040503050406030204" pitchFamily="18" charset="0"/>
                                <a:ea typeface="Cambria Math" panose="02040503050406030204" pitchFamily="18" charset="0"/>
                              </a:rPr>
                              <m:t>2</m:t>
                            </m:r>
                          </m:sup>
                        </m:sSubSup>
                        <m:r>
                          <a:rPr lang="en-US" sz="1100" b="0" i="1">
                            <a:latin typeface="Cambria Math" panose="02040503050406030204" pitchFamily="18" charset="0"/>
                            <a:ea typeface="Cambria Math" panose="02040503050406030204" pitchFamily="18" charset="0"/>
                          </a:rPr>
                          <m:t>+</m:t>
                        </m:r>
                        <m:sSubSup>
                          <m:sSubSupPr>
                            <m:ctrlPr>
                              <a:rPr lang="en-US" sz="1100" b="0" i="1">
                                <a:latin typeface="Cambria Math" panose="02040503050406030204" pitchFamily="18" charset="0"/>
                                <a:ea typeface="Cambria Math" panose="02040503050406030204" pitchFamily="18" charset="0"/>
                              </a:rPr>
                            </m:ctrlPr>
                          </m:sSubSupPr>
                          <m:e>
                            <m:r>
                              <a:rPr lang="en-US" sz="1100" b="0" i="1">
                                <a:latin typeface="Cambria Math" panose="02040503050406030204" pitchFamily="18" charset="0"/>
                                <a:ea typeface="Cambria Math" panose="02040503050406030204" pitchFamily="18" charset="0"/>
                              </a:rPr>
                              <m:t>𝜎</m:t>
                            </m:r>
                          </m:e>
                          <m:sub>
                            <m:r>
                              <a:rPr lang="en-US" sz="1100" b="0" i="1">
                                <a:latin typeface="Cambria Math" panose="02040503050406030204" pitchFamily="18" charset="0"/>
                                <a:ea typeface="Cambria Math" panose="02040503050406030204" pitchFamily="18" charset="0"/>
                              </a:rPr>
                              <m:t>𝑆𝐸</m:t>
                            </m:r>
                          </m:sub>
                          <m:sup>
                            <m:r>
                              <a:rPr lang="en-US" sz="1100" b="0" i="1">
                                <a:latin typeface="Cambria Math" panose="02040503050406030204" pitchFamily="18" charset="0"/>
                                <a:ea typeface="Cambria Math" panose="02040503050406030204" pitchFamily="18" charset="0"/>
                              </a:rPr>
                              <m:t>2</m:t>
                            </m:r>
                          </m:sup>
                        </m:sSubSup>
                      </m:e>
                    </m:rad>
                  </m:oMath>
                </m:oMathPara>
              </a14:m>
              <a:endParaRPr lang="en-GB" sz="1100"/>
            </a:p>
          </xdr:txBody>
        </xdr:sp>
      </mc:Choice>
      <mc:Fallback xmlns="">
        <xdr:sp macro="" textlink="">
          <xdr:nvSpPr>
            <xdr:cNvPr id="7" name="TextBox 6">
              <a:extLst>
                <a:ext uri="{FF2B5EF4-FFF2-40B4-BE49-F238E27FC236}">
                  <a16:creationId xmlns:a16="http://schemas.microsoft.com/office/drawing/2014/main" id="{67A0BD1A-F632-1247-8005-CA7EF5F40C16}"/>
                </a:ext>
              </a:extLst>
            </xdr:cNvPr>
            <xdr:cNvSpPr txBox="1"/>
          </xdr:nvSpPr>
          <xdr:spPr>
            <a:xfrm>
              <a:off x="7017256" y="14478449"/>
              <a:ext cx="1027782"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GB" sz="1100" i="0">
                  <a:latin typeface="Cambria Math" panose="02040503050406030204" pitchFamily="18" charset="0"/>
                  <a:ea typeface="Cambria Math" panose="02040503050406030204" pitchFamily="18" charset="0"/>
                </a:rPr>
                <a:t>𝜎</a:t>
              </a:r>
              <a:r>
                <a:rPr lang="en-US" sz="1100" b="0" i="0">
                  <a:latin typeface="Cambria Math" panose="02040503050406030204" pitchFamily="18" charset="0"/>
                  <a:ea typeface="Cambria Math" panose="02040503050406030204" pitchFamily="18" charset="0"/>
                </a:rPr>
                <a:t>_𝑡=√(𝜎_𝐴𝐸^2+𝜎_𝑆𝐸^2 )</a:t>
              </a:r>
              <a:endParaRPr lang="en-GB" sz="1100"/>
            </a:p>
          </xdr:txBody>
        </xdr:sp>
      </mc:Fallback>
    </mc:AlternateContent>
    <xdr:clientData/>
  </xdr:oneCellAnchor>
  <xdr:oneCellAnchor>
    <xdr:from>
      <xdr:col>5</xdr:col>
      <xdr:colOff>552408</xdr:colOff>
      <xdr:row>20</xdr:row>
      <xdr:rowOff>13865</xdr:rowOff>
    </xdr:from>
    <xdr:ext cx="657103" cy="386901"/>
    <mc:AlternateContent xmlns:mc="http://schemas.openxmlformats.org/markup-compatibility/2006" xmlns:a14="http://schemas.microsoft.com/office/drawing/2010/main">
      <mc:Choice Requires="a14">
        <xdr:sp macro="" textlink="">
          <xdr:nvSpPr>
            <xdr:cNvPr id="8" name="TextBox 7">
              <a:extLst>
                <a:ext uri="{FF2B5EF4-FFF2-40B4-BE49-F238E27FC236}">
                  <a16:creationId xmlns:a16="http://schemas.microsoft.com/office/drawing/2014/main" id="{8C5DD161-8E01-E34D-8A23-AE202DDF501F}"/>
                </a:ext>
              </a:extLst>
            </xdr:cNvPr>
            <xdr:cNvSpPr txBox="1"/>
          </xdr:nvSpPr>
          <xdr:spPr>
            <a:xfrm>
              <a:off x="7207208" y="4065165"/>
              <a:ext cx="657103" cy="3869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GB" sz="1100" i="1">
                        <a:solidFill>
                          <a:schemeClr val="tx1"/>
                        </a:solidFill>
                        <a:effectLst/>
                        <a:latin typeface="Cambria Math" panose="02040503050406030204" pitchFamily="18" charset="0"/>
                        <a:ea typeface="+mn-ea"/>
                        <a:cs typeface="+mn-cs"/>
                      </a:rPr>
                      <m:t>𝑙</m:t>
                    </m:r>
                    <m:r>
                      <a:rPr lang="en-GB" sz="1100">
                        <a:solidFill>
                          <a:schemeClr val="tx1"/>
                        </a:solidFill>
                        <a:effectLst/>
                        <a:latin typeface="Cambria Math" panose="02040503050406030204" pitchFamily="18" charset="0"/>
                        <a:ea typeface="+mn-ea"/>
                        <a:cs typeface="+mn-cs"/>
                      </a:rPr>
                      <m:t>=</m:t>
                    </m:r>
                    <m:sSup>
                      <m:sSupPr>
                        <m:ctrlPr>
                          <a:rPr lang="en-ZA" sz="1100" i="1">
                            <a:solidFill>
                              <a:schemeClr val="tx1"/>
                            </a:solidFill>
                            <a:effectLst/>
                            <a:latin typeface="Cambria Math" panose="02040503050406030204" pitchFamily="18" charset="0"/>
                            <a:ea typeface="+mn-ea"/>
                            <a:cs typeface="+mn-cs"/>
                          </a:rPr>
                        </m:ctrlPr>
                      </m:sSupPr>
                      <m:e>
                        <m:d>
                          <m:dPr>
                            <m:ctrlPr>
                              <a:rPr lang="en-ZA" sz="1100" i="1">
                                <a:solidFill>
                                  <a:schemeClr val="tx1"/>
                                </a:solidFill>
                                <a:effectLst/>
                                <a:latin typeface="Cambria Math" panose="02040503050406030204" pitchFamily="18" charset="0"/>
                                <a:ea typeface="+mn-ea"/>
                                <a:cs typeface="+mn-cs"/>
                              </a:rPr>
                            </m:ctrlPr>
                          </m:dPr>
                          <m:e>
                            <m:f>
                              <m:fPr>
                                <m:ctrlPr>
                                  <a:rPr lang="en-ZA" sz="1100" i="1">
                                    <a:solidFill>
                                      <a:schemeClr val="tx1"/>
                                    </a:solidFill>
                                    <a:effectLst/>
                                    <a:latin typeface="Cambria Math" panose="02040503050406030204" pitchFamily="18" charset="0"/>
                                    <a:ea typeface="+mn-ea"/>
                                    <a:cs typeface="+mn-cs"/>
                                  </a:rPr>
                                </m:ctrlPr>
                              </m:fPr>
                              <m:num>
                                <m:sSub>
                                  <m:sSubPr>
                                    <m:ctrlPr>
                                      <a:rPr lang="en-ZA" sz="1100" i="1">
                                        <a:solidFill>
                                          <a:schemeClr val="tx1"/>
                                        </a:solidFill>
                                        <a:effectLst/>
                                        <a:latin typeface="Cambria Math" panose="02040503050406030204" pitchFamily="18" charset="0"/>
                                        <a:ea typeface="+mn-ea"/>
                                        <a:cs typeface="+mn-cs"/>
                                      </a:rPr>
                                    </m:ctrlPr>
                                  </m:sSubPr>
                                  <m:e>
                                    <m:r>
                                      <a:rPr lang="en-GB" sz="1100" i="1">
                                        <a:solidFill>
                                          <a:schemeClr val="tx1"/>
                                        </a:solidFill>
                                        <a:effectLst/>
                                        <a:latin typeface="Cambria Math" panose="02040503050406030204" pitchFamily="18" charset="0"/>
                                        <a:ea typeface="+mn-ea"/>
                                        <a:cs typeface="+mn-cs"/>
                                      </a:rPr>
                                      <m:t>𝑑</m:t>
                                    </m:r>
                                  </m:e>
                                  <m:sub>
                                    <m:r>
                                      <a:rPr lang="en-GB" sz="1100" i="1">
                                        <a:solidFill>
                                          <a:schemeClr val="tx1"/>
                                        </a:solidFill>
                                        <a:effectLst/>
                                        <a:latin typeface="Cambria Math" panose="02040503050406030204" pitchFamily="18" charset="0"/>
                                        <a:ea typeface="+mn-ea"/>
                                        <a:cs typeface="+mn-cs"/>
                                      </a:rPr>
                                      <m:t>𝑙</m:t>
                                    </m:r>
                                  </m:sub>
                                </m:sSub>
                              </m:num>
                              <m:den>
                                <m:sSub>
                                  <m:sSubPr>
                                    <m:ctrlPr>
                                      <a:rPr lang="en-ZA" sz="1100" i="1">
                                        <a:solidFill>
                                          <a:schemeClr val="tx1"/>
                                        </a:solidFill>
                                        <a:effectLst/>
                                        <a:latin typeface="Cambria Math" panose="02040503050406030204" pitchFamily="18" charset="0"/>
                                        <a:ea typeface="+mn-ea"/>
                                        <a:cs typeface="+mn-cs"/>
                                      </a:rPr>
                                    </m:ctrlPr>
                                  </m:sSubPr>
                                  <m:e>
                                    <m:r>
                                      <a:rPr lang="en-GB" sz="1100" i="1">
                                        <a:solidFill>
                                          <a:schemeClr val="tx1"/>
                                        </a:solidFill>
                                        <a:effectLst/>
                                        <a:latin typeface="Cambria Math" panose="02040503050406030204" pitchFamily="18" charset="0"/>
                                        <a:ea typeface="+mn-ea"/>
                                        <a:cs typeface="+mn-cs"/>
                                      </a:rPr>
                                      <m:t>𝑑</m:t>
                                    </m:r>
                                  </m:e>
                                  <m:sub>
                                    <m:r>
                                      <a:rPr lang="en-GB" sz="1100" i="1">
                                        <a:solidFill>
                                          <a:schemeClr val="tx1"/>
                                        </a:solidFill>
                                        <a:effectLst/>
                                        <a:latin typeface="Cambria Math" panose="02040503050406030204" pitchFamily="18" charset="0"/>
                                        <a:ea typeface="+mn-ea"/>
                                        <a:cs typeface="+mn-cs"/>
                                      </a:rPr>
                                      <m:t>𝑖</m:t>
                                    </m:r>
                                  </m:sub>
                                </m:sSub>
                              </m:den>
                            </m:f>
                          </m:e>
                        </m:d>
                      </m:e>
                      <m:sup>
                        <m:r>
                          <a:rPr lang="en-GB" sz="1100" i="1">
                            <a:solidFill>
                              <a:schemeClr val="tx1"/>
                            </a:solidFill>
                            <a:effectLst/>
                            <a:latin typeface="Cambria Math" panose="02040503050406030204" pitchFamily="18" charset="0"/>
                            <a:ea typeface="+mn-ea"/>
                            <a:cs typeface="+mn-cs"/>
                          </a:rPr>
                          <m:t>𝑏</m:t>
                        </m:r>
                      </m:sup>
                    </m:sSup>
                    <m:r>
                      <m:rPr>
                        <m:nor/>
                      </m:rPr>
                      <a:rPr lang="en-ZA">
                        <a:effectLst/>
                      </a:rPr>
                      <m:t> </m:t>
                    </m:r>
                  </m:oMath>
                </m:oMathPara>
              </a14:m>
              <a:endParaRPr lang="en-GB" sz="1100"/>
            </a:p>
          </xdr:txBody>
        </xdr:sp>
      </mc:Choice>
      <mc:Fallback xmlns="">
        <xdr:sp macro="" textlink="">
          <xdr:nvSpPr>
            <xdr:cNvPr id="8" name="TextBox 7">
              <a:extLst>
                <a:ext uri="{FF2B5EF4-FFF2-40B4-BE49-F238E27FC236}">
                  <a16:creationId xmlns:a16="http://schemas.microsoft.com/office/drawing/2014/main" id="{8C5DD161-8E01-E34D-8A23-AE202DDF501F}"/>
                </a:ext>
              </a:extLst>
            </xdr:cNvPr>
            <xdr:cNvSpPr txBox="1"/>
          </xdr:nvSpPr>
          <xdr:spPr>
            <a:xfrm>
              <a:off x="7207208" y="4065165"/>
              <a:ext cx="657103" cy="3869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GB" sz="1100" i="0">
                  <a:solidFill>
                    <a:schemeClr val="tx1"/>
                  </a:solidFill>
                  <a:effectLst/>
                  <a:latin typeface="Cambria Math" panose="02040503050406030204" pitchFamily="18" charset="0"/>
                  <a:ea typeface="+mn-ea"/>
                  <a:cs typeface="+mn-cs"/>
                </a:rPr>
                <a:t>𝑙=</a:t>
              </a:r>
              <a:r>
                <a:rPr lang="en-ZA" sz="1100" i="0">
                  <a:solidFill>
                    <a:schemeClr val="tx1"/>
                  </a:solidFill>
                  <a:effectLst/>
                  <a:latin typeface="Cambria Math" panose="02040503050406030204" pitchFamily="18" charset="0"/>
                  <a:ea typeface="+mn-ea"/>
                  <a:cs typeface="+mn-cs"/>
                </a:rPr>
                <a:t>(</a:t>
              </a:r>
              <a:r>
                <a:rPr lang="en-GB" sz="1100" i="0">
                  <a:solidFill>
                    <a:schemeClr val="tx1"/>
                  </a:solidFill>
                  <a:effectLst/>
                  <a:latin typeface="Cambria Math" panose="02040503050406030204" pitchFamily="18" charset="0"/>
                  <a:ea typeface="+mn-ea"/>
                  <a:cs typeface="+mn-cs"/>
                </a:rPr>
                <a:t>𝑑</a:t>
              </a:r>
              <a:r>
                <a:rPr lang="en-ZA" sz="1100" i="0">
                  <a:solidFill>
                    <a:schemeClr val="tx1"/>
                  </a:solidFill>
                  <a:effectLst/>
                  <a:latin typeface="Cambria Math" panose="02040503050406030204" pitchFamily="18" charset="0"/>
                  <a:ea typeface="+mn-ea"/>
                  <a:cs typeface="+mn-cs"/>
                </a:rPr>
                <a:t>_</a:t>
              </a:r>
              <a:r>
                <a:rPr lang="en-GB" sz="1100" i="0">
                  <a:solidFill>
                    <a:schemeClr val="tx1"/>
                  </a:solidFill>
                  <a:effectLst/>
                  <a:latin typeface="Cambria Math" panose="02040503050406030204" pitchFamily="18" charset="0"/>
                  <a:ea typeface="+mn-ea"/>
                  <a:cs typeface="+mn-cs"/>
                </a:rPr>
                <a:t>𝑙</a:t>
              </a:r>
              <a:r>
                <a:rPr lang="en-ZA" sz="1100" i="0">
                  <a:solidFill>
                    <a:schemeClr val="tx1"/>
                  </a:solidFill>
                  <a:effectLst/>
                  <a:latin typeface="Cambria Math" panose="02040503050406030204" pitchFamily="18" charset="0"/>
                  <a:ea typeface="+mn-ea"/>
                  <a:cs typeface="+mn-cs"/>
                </a:rPr>
                <a:t>/</a:t>
              </a:r>
              <a:r>
                <a:rPr lang="en-GB" sz="1100" i="0">
                  <a:solidFill>
                    <a:schemeClr val="tx1"/>
                  </a:solidFill>
                  <a:effectLst/>
                  <a:latin typeface="Cambria Math" panose="02040503050406030204" pitchFamily="18" charset="0"/>
                  <a:ea typeface="+mn-ea"/>
                  <a:cs typeface="+mn-cs"/>
                </a:rPr>
                <a:t>𝑑</a:t>
              </a:r>
              <a:r>
                <a:rPr lang="en-ZA" sz="1100" i="0">
                  <a:solidFill>
                    <a:schemeClr val="tx1"/>
                  </a:solidFill>
                  <a:effectLst/>
                  <a:latin typeface="Cambria Math" panose="02040503050406030204" pitchFamily="18" charset="0"/>
                  <a:ea typeface="+mn-ea"/>
                  <a:cs typeface="+mn-cs"/>
                </a:rPr>
                <a:t>_</a:t>
              </a:r>
              <a:r>
                <a:rPr lang="en-GB" sz="1100" i="0">
                  <a:solidFill>
                    <a:schemeClr val="tx1"/>
                  </a:solidFill>
                  <a:effectLst/>
                  <a:latin typeface="Cambria Math" panose="02040503050406030204" pitchFamily="18" charset="0"/>
                  <a:ea typeface="+mn-ea"/>
                  <a:cs typeface="+mn-cs"/>
                </a:rPr>
                <a:t>𝑖 )</a:t>
              </a:r>
              <a:r>
                <a:rPr lang="en-ZA" sz="1100" i="0">
                  <a:solidFill>
                    <a:schemeClr val="tx1"/>
                  </a:solidFill>
                  <a:effectLst/>
                  <a:latin typeface="Cambria Math" panose="02040503050406030204" pitchFamily="18" charset="0"/>
                  <a:ea typeface="+mn-ea"/>
                  <a:cs typeface="+mn-cs"/>
                </a:rPr>
                <a:t>^</a:t>
              </a:r>
              <a:r>
                <a:rPr lang="en-GB" sz="1100" i="0">
                  <a:solidFill>
                    <a:schemeClr val="tx1"/>
                  </a:solidFill>
                  <a:effectLst/>
                  <a:latin typeface="Cambria Math" panose="02040503050406030204" pitchFamily="18" charset="0"/>
                  <a:ea typeface="+mn-ea"/>
                  <a:cs typeface="+mn-cs"/>
                </a:rPr>
                <a:t>𝑏</a:t>
              </a:r>
              <a:r>
                <a:rPr lang="en-ZA" sz="1100" i="0">
                  <a:solidFill>
                    <a:schemeClr val="tx1"/>
                  </a:solidFill>
                  <a:effectLst/>
                  <a:latin typeface="Cambria Math" panose="02040503050406030204" pitchFamily="18" charset="0"/>
                  <a:ea typeface="+mn-ea"/>
                  <a:cs typeface="+mn-cs"/>
                </a:rPr>
                <a:t> "</a:t>
              </a:r>
              <a:r>
                <a:rPr lang="en-ZA" i="0">
                  <a:effectLst/>
                  <a:latin typeface="Cambria Math" panose="02040503050406030204" pitchFamily="18" charset="0"/>
                </a:rPr>
                <a:t> </a:t>
              </a:r>
              <a:r>
                <a:rPr lang="en-GB" i="0">
                  <a:effectLst/>
                </a:rPr>
                <a:t>"</a:t>
              </a:r>
              <a:endParaRPr lang="en-GB" sz="1100"/>
            </a:p>
          </xdr:txBody>
        </xdr:sp>
      </mc:Fallback>
    </mc:AlternateContent>
    <xdr:clientData/>
  </xdr:oneCellAnchor>
  <xdr:oneCellAnchor>
    <xdr:from>
      <xdr:col>5</xdr:col>
      <xdr:colOff>584425</xdr:colOff>
      <xdr:row>61</xdr:row>
      <xdr:rowOff>11239</xdr:rowOff>
    </xdr:from>
    <xdr:ext cx="448392" cy="315792"/>
    <mc:AlternateContent xmlns:mc="http://schemas.openxmlformats.org/markup-compatibility/2006" xmlns:a14="http://schemas.microsoft.com/office/drawing/2010/main">
      <mc:Choice Requires="a14">
        <xdr:sp macro="" textlink="">
          <xdr:nvSpPr>
            <xdr:cNvPr id="9" name="TextBox 8">
              <a:extLst>
                <a:ext uri="{FF2B5EF4-FFF2-40B4-BE49-F238E27FC236}">
                  <a16:creationId xmlns:a16="http://schemas.microsoft.com/office/drawing/2014/main" id="{43C50BBB-7C13-7A4C-9C05-CB68ADF8C0E5}"/>
                </a:ext>
              </a:extLst>
            </xdr:cNvPr>
            <xdr:cNvSpPr txBox="1"/>
          </xdr:nvSpPr>
          <xdr:spPr>
            <a:xfrm>
              <a:off x="7378925" y="13079539"/>
              <a:ext cx="448392" cy="3157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solidFill>
                          <a:schemeClr val="tx1"/>
                        </a:solidFill>
                        <a:effectLst/>
                        <a:latin typeface="Cambria Math" panose="02040503050406030204" pitchFamily="18" charset="0"/>
                        <a:ea typeface="+mn-ea"/>
                        <a:cs typeface="+mn-cs"/>
                      </a:rPr>
                      <m:t>𝑝</m:t>
                    </m:r>
                    <m:r>
                      <a:rPr lang="en-US" sz="1100" b="0" i="1">
                        <a:solidFill>
                          <a:schemeClr val="tx1"/>
                        </a:solidFill>
                        <a:effectLst/>
                        <a:latin typeface="Cambria Math" panose="02040503050406030204" pitchFamily="18" charset="0"/>
                        <a:ea typeface="+mn-ea"/>
                        <a:cs typeface="+mn-cs"/>
                      </a:rPr>
                      <m:t>=</m:t>
                    </m:r>
                    <m:f>
                      <m:fPr>
                        <m:ctrlPr>
                          <a:rPr lang="en-US" sz="1100" b="0" i="1">
                            <a:solidFill>
                              <a:schemeClr val="tx1"/>
                            </a:solidFill>
                            <a:effectLst/>
                            <a:latin typeface="Cambria Math" panose="02040503050406030204" pitchFamily="18" charset="0"/>
                            <a:ea typeface="+mn-ea"/>
                            <a:cs typeface="+mn-cs"/>
                          </a:rPr>
                        </m:ctrlPr>
                      </m:fPr>
                      <m:num>
                        <m:sSub>
                          <m:sSubPr>
                            <m:ctrlPr>
                              <a:rPr lang="en-US" sz="1100" b="0" i="1">
                                <a:solidFill>
                                  <a:schemeClr val="tx1"/>
                                </a:solidFill>
                                <a:effectLst/>
                                <a:latin typeface="Cambria Math" panose="02040503050406030204" pitchFamily="18" charset="0"/>
                                <a:ea typeface="+mn-ea"/>
                                <a:cs typeface="+mn-cs"/>
                              </a:rPr>
                            </m:ctrlPr>
                          </m:sSubPr>
                          <m:e>
                            <m:r>
                              <a:rPr lang="en-US" sz="1100" b="0" i="1">
                                <a:solidFill>
                                  <a:schemeClr val="tx1"/>
                                </a:solidFill>
                                <a:effectLst/>
                                <a:latin typeface="Cambria Math" panose="02040503050406030204" pitchFamily="18" charset="0"/>
                                <a:ea typeface="+mn-ea"/>
                                <a:cs typeface="+mn-cs"/>
                              </a:rPr>
                              <m:t>𝑁</m:t>
                            </m:r>
                          </m:e>
                          <m:sub>
                            <m:r>
                              <a:rPr lang="en-US" sz="1100" b="0" i="1">
                                <a:solidFill>
                                  <a:schemeClr val="tx1"/>
                                </a:solidFill>
                                <a:effectLst/>
                                <a:latin typeface="Cambria Math" panose="02040503050406030204" pitchFamily="18" charset="0"/>
                                <a:ea typeface="+mn-ea"/>
                                <a:cs typeface="+mn-cs"/>
                              </a:rPr>
                              <m:t>𝑆</m:t>
                            </m:r>
                          </m:sub>
                        </m:sSub>
                      </m:num>
                      <m:den>
                        <m:r>
                          <a:rPr lang="en-US" sz="1100" b="0" i="1">
                            <a:solidFill>
                              <a:schemeClr val="tx1"/>
                            </a:solidFill>
                            <a:effectLst/>
                            <a:latin typeface="Cambria Math" panose="02040503050406030204" pitchFamily="18" charset="0"/>
                            <a:ea typeface="+mn-ea"/>
                            <a:cs typeface="+mn-cs"/>
                          </a:rPr>
                          <m:t>𝑁</m:t>
                        </m:r>
                      </m:den>
                    </m:f>
                  </m:oMath>
                </m:oMathPara>
              </a14:m>
              <a:endParaRPr lang="en-GB" sz="1100"/>
            </a:p>
          </xdr:txBody>
        </xdr:sp>
      </mc:Choice>
      <mc:Fallback xmlns="">
        <xdr:sp macro="" textlink="">
          <xdr:nvSpPr>
            <xdr:cNvPr id="9" name="TextBox 8">
              <a:extLst>
                <a:ext uri="{FF2B5EF4-FFF2-40B4-BE49-F238E27FC236}">
                  <a16:creationId xmlns:a16="http://schemas.microsoft.com/office/drawing/2014/main" id="{43C50BBB-7C13-7A4C-9C05-CB68ADF8C0E5}"/>
                </a:ext>
              </a:extLst>
            </xdr:cNvPr>
            <xdr:cNvSpPr txBox="1"/>
          </xdr:nvSpPr>
          <xdr:spPr>
            <a:xfrm>
              <a:off x="7378925" y="13079539"/>
              <a:ext cx="448392" cy="3157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solidFill>
                    <a:schemeClr val="tx1"/>
                  </a:solidFill>
                  <a:effectLst/>
                  <a:latin typeface="Cambria Math" panose="02040503050406030204" pitchFamily="18" charset="0"/>
                  <a:ea typeface="+mn-ea"/>
                  <a:cs typeface="+mn-cs"/>
                </a:rPr>
                <a:t>𝑝=𝑁_𝑆/𝑁</a:t>
              </a:r>
              <a:endParaRPr lang="en-GB" sz="1100"/>
            </a:p>
          </xdr:txBody>
        </xdr:sp>
      </mc:Fallback>
    </mc:AlternateContent>
    <xdr:clientData/>
  </xdr:oneCellAnchor>
  <xdr:oneCellAnchor>
    <xdr:from>
      <xdr:col>5</xdr:col>
      <xdr:colOff>505752</xdr:colOff>
      <xdr:row>63</xdr:row>
      <xdr:rowOff>0</xdr:rowOff>
    </xdr:from>
    <xdr:ext cx="622542" cy="172098"/>
    <mc:AlternateContent xmlns:mc="http://schemas.openxmlformats.org/markup-compatibility/2006" xmlns:a14="http://schemas.microsoft.com/office/drawing/2010/main">
      <mc:Choice Requires="a14">
        <xdr:sp macro="" textlink="">
          <xdr:nvSpPr>
            <xdr:cNvPr id="10" name="TextBox 9">
              <a:extLst>
                <a:ext uri="{FF2B5EF4-FFF2-40B4-BE49-F238E27FC236}">
                  <a16:creationId xmlns:a16="http://schemas.microsoft.com/office/drawing/2014/main" id="{BFE5DA13-CB9C-8349-ADEE-AA319D767EBD}"/>
                </a:ext>
              </a:extLst>
            </xdr:cNvPr>
            <xdr:cNvSpPr txBox="1"/>
          </xdr:nvSpPr>
          <xdr:spPr>
            <a:xfrm>
              <a:off x="7300252" y="13449300"/>
              <a:ext cx="622542" cy="1720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solidFill>
                          <a:schemeClr val="tx1"/>
                        </a:solidFill>
                        <a:effectLst/>
                        <a:latin typeface="Cambria Math" panose="02040503050406030204" pitchFamily="18" charset="0"/>
                        <a:ea typeface="+mn-ea"/>
                        <a:cs typeface="+mn-cs"/>
                      </a:rPr>
                      <m:t>𝑞</m:t>
                    </m:r>
                    <m:r>
                      <a:rPr lang="en-US" sz="1100" b="0" i="1">
                        <a:solidFill>
                          <a:schemeClr val="tx1"/>
                        </a:solidFill>
                        <a:effectLst/>
                        <a:latin typeface="Cambria Math" panose="02040503050406030204" pitchFamily="18" charset="0"/>
                        <a:ea typeface="+mn-ea"/>
                        <a:cs typeface="+mn-cs"/>
                      </a:rPr>
                      <m:t>=1−</m:t>
                    </m:r>
                    <m:r>
                      <a:rPr lang="en-US" sz="1100" b="0" i="1">
                        <a:solidFill>
                          <a:schemeClr val="tx1"/>
                        </a:solidFill>
                        <a:effectLst/>
                        <a:latin typeface="Cambria Math" panose="02040503050406030204" pitchFamily="18" charset="0"/>
                        <a:ea typeface="+mn-ea"/>
                        <a:cs typeface="+mn-cs"/>
                      </a:rPr>
                      <m:t>𝑝</m:t>
                    </m:r>
                  </m:oMath>
                </m:oMathPara>
              </a14:m>
              <a:endParaRPr lang="en-US" sz="1100" b="0">
                <a:solidFill>
                  <a:schemeClr val="tx1"/>
                </a:solidFill>
                <a:effectLst/>
                <a:ea typeface="+mn-ea"/>
                <a:cs typeface="+mn-cs"/>
              </a:endParaRPr>
            </a:p>
          </xdr:txBody>
        </xdr:sp>
      </mc:Choice>
      <mc:Fallback xmlns="">
        <xdr:sp macro="" textlink="">
          <xdr:nvSpPr>
            <xdr:cNvPr id="10" name="TextBox 9">
              <a:extLst>
                <a:ext uri="{FF2B5EF4-FFF2-40B4-BE49-F238E27FC236}">
                  <a16:creationId xmlns:a16="http://schemas.microsoft.com/office/drawing/2014/main" id="{BFE5DA13-CB9C-8349-ADEE-AA319D767EBD}"/>
                </a:ext>
              </a:extLst>
            </xdr:cNvPr>
            <xdr:cNvSpPr txBox="1"/>
          </xdr:nvSpPr>
          <xdr:spPr>
            <a:xfrm>
              <a:off x="7300252" y="13449300"/>
              <a:ext cx="622542" cy="1720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solidFill>
                    <a:schemeClr val="tx1"/>
                  </a:solidFill>
                  <a:effectLst/>
                  <a:latin typeface="Cambria Math" panose="02040503050406030204" pitchFamily="18" charset="0"/>
                  <a:ea typeface="+mn-ea"/>
                  <a:cs typeface="+mn-cs"/>
                </a:rPr>
                <a:t>𝑞=1−𝑝</a:t>
              </a:r>
              <a:endParaRPr lang="en-US" sz="1100" b="0">
                <a:solidFill>
                  <a:schemeClr val="tx1"/>
                </a:solidFill>
                <a:effectLst/>
                <a:ea typeface="+mn-ea"/>
                <a:cs typeface="+mn-cs"/>
              </a:endParaRPr>
            </a:p>
          </xdr:txBody>
        </xdr:sp>
      </mc:Fallback>
    </mc:AlternateContent>
    <xdr:clientData/>
  </xdr:oneCellAnchor>
  <xdr:oneCellAnchor>
    <xdr:from>
      <xdr:col>9</xdr:col>
      <xdr:colOff>342900</xdr:colOff>
      <xdr:row>37</xdr:row>
      <xdr:rowOff>127000</xdr:rowOff>
    </xdr:from>
    <xdr:ext cx="4381500" cy="440955"/>
    <mc:AlternateContent xmlns:mc="http://schemas.openxmlformats.org/markup-compatibility/2006" xmlns:a14="http://schemas.microsoft.com/office/drawing/2010/main">
      <mc:Choice Requires="a14">
        <xdr:sp macro="" textlink="">
          <xdr:nvSpPr>
            <xdr:cNvPr id="11" name="TextBox 10">
              <a:extLst>
                <a:ext uri="{FF2B5EF4-FFF2-40B4-BE49-F238E27FC236}">
                  <a16:creationId xmlns:a16="http://schemas.microsoft.com/office/drawing/2014/main" id="{8E93E895-8091-C549-B1B1-7894C894BF1D}"/>
                </a:ext>
              </a:extLst>
            </xdr:cNvPr>
            <xdr:cNvSpPr txBox="1"/>
          </xdr:nvSpPr>
          <xdr:spPr>
            <a:xfrm>
              <a:off x="7772400" y="330200"/>
              <a:ext cx="4381500" cy="4409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r>
                      <a:rPr lang="en-GB" sz="1400" i="1">
                        <a:solidFill>
                          <a:schemeClr val="tx1"/>
                        </a:solidFill>
                        <a:effectLst/>
                        <a:latin typeface="Cambria Math" panose="02040503050406030204" pitchFamily="18" charset="0"/>
                        <a:ea typeface="+mn-ea"/>
                        <a:cs typeface="+mn-cs"/>
                      </a:rPr>
                      <m:t>𝑉𝑎𝑟𝑖𝑎𝑛𝑐𝑒</m:t>
                    </m:r>
                    <m:r>
                      <a:rPr lang="en-GB" sz="1400">
                        <a:solidFill>
                          <a:schemeClr val="tx1"/>
                        </a:solidFill>
                        <a:effectLst/>
                        <a:latin typeface="Cambria Math" panose="02040503050406030204" pitchFamily="18" charset="0"/>
                        <a:ea typeface="+mn-ea"/>
                        <a:cs typeface="+mn-cs"/>
                      </a:rPr>
                      <m:t>(</m:t>
                    </m:r>
                    <m:sSub>
                      <m:sSubPr>
                        <m:ctrlPr>
                          <a:rPr lang="en-ZA" sz="1400" i="1">
                            <a:solidFill>
                              <a:schemeClr val="tx1"/>
                            </a:solidFill>
                            <a:effectLst/>
                            <a:latin typeface="Cambria Math" panose="02040503050406030204" pitchFamily="18" charset="0"/>
                            <a:ea typeface="+mn-ea"/>
                            <a:cs typeface="+mn-cs"/>
                          </a:rPr>
                        </m:ctrlPr>
                      </m:sSubPr>
                      <m:e>
                        <m:r>
                          <a:rPr lang="en-GB" sz="1400" i="1">
                            <a:solidFill>
                              <a:schemeClr val="tx1"/>
                            </a:solidFill>
                            <a:effectLst/>
                            <a:latin typeface="Cambria Math" panose="02040503050406030204" pitchFamily="18" charset="0"/>
                            <a:ea typeface="+mn-ea"/>
                            <a:cs typeface="+mn-cs"/>
                          </a:rPr>
                          <m:t>𝑌</m:t>
                        </m:r>
                      </m:e>
                      <m:sub>
                        <m:r>
                          <a:rPr lang="en-GB" sz="1400" i="1">
                            <a:solidFill>
                              <a:schemeClr val="tx1"/>
                            </a:solidFill>
                            <a:effectLst/>
                            <a:latin typeface="Cambria Math" panose="02040503050406030204" pitchFamily="18" charset="0"/>
                            <a:ea typeface="+mn-ea"/>
                            <a:cs typeface="+mn-cs"/>
                          </a:rPr>
                          <m:t>𝐶</m:t>
                        </m:r>
                      </m:sub>
                    </m:sSub>
                    <m:r>
                      <a:rPr lang="en-GB" sz="1400">
                        <a:solidFill>
                          <a:schemeClr val="tx1"/>
                        </a:solidFill>
                        <a:effectLst/>
                        <a:latin typeface="Cambria Math" panose="02040503050406030204" pitchFamily="18" charset="0"/>
                        <a:ea typeface="+mn-ea"/>
                        <a:cs typeface="+mn-cs"/>
                      </a:rPr>
                      <m:t>)≈1.25</m:t>
                    </m:r>
                    <m:sSubSup>
                      <m:sSubSupPr>
                        <m:ctrlPr>
                          <a:rPr lang="en-ZA" sz="1400" i="1">
                            <a:solidFill>
                              <a:schemeClr val="tx1"/>
                            </a:solidFill>
                            <a:effectLst/>
                            <a:latin typeface="Cambria Math" panose="02040503050406030204" pitchFamily="18" charset="0"/>
                            <a:ea typeface="+mn-ea"/>
                            <a:cs typeface="+mn-cs"/>
                          </a:rPr>
                        </m:ctrlPr>
                      </m:sSubSupPr>
                      <m:e>
                        <m:r>
                          <a:rPr lang="en-GB" sz="1400" i="1">
                            <a:solidFill>
                              <a:schemeClr val="tx1"/>
                            </a:solidFill>
                            <a:effectLst/>
                            <a:latin typeface="Cambria Math" panose="02040503050406030204" pitchFamily="18" charset="0"/>
                            <a:ea typeface="+mn-ea"/>
                            <a:cs typeface="+mn-cs"/>
                          </a:rPr>
                          <m:t>𝑌</m:t>
                        </m:r>
                      </m:e>
                      <m:sub>
                        <m:r>
                          <a:rPr lang="en-GB" sz="1400" i="1">
                            <a:solidFill>
                              <a:schemeClr val="tx1"/>
                            </a:solidFill>
                            <a:effectLst/>
                            <a:latin typeface="Cambria Math" panose="02040503050406030204" pitchFamily="18" charset="0"/>
                            <a:ea typeface="+mn-ea"/>
                            <a:cs typeface="+mn-cs"/>
                          </a:rPr>
                          <m:t>𝐶</m:t>
                        </m:r>
                      </m:sub>
                      <m:sup>
                        <m:r>
                          <a:rPr lang="en-GB" sz="1400">
                            <a:solidFill>
                              <a:schemeClr val="tx1"/>
                            </a:solidFill>
                            <a:effectLst/>
                            <a:latin typeface="Cambria Math" panose="02040503050406030204" pitchFamily="18" charset="0"/>
                            <a:ea typeface="+mn-ea"/>
                            <a:cs typeface="+mn-cs"/>
                          </a:rPr>
                          <m:t>2</m:t>
                        </m:r>
                      </m:sup>
                    </m:sSubSup>
                    <m:sSup>
                      <m:sSupPr>
                        <m:ctrlPr>
                          <a:rPr lang="en-ZA" sz="1400" i="1">
                            <a:solidFill>
                              <a:schemeClr val="tx1"/>
                            </a:solidFill>
                            <a:effectLst/>
                            <a:latin typeface="Cambria Math" panose="02040503050406030204" pitchFamily="18" charset="0"/>
                            <a:ea typeface="+mn-ea"/>
                            <a:cs typeface="+mn-cs"/>
                          </a:rPr>
                        </m:ctrlPr>
                      </m:sSupPr>
                      <m:e>
                        <m:d>
                          <m:dPr>
                            <m:ctrlPr>
                              <a:rPr lang="en-ZA" sz="1400" i="1">
                                <a:solidFill>
                                  <a:schemeClr val="tx1"/>
                                </a:solidFill>
                                <a:effectLst/>
                                <a:latin typeface="Cambria Math" panose="02040503050406030204" pitchFamily="18" charset="0"/>
                                <a:ea typeface="+mn-ea"/>
                                <a:cs typeface="+mn-cs"/>
                              </a:rPr>
                            </m:ctrlPr>
                          </m:dPr>
                          <m:e>
                            <m:r>
                              <a:rPr lang="en-GB" sz="1400">
                                <a:solidFill>
                                  <a:schemeClr val="tx1"/>
                                </a:solidFill>
                                <a:effectLst/>
                                <a:latin typeface="Cambria Math" panose="02040503050406030204" pitchFamily="18" charset="0"/>
                                <a:ea typeface="+mn-ea"/>
                                <a:cs typeface="+mn-cs"/>
                              </a:rPr>
                              <m:t>1</m:t>
                            </m:r>
                            <m:r>
                              <a:rPr lang="en-GB" sz="1400" i="1">
                                <a:solidFill>
                                  <a:schemeClr val="tx1"/>
                                </a:solidFill>
                                <a:effectLst/>
                                <a:latin typeface="Cambria Math" panose="02040503050406030204" pitchFamily="18" charset="0"/>
                                <a:ea typeface="+mn-ea"/>
                                <a:cs typeface="+mn-cs"/>
                              </a:rPr>
                              <m:t>−</m:t>
                            </m:r>
                            <m:sSub>
                              <m:sSubPr>
                                <m:ctrlPr>
                                  <a:rPr lang="en-ZA" sz="1400" i="1">
                                    <a:solidFill>
                                      <a:schemeClr val="tx1"/>
                                    </a:solidFill>
                                    <a:effectLst/>
                                    <a:latin typeface="Cambria Math" panose="02040503050406030204" pitchFamily="18" charset="0"/>
                                    <a:ea typeface="+mn-ea"/>
                                    <a:cs typeface="+mn-cs"/>
                                  </a:rPr>
                                </m:ctrlPr>
                              </m:sSubPr>
                              <m:e>
                                <m:r>
                                  <a:rPr lang="en-GB" sz="1400" i="1">
                                    <a:solidFill>
                                      <a:schemeClr val="tx1"/>
                                    </a:solidFill>
                                    <a:effectLst/>
                                    <a:latin typeface="Cambria Math" panose="02040503050406030204" pitchFamily="18" charset="0"/>
                                    <a:ea typeface="+mn-ea"/>
                                    <a:cs typeface="+mn-cs"/>
                                  </a:rPr>
                                  <m:t>𝑌</m:t>
                                </m:r>
                              </m:e>
                              <m:sub>
                                <m:r>
                                  <a:rPr lang="en-GB" sz="1400" i="1">
                                    <a:solidFill>
                                      <a:schemeClr val="tx1"/>
                                    </a:solidFill>
                                    <a:effectLst/>
                                    <a:latin typeface="Cambria Math" panose="02040503050406030204" pitchFamily="18" charset="0"/>
                                    <a:ea typeface="+mn-ea"/>
                                    <a:cs typeface="+mn-cs"/>
                                  </a:rPr>
                                  <m:t>𝐶</m:t>
                                </m:r>
                              </m:sub>
                            </m:sSub>
                          </m:e>
                        </m:d>
                      </m:e>
                      <m:sup>
                        <m:r>
                          <a:rPr lang="en-GB" sz="1400">
                            <a:solidFill>
                              <a:schemeClr val="tx1"/>
                            </a:solidFill>
                            <a:effectLst/>
                            <a:latin typeface="Cambria Math" panose="02040503050406030204" pitchFamily="18" charset="0"/>
                            <a:ea typeface="+mn-ea"/>
                            <a:cs typeface="+mn-cs"/>
                          </a:rPr>
                          <m:t>2</m:t>
                        </m:r>
                      </m:sup>
                    </m:sSup>
                    <m:d>
                      <m:dPr>
                        <m:begChr m:val="["/>
                        <m:endChr m:val="]"/>
                        <m:ctrlPr>
                          <a:rPr lang="en-ZA" sz="1400" i="1">
                            <a:solidFill>
                              <a:schemeClr val="tx1"/>
                            </a:solidFill>
                            <a:effectLst/>
                            <a:latin typeface="Cambria Math" panose="02040503050406030204" pitchFamily="18" charset="0"/>
                            <a:ea typeface="+mn-ea"/>
                            <a:cs typeface="+mn-cs"/>
                          </a:rPr>
                        </m:ctrlPr>
                      </m:dPr>
                      <m:e>
                        <m:f>
                          <m:fPr>
                            <m:ctrlPr>
                              <a:rPr lang="en-ZA" sz="1400" i="1">
                                <a:solidFill>
                                  <a:schemeClr val="tx1"/>
                                </a:solidFill>
                                <a:effectLst/>
                                <a:latin typeface="Cambria Math" panose="02040503050406030204" pitchFamily="18" charset="0"/>
                                <a:ea typeface="+mn-ea"/>
                                <a:cs typeface="+mn-cs"/>
                              </a:rPr>
                            </m:ctrlPr>
                          </m:fPr>
                          <m:num>
                            <m:r>
                              <a:rPr lang="en-GB" sz="1400">
                                <a:solidFill>
                                  <a:schemeClr val="tx1"/>
                                </a:solidFill>
                                <a:effectLst/>
                                <a:latin typeface="Cambria Math" panose="02040503050406030204" pitchFamily="18" charset="0"/>
                                <a:ea typeface="+mn-ea"/>
                                <a:cs typeface="+mn-cs"/>
                              </a:rPr>
                              <m:t>1</m:t>
                            </m:r>
                          </m:num>
                          <m:den>
                            <m:sSub>
                              <m:sSubPr>
                                <m:ctrlPr>
                                  <a:rPr lang="en-ZA" sz="1400" i="1">
                                    <a:solidFill>
                                      <a:schemeClr val="tx1"/>
                                    </a:solidFill>
                                    <a:effectLst/>
                                    <a:latin typeface="Cambria Math" panose="02040503050406030204" pitchFamily="18" charset="0"/>
                                    <a:ea typeface="+mn-ea"/>
                                    <a:cs typeface="+mn-cs"/>
                                  </a:rPr>
                                </m:ctrlPr>
                              </m:sSubPr>
                              <m:e>
                                <m:r>
                                  <a:rPr lang="en-GB" sz="1400" i="1">
                                    <a:solidFill>
                                      <a:schemeClr val="tx1"/>
                                    </a:solidFill>
                                    <a:effectLst/>
                                    <a:latin typeface="Cambria Math" panose="02040503050406030204" pitchFamily="18" charset="0"/>
                                    <a:ea typeface="+mn-ea"/>
                                    <a:cs typeface="+mn-cs"/>
                                  </a:rPr>
                                  <m:t>𝑁</m:t>
                                </m:r>
                              </m:e>
                              <m:sub>
                                <m:r>
                                  <a:rPr lang="en-GB" sz="1400">
                                    <a:solidFill>
                                      <a:schemeClr val="tx1"/>
                                    </a:solidFill>
                                    <a:effectLst/>
                                    <a:latin typeface="Cambria Math" panose="02040503050406030204" pitchFamily="18" charset="0"/>
                                    <a:ea typeface="+mn-ea"/>
                                    <a:cs typeface="+mn-cs"/>
                                  </a:rPr>
                                  <m:t>0</m:t>
                                </m:r>
                              </m:sub>
                            </m:sSub>
                          </m:den>
                        </m:f>
                        <m:r>
                          <a:rPr lang="en-GB" sz="1400">
                            <a:solidFill>
                              <a:schemeClr val="tx1"/>
                            </a:solidFill>
                            <a:effectLst/>
                            <a:latin typeface="Cambria Math" panose="02040503050406030204" pitchFamily="18" charset="0"/>
                            <a:ea typeface="+mn-ea"/>
                            <a:cs typeface="+mn-cs"/>
                          </a:rPr>
                          <m:t>+</m:t>
                        </m:r>
                        <m:f>
                          <m:fPr>
                            <m:ctrlPr>
                              <a:rPr lang="en-ZA" sz="1400" i="1">
                                <a:solidFill>
                                  <a:schemeClr val="tx1"/>
                                </a:solidFill>
                                <a:effectLst/>
                                <a:latin typeface="Cambria Math" panose="02040503050406030204" pitchFamily="18" charset="0"/>
                                <a:ea typeface="+mn-ea"/>
                                <a:cs typeface="+mn-cs"/>
                              </a:rPr>
                            </m:ctrlPr>
                          </m:fPr>
                          <m:num>
                            <m:r>
                              <a:rPr lang="en-GB" sz="1400">
                                <a:solidFill>
                                  <a:schemeClr val="tx1"/>
                                </a:solidFill>
                                <a:effectLst/>
                                <a:latin typeface="Cambria Math" panose="02040503050406030204" pitchFamily="18" charset="0"/>
                                <a:ea typeface="+mn-ea"/>
                                <a:cs typeface="+mn-cs"/>
                              </a:rPr>
                              <m:t>1</m:t>
                            </m:r>
                          </m:num>
                          <m:den>
                            <m:sSub>
                              <m:sSubPr>
                                <m:ctrlPr>
                                  <a:rPr lang="en-ZA" sz="1400" i="1">
                                    <a:solidFill>
                                      <a:schemeClr val="tx1"/>
                                    </a:solidFill>
                                    <a:effectLst/>
                                    <a:latin typeface="Cambria Math" panose="02040503050406030204" pitchFamily="18" charset="0"/>
                                    <a:ea typeface="+mn-ea"/>
                                    <a:cs typeface="+mn-cs"/>
                                  </a:rPr>
                                </m:ctrlPr>
                              </m:sSubPr>
                              <m:e>
                                <m:r>
                                  <a:rPr lang="en-GB" sz="1400" i="1">
                                    <a:solidFill>
                                      <a:schemeClr val="tx1"/>
                                    </a:solidFill>
                                    <a:effectLst/>
                                    <a:latin typeface="Cambria Math" panose="02040503050406030204" pitchFamily="18" charset="0"/>
                                    <a:ea typeface="+mn-ea"/>
                                    <a:cs typeface="+mn-cs"/>
                                  </a:rPr>
                                  <m:t>𝑁</m:t>
                                </m:r>
                              </m:e>
                              <m:sub>
                                <m:r>
                                  <a:rPr lang="en-GB" sz="1400">
                                    <a:solidFill>
                                      <a:schemeClr val="tx1"/>
                                    </a:solidFill>
                                    <a:effectLst/>
                                    <a:latin typeface="Cambria Math" panose="02040503050406030204" pitchFamily="18" charset="0"/>
                                    <a:ea typeface="+mn-ea"/>
                                    <a:cs typeface="+mn-cs"/>
                                  </a:rPr>
                                  <m:t>1</m:t>
                                </m:r>
                              </m:sub>
                            </m:sSub>
                          </m:den>
                        </m:f>
                      </m:e>
                    </m:d>
                    <m:r>
                      <m:rPr>
                        <m:nor/>
                      </m:rPr>
                      <a:rPr lang="en-ZA" sz="1400">
                        <a:effectLst/>
                      </a:rPr>
                      <m:t> </m:t>
                    </m:r>
                  </m:oMath>
                </m:oMathPara>
              </a14:m>
              <a:endParaRPr lang="en-GB" sz="1400"/>
            </a:p>
          </xdr:txBody>
        </xdr:sp>
      </mc:Choice>
      <mc:Fallback xmlns="">
        <xdr:sp macro="" textlink="">
          <xdr:nvSpPr>
            <xdr:cNvPr id="11" name="TextBox 10">
              <a:extLst>
                <a:ext uri="{FF2B5EF4-FFF2-40B4-BE49-F238E27FC236}">
                  <a16:creationId xmlns:a16="http://schemas.microsoft.com/office/drawing/2014/main" id="{8E93E895-8091-C549-B1B1-7894C894BF1D}"/>
                </a:ext>
              </a:extLst>
            </xdr:cNvPr>
            <xdr:cNvSpPr txBox="1"/>
          </xdr:nvSpPr>
          <xdr:spPr>
            <a:xfrm>
              <a:off x="7772400" y="330200"/>
              <a:ext cx="4381500" cy="4409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GB" sz="1400" i="0">
                  <a:solidFill>
                    <a:schemeClr val="tx1"/>
                  </a:solidFill>
                  <a:effectLst/>
                  <a:latin typeface="Cambria Math" panose="02040503050406030204" pitchFamily="18" charset="0"/>
                  <a:ea typeface="+mn-ea"/>
                  <a:cs typeface="+mn-cs"/>
                </a:rPr>
                <a:t>𝑉𝑎𝑟𝑖𝑎𝑛𝑐𝑒(𝑌</a:t>
              </a:r>
              <a:r>
                <a:rPr lang="en-ZA" sz="1400" i="0">
                  <a:solidFill>
                    <a:schemeClr val="tx1"/>
                  </a:solidFill>
                  <a:effectLst/>
                  <a:latin typeface="Cambria Math" panose="02040503050406030204" pitchFamily="18" charset="0"/>
                  <a:ea typeface="+mn-ea"/>
                  <a:cs typeface="+mn-cs"/>
                </a:rPr>
                <a:t>_</a:t>
              </a:r>
              <a:r>
                <a:rPr lang="en-GB" sz="1400" i="0">
                  <a:solidFill>
                    <a:schemeClr val="tx1"/>
                  </a:solidFill>
                  <a:effectLst/>
                  <a:latin typeface="Cambria Math" panose="02040503050406030204" pitchFamily="18" charset="0"/>
                  <a:ea typeface="+mn-ea"/>
                  <a:cs typeface="+mn-cs"/>
                </a:rPr>
                <a:t>𝐶)≈1.25𝑌</a:t>
              </a:r>
              <a:r>
                <a:rPr lang="en-ZA" sz="1400" i="0">
                  <a:solidFill>
                    <a:schemeClr val="tx1"/>
                  </a:solidFill>
                  <a:effectLst/>
                  <a:latin typeface="Cambria Math" panose="02040503050406030204" pitchFamily="18" charset="0"/>
                  <a:ea typeface="+mn-ea"/>
                  <a:cs typeface="+mn-cs"/>
                </a:rPr>
                <a:t>_</a:t>
              </a:r>
              <a:r>
                <a:rPr lang="en-GB" sz="1400" i="0">
                  <a:solidFill>
                    <a:schemeClr val="tx1"/>
                  </a:solidFill>
                  <a:effectLst/>
                  <a:latin typeface="Cambria Math" panose="02040503050406030204" pitchFamily="18" charset="0"/>
                  <a:ea typeface="+mn-ea"/>
                  <a:cs typeface="+mn-cs"/>
                </a:rPr>
                <a:t>𝐶^2</a:t>
              </a:r>
              <a:r>
                <a:rPr lang="en-ZA" sz="1400" i="0">
                  <a:solidFill>
                    <a:schemeClr val="tx1"/>
                  </a:solidFill>
                  <a:effectLst/>
                  <a:latin typeface="Cambria Math" panose="02040503050406030204" pitchFamily="18" charset="0"/>
                  <a:ea typeface="+mn-ea"/>
                  <a:cs typeface="+mn-cs"/>
                </a:rPr>
                <a:t> (</a:t>
              </a:r>
              <a:r>
                <a:rPr lang="en-GB" sz="1400" i="0">
                  <a:solidFill>
                    <a:schemeClr val="tx1"/>
                  </a:solidFill>
                  <a:effectLst/>
                  <a:latin typeface="Cambria Math" panose="02040503050406030204" pitchFamily="18" charset="0"/>
                  <a:ea typeface="+mn-ea"/>
                  <a:cs typeface="+mn-cs"/>
                </a:rPr>
                <a:t>1−𝑌</a:t>
              </a:r>
              <a:r>
                <a:rPr lang="en-ZA" sz="1400" i="0">
                  <a:solidFill>
                    <a:schemeClr val="tx1"/>
                  </a:solidFill>
                  <a:effectLst/>
                  <a:latin typeface="Cambria Math" panose="02040503050406030204" pitchFamily="18" charset="0"/>
                  <a:ea typeface="+mn-ea"/>
                  <a:cs typeface="+mn-cs"/>
                </a:rPr>
                <a:t>_</a:t>
              </a:r>
              <a:r>
                <a:rPr lang="en-GB" sz="1400" i="0">
                  <a:solidFill>
                    <a:schemeClr val="tx1"/>
                  </a:solidFill>
                  <a:effectLst/>
                  <a:latin typeface="Cambria Math" panose="02040503050406030204" pitchFamily="18" charset="0"/>
                  <a:ea typeface="+mn-ea"/>
                  <a:cs typeface="+mn-cs"/>
                </a:rPr>
                <a:t>𝐶 )</a:t>
              </a:r>
              <a:r>
                <a:rPr lang="en-ZA" sz="1400" i="0">
                  <a:solidFill>
                    <a:schemeClr val="tx1"/>
                  </a:solidFill>
                  <a:effectLst/>
                  <a:latin typeface="Cambria Math" panose="02040503050406030204" pitchFamily="18" charset="0"/>
                  <a:ea typeface="+mn-ea"/>
                  <a:cs typeface="+mn-cs"/>
                </a:rPr>
                <a:t>^</a:t>
              </a:r>
              <a:r>
                <a:rPr lang="en-GB" sz="1400" i="0">
                  <a:solidFill>
                    <a:schemeClr val="tx1"/>
                  </a:solidFill>
                  <a:effectLst/>
                  <a:latin typeface="Cambria Math" panose="02040503050406030204" pitchFamily="18" charset="0"/>
                  <a:ea typeface="+mn-ea"/>
                  <a:cs typeface="+mn-cs"/>
                </a:rPr>
                <a:t>2</a:t>
              </a:r>
              <a:r>
                <a:rPr lang="en-ZA" sz="1400" i="0">
                  <a:solidFill>
                    <a:schemeClr val="tx1"/>
                  </a:solidFill>
                  <a:effectLst/>
                  <a:latin typeface="Cambria Math" panose="02040503050406030204" pitchFamily="18" charset="0"/>
                  <a:ea typeface="+mn-ea"/>
                  <a:cs typeface="+mn-cs"/>
                </a:rPr>
                <a:t> [</a:t>
              </a:r>
              <a:r>
                <a:rPr lang="en-GB" sz="1400" i="0">
                  <a:solidFill>
                    <a:schemeClr val="tx1"/>
                  </a:solidFill>
                  <a:effectLst/>
                  <a:latin typeface="Cambria Math" panose="02040503050406030204" pitchFamily="18" charset="0"/>
                  <a:ea typeface="+mn-ea"/>
                  <a:cs typeface="+mn-cs"/>
                </a:rPr>
                <a:t>1</a:t>
              </a:r>
              <a:r>
                <a:rPr lang="en-ZA" sz="1400" i="0">
                  <a:solidFill>
                    <a:schemeClr val="tx1"/>
                  </a:solidFill>
                  <a:effectLst/>
                  <a:latin typeface="Cambria Math" panose="02040503050406030204" pitchFamily="18" charset="0"/>
                  <a:ea typeface="+mn-ea"/>
                  <a:cs typeface="+mn-cs"/>
                </a:rPr>
                <a:t>/</a:t>
              </a:r>
              <a:r>
                <a:rPr lang="en-GB" sz="1400" i="0">
                  <a:solidFill>
                    <a:schemeClr val="tx1"/>
                  </a:solidFill>
                  <a:effectLst/>
                  <a:latin typeface="Cambria Math" panose="02040503050406030204" pitchFamily="18" charset="0"/>
                  <a:ea typeface="+mn-ea"/>
                  <a:cs typeface="+mn-cs"/>
                </a:rPr>
                <a:t>𝑁</a:t>
              </a:r>
              <a:r>
                <a:rPr lang="en-ZA" sz="1400" i="0">
                  <a:solidFill>
                    <a:schemeClr val="tx1"/>
                  </a:solidFill>
                  <a:effectLst/>
                  <a:latin typeface="Cambria Math" panose="02040503050406030204" pitchFamily="18" charset="0"/>
                  <a:ea typeface="+mn-ea"/>
                  <a:cs typeface="+mn-cs"/>
                </a:rPr>
                <a:t>_</a:t>
              </a:r>
              <a:r>
                <a:rPr lang="en-GB" sz="1400" i="0">
                  <a:solidFill>
                    <a:schemeClr val="tx1"/>
                  </a:solidFill>
                  <a:effectLst/>
                  <a:latin typeface="Cambria Math" panose="02040503050406030204" pitchFamily="18" charset="0"/>
                  <a:ea typeface="+mn-ea"/>
                  <a:cs typeface="+mn-cs"/>
                </a:rPr>
                <a:t>0 +1</a:t>
              </a:r>
              <a:r>
                <a:rPr lang="en-ZA" sz="1400" i="0">
                  <a:solidFill>
                    <a:schemeClr val="tx1"/>
                  </a:solidFill>
                  <a:effectLst/>
                  <a:latin typeface="Cambria Math" panose="02040503050406030204" pitchFamily="18" charset="0"/>
                  <a:ea typeface="+mn-ea"/>
                  <a:cs typeface="+mn-cs"/>
                </a:rPr>
                <a:t>/</a:t>
              </a:r>
              <a:r>
                <a:rPr lang="en-GB" sz="1400" i="0">
                  <a:solidFill>
                    <a:schemeClr val="tx1"/>
                  </a:solidFill>
                  <a:effectLst/>
                  <a:latin typeface="Cambria Math" panose="02040503050406030204" pitchFamily="18" charset="0"/>
                  <a:ea typeface="+mn-ea"/>
                  <a:cs typeface="+mn-cs"/>
                </a:rPr>
                <a:t>𝑁</a:t>
              </a:r>
              <a:r>
                <a:rPr lang="en-ZA" sz="1400" i="0">
                  <a:solidFill>
                    <a:schemeClr val="tx1"/>
                  </a:solidFill>
                  <a:effectLst/>
                  <a:latin typeface="Cambria Math" panose="02040503050406030204" pitchFamily="18" charset="0"/>
                  <a:ea typeface="+mn-ea"/>
                  <a:cs typeface="+mn-cs"/>
                </a:rPr>
                <a:t>_</a:t>
              </a:r>
              <a:r>
                <a:rPr lang="en-GB" sz="1400" i="0">
                  <a:solidFill>
                    <a:schemeClr val="tx1"/>
                  </a:solidFill>
                  <a:effectLst/>
                  <a:latin typeface="Cambria Math" panose="02040503050406030204" pitchFamily="18" charset="0"/>
                  <a:ea typeface="+mn-ea"/>
                  <a:cs typeface="+mn-cs"/>
                </a:rPr>
                <a:t>1 ]</a:t>
              </a:r>
              <a:r>
                <a:rPr lang="en-ZA" sz="1400" i="0">
                  <a:solidFill>
                    <a:schemeClr val="tx1"/>
                  </a:solidFill>
                  <a:effectLst/>
                  <a:latin typeface="Cambria Math" panose="02040503050406030204" pitchFamily="18" charset="0"/>
                  <a:ea typeface="+mn-ea"/>
                  <a:cs typeface="+mn-cs"/>
                </a:rPr>
                <a:t>"</a:t>
              </a:r>
              <a:r>
                <a:rPr lang="en-ZA" sz="1400" i="0">
                  <a:effectLst/>
                  <a:latin typeface="Cambria Math" panose="02040503050406030204" pitchFamily="18" charset="0"/>
                </a:rPr>
                <a:t> </a:t>
              </a:r>
              <a:r>
                <a:rPr lang="en-GB" sz="1400" i="0">
                  <a:effectLst/>
                </a:rPr>
                <a:t>"</a:t>
              </a:r>
              <a:endParaRPr lang="en-GB" sz="1400"/>
            </a:p>
          </xdr:txBody>
        </xdr:sp>
      </mc:Fallback>
    </mc:AlternateContent>
    <xdr:clientData/>
  </xdr:oneCellAnchor>
  <xdr:oneCellAnchor>
    <xdr:from>
      <xdr:col>14</xdr:col>
      <xdr:colOff>50800</xdr:colOff>
      <xdr:row>2</xdr:row>
      <xdr:rowOff>12700</xdr:rowOff>
    </xdr:from>
    <xdr:ext cx="1292470" cy="462114"/>
    <mc:AlternateContent xmlns:mc="http://schemas.openxmlformats.org/markup-compatibility/2006" xmlns:a14="http://schemas.microsoft.com/office/drawing/2010/main">
      <mc:Choice Requires="a14">
        <xdr:sp macro="" textlink="">
          <xdr:nvSpPr>
            <xdr:cNvPr id="16" name="TextBox 15">
              <a:extLst>
                <a:ext uri="{FF2B5EF4-FFF2-40B4-BE49-F238E27FC236}">
                  <a16:creationId xmlns:a16="http://schemas.microsoft.com/office/drawing/2014/main" id="{06C883F3-1D62-0942-B661-7D42C0C9FB46}"/>
                </a:ext>
              </a:extLst>
            </xdr:cNvPr>
            <xdr:cNvSpPr txBox="1"/>
          </xdr:nvSpPr>
          <xdr:spPr>
            <a:xfrm>
              <a:off x="16192500" y="431800"/>
              <a:ext cx="1292470" cy="4621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𝑔</m:t>
                    </m:r>
                    <m:r>
                      <a:rPr lang="en-US" sz="1100" b="0" i="1">
                        <a:latin typeface="Cambria Math" panose="02040503050406030204" pitchFamily="18" charset="0"/>
                      </a:rPr>
                      <m:t>=</m:t>
                    </m:r>
                    <m:d>
                      <m:dPr>
                        <m:ctrlPr>
                          <a:rPr lang="en-US" sz="1100" b="0" i="1">
                            <a:latin typeface="Cambria Math" panose="02040503050406030204" pitchFamily="18" charset="0"/>
                          </a:rPr>
                        </m:ctrlPr>
                      </m:dPr>
                      <m:e>
                        <m:f>
                          <m:fPr>
                            <m:ctrlPr>
                              <a:rPr lang="en-US" sz="1100" b="0" i="1">
                                <a:latin typeface="Cambria Math" panose="02040503050406030204" pitchFamily="18" charset="0"/>
                              </a:rPr>
                            </m:ctrlPr>
                          </m:fPr>
                          <m:num>
                            <m:r>
                              <a:rPr lang="en-US" sz="1100" b="0" i="1">
                                <a:latin typeface="Cambria Math" panose="02040503050406030204" pitchFamily="18" charset="0"/>
                              </a:rPr>
                              <m:t>1</m:t>
                            </m:r>
                          </m:num>
                          <m:den>
                            <m:r>
                              <a:rPr lang="en-US" sz="1100" b="0" i="1">
                                <a:latin typeface="Cambria Math" panose="02040503050406030204" pitchFamily="18" charset="0"/>
                              </a:rPr>
                              <m:t>𝑀</m:t>
                            </m:r>
                            <m:acc>
                              <m:accPr>
                                <m:chr m:val="̅"/>
                                <m:ctrlPr>
                                  <a:rPr lang="en-US" sz="1100" b="0" i="1">
                                    <a:latin typeface="Cambria Math" panose="02040503050406030204" pitchFamily="18" charset="0"/>
                                  </a:rPr>
                                </m:ctrlPr>
                              </m:accPr>
                              <m:e>
                                <m:sSup>
                                  <m:sSupPr>
                                    <m:ctrlPr>
                                      <a:rPr lang="en-US" sz="1100" b="0" i="1">
                                        <a:latin typeface="Cambria Math" panose="02040503050406030204" pitchFamily="18" charset="0"/>
                                      </a:rPr>
                                    </m:ctrlPr>
                                  </m:sSupPr>
                                  <m:e>
                                    <m:r>
                                      <a:rPr lang="en-US" sz="1100" b="0" i="1">
                                        <a:latin typeface="Cambria Math" panose="02040503050406030204" pitchFamily="18" charset="0"/>
                                      </a:rPr>
                                      <m:t>𝑑</m:t>
                                    </m:r>
                                  </m:e>
                                  <m:sup>
                                    <m:r>
                                      <a:rPr lang="en-US" sz="1100" b="0" i="1">
                                        <a:latin typeface="Cambria Math" panose="02040503050406030204" pitchFamily="18" charset="0"/>
                                      </a:rPr>
                                      <m:t>3</m:t>
                                    </m:r>
                                  </m:sup>
                                </m:sSup>
                              </m:e>
                            </m:acc>
                          </m:den>
                        </m:f>
                      </m:e>
                    </m:d>
                    <m:nary>
                      <m:naryPr>
                        <m:chr m:val="∑"/>
                        <m:ctrlPr>
                          <a:rPr lang="en-US" sz="1100" b="0" i="1">
                            <a:latin typeface="Cambria Math" panose="02040503050406030204" pitchFamily="18" charset="0"/>
                          </a:rPr>
                        </m:ctrlPr>
                      </m:naryPr>
                      <m:sub>
                        <m:r>
                          <m:rPr>
                            <m:brk m:alnAt="23"/>
                          </m:rPr>
                          <a:rPr lang="en-US" sz="1100" b="0" i="1">
                            <a:latin typeface="Cambria Math" panose="02040503050406030204" pitchFamily="18" charset="0"/>
                          </a:rPr>
                          <m:t>𝑖</m:t>
                        </m:r>
                        <m:r>
                          <a:rPr lang="en-US" sz="1100" b="0" i="1">
                            <a:latin typeface="Cambria Math" panose="02040503050406030204" pitchFamily="18" charset="0"/>
                          </a:rPr>
                          <m:t>=1</m:t>
                        </m:r>
                      </m:sub>
                      <m:sup>
                        <m:r>
                          <a:rPr lang="en-US" sz="1100" b="0" i="1">
                            <a:latin typeface="Cambria Math" panose="02040503050406030204" pitchFamily="18" charset="0"/>
                          </a:rPr>
                          <m:t>𝑛</m:t>
                        </m:r>
                      </m:sup>
                      <m:e>
                        <m:sSub>
                          <m:sSubPr>
                            <m:ctrlPr>
                              <a:rPr lang="en-US" sz="1100" b="0" i="1">
                                <a:latin typeface="Cambria Math" panose="02040503050406030204" pitchFamily="18" charset="0"/>
                              </a:rPr>
                            </m:ctrlPr>
                          </m:sSubPr>
                          <m:e>
                            <m:r>
                              <a:rPr lang="en-US" sz="1100" b="0" i="1">
                                <a:latin typeface="Cambria Math" panose="02040503050406030204" pitchFamily="18" charset="0"/>
                              </a:rPr>
                              <m:t>𝑀</m:t>
                            </m:r>
                          </m:e>
                          <m:sub>
                            <m:r>
                              <a:rPr lang="en-US" sz="1100" b="0" i="1">
                                <a:latin typeface="Cambria Math" panose="02040503050406030204" pitchFamily="18" charset="0"/>
                              </a:rPr>
                              <m:t>𝑖</m:t>
                            </m:r>
                          </m:sub>
                        </m:sSub>
                        <m:sSubSup>
                          <m:sSubSupPr>
                            <m:ctrlPr>
                              <a:rPr lang="en-US" sz="1100" b="0" i="1">
                                <a:latin typeface="Cambria Math" panose="02040503050406030204" pitchFamily="18" charset="0"/>
                              </a:rPr>
                            </m:ctrlPr>
                          </m:sSubSupPr>
                          <m:e>
                            <m:r>
                              <a:rPr lang="en-US" sz="1100" b="0" i="1">
                                <a:latin typeface="Cambria Math" panose="02040503050406030204" pitchFamily="18" charset="0"/>
                              </a:rPr>
                              <m:t>𝑑</m:t>
                            </m:r>
                          </m:e>
                          <m:sub>
                            <m:r>
                              <a:rPr lang="en-US" sz="1100" b="0" i="1">
                                <a:latin typeface="Cambria Math" panose="02040503050406030204" pitchFamily="18" charset="0"/>
                              </a:rPr>
                              <m:t>𝑖</m:t>
                            </m:r>
                          </m:sub>
                          <m:sup>
                            <m:r>
                              <a:rPr lang="en-US" sz="1100" b="0" i="1">
                                <a:latin typeface="Cambria Math" panose="02040503050406030204" pitchFamily="18" charset="0"/>
                              </a:rPr>
                              <m:t>3</m:t>
                            </m:r>
                          </m:sup>
                        </m:sSubSup>
                      </m:e>
                    </m:nary>
                  </m:oMath>
                </m:oMathPara>
              </a14:m>
              <a:endParaRPr lang="en-GB" sz="1100"/>
            </a:p>
          </xdr:txBody>
        </xdr:sp>
      </mc:Choice>
      <mc:Fallback xmlns="">
        <xdr:sp macro="" textlink="">
          <xdr:nvSpPr>
            <xdr:cNvPr id="16" name="TextBox 15">
              <a:extLst>
                <a:ext uri="{FF2B5EF4-FFF2-40B4-BE49-F238E27FC236}">
                  <a16:creationId xmlns:a16="http://schemas.microsoft.com/office/drawing/2014/main" id="{06C883F3-1D62-0942-B661-7D42C0C9FB46}"/>
                </a:ext>
              </a:extLst>
            </xdr:cNvPr>
            <xdr:cNvSpPr txBox="1"/>
          </xdr:nvSpPr>
          <xdr:spPr>
            <a:xfrm>
              <a:off x="16192500" y="431800"/>
              <a:ext cx="1292470" cy="4621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𝑔=(1/(𝑀(𝑑^3 ) ̅ )) ∑24_(𝑖=1)^𝑛▒〖𝑀_𝑖 𝑑_𝑖^3 〗</a:t>
              </a:r>
              <a:endParaRPr lang="en-GB" sz="1100"/>
            </a:p>
          </xdr:txBody>
        </xdr:sp>
      </mc:Fallback>
    </mc:AlternateContent>
    <xdr:clientData/>
  </xdr:oneCellAnchor>
  <xdr:oneCellAnchor>
    <xdr:from>
      <xdr:col>14</xdr:col>
      <xdr:colOff>38100</xdr:colOff>
      <xdr:row>16</xdr:row>
      <xdr:rowOff>50800</xdr:rowOff>
    </xdr:from>
    <xdr:ext cx="1916166" cy="462114"/>
    <mc:AlternateContent xmlns:mc="http://schemas.openxmlformats.org/markup-compatibility/2006" xmlns:a14="http://schemas.microsoft.com/office/drawing/2010/main">
      <mc:Choice Requires="a14">
        <xdr:sp macro="" textlink="">
          <xdr:nvSpPr>
            <xdr:cNvPr id="17" name="TextBox 16">
              <a:extLst>
                <a:ext uri="{FF2B5EF4-FFF2-40B4-BE49-F238E27FC236}">
                  <a16:creationId xmlns:a16="http://schemas.microsoft.com/office/drawing/2014/main" id="{2DA5C929-140A-F848-9AA5-7C87818059B7}"/>
                </a:ext>
              </a:extLst>
            </xdr:cNvPr>
            <xdr:cNvSpPr txBox="1"/>
          </xdr:nvSpPr>
          <xdr:spPr>
            <a:xfrm>
              <a:off x="16179800" y="3340100"/>
              <a:ext cx="1916166" cy="4621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𝐾</m:t>
                    </m:r>
                    <m:r>
                      <a:rPr lang="en-US" sz="1100" b="0" i="1">
                        <a:latin typeface="Cambria Math" panose="02040503050406030204" pitchFamily="18" charset="0"/>
                      </a:rPr>
                      <m:t>=</m:t>
                    </m:r>
                    <m:d>
                      <m:dPr>
                        <m:ctrlPr>
                          <a:rPr lang="en-US" sz="1100" b="0" i="1">
                            <a:latin typeface="Cambria Math" panose="02040503050406030204" pitchFamily="18" charset="0"/>
                          </a:rPr>
                        </m:ctrlPr>
                      </m:dPr>
                      <m:e>
                        <m:f>
                          <m:fPr>
                            <m:ctrlPr>
                              <a:rPr lang="en-US" sz="1100" b="0" i="1">
                                <a:latin typeface="Cambria Math" panose="02040503050406030204" pitchFamily="18" charset="0"/>
                              </a:rPr>
                            </m:ctrlPr>
                          </m:fPr>
                          <m:num>
                            <m:r>
                              <a:rPr lang="en-US" sz="1100" b="0" i="1">
                                <a:latin typeface="Cambria Math" panose="02040503050406030204" pitchFamily="18" charset="0"/>
                              </a:rPr>
                              <m:t>𝑔</m:t>
                            </m:r>
                            <m:acc>
                              <m:accPr>
                                <m:chr m:val="̅"/>
                                <m:ctrlPr>
                                  <a:rPr lang="en-US" sz="1100" b="0" i="1">
                                    <a:latin typeface="Cambria Math" panose="02040503050406030204" pitchFamily="18" charset="0"/>
                                  </a:rPr>
                                </m:ctrlPr>
                              </m:accPr>
                              <m:e>
                                <m:r>
                                  <a:rPr lang="en-US" sz="1100" b="0" i="1">
                                    <a:latin typeface="Cambria Math" panose="02040503050406030204" pitchFamily="18" charset="0"/>
                                  </a:rPr>
                                  <m:t>𝑣</m:t>
                                </m:r>
                              </m:e>
                            </m:acc>
                          </m:num>
                          <m:den>
                            <m:r>
                              <a:rPr lang="en-US" sz="1100" b="0" i="1">
                                <a:latin typeface="Cambria Math" panose="02040503050406030204" pitchFamily="18" charset="0"/>
                              </a:rPr>
                              <m:t>𝑀</m:t>
                            </m:r>
                            <m:acc>
                              <m:accPr>
                                <m:chr m:val="̅"/>
                                <m:ctrlPr>
                                  <a:rPr lang="en-US" sz="1100" b="0" i="1">
                                    <a:latin typeface="Cambria Math" panose="02040503050406030204" pitchFamily="18" charset="0"/>
                                  </a:rPr>
                                </m:ctrlPr>
                              </m:accPr>
                              <m:e>
                                <m:sSup>
                                  <m:sSupPr>
                                    <m:ctrlPr>
                                      <a:rPr lang="en-US" sz="1100" b="0" i="1">
                                        <a:latin typeface="Cambria Math" panose="02040503050406030204" pitchFamily="18" charset="0"/>
                                      </a:rPr>
                                    </m:ctrlPr>
                                  </m:sSupPr>
                                  <m:e>
                                    <m:r>
                                      <a:rPr lang="en-US" sz="1100" b="0" i="1">
                                        <a:latin typeface="Cambria Math" panose="02040503050406030204" pitchFamily="18" charset="0"/>
                                      </a:rPr>
                                      <m:t>𝑎</m:t>
                                    </m:r>
                                  </m:e>
                                  <m:sup>
                                    <m:r>
                                      <a:rPr lang="en-US" sz="1100" b="0" i="1">
                                        <a:latin typeface="Cambria Math" panose="02040503050406030204" pitchFamily="18" charset="0"/>
                                      </a:rPr>
                                      <m:t>2</m:t>
                                    </m:r>
                                  </m:sup>
                                </m:sSup>
                              </m:e>
                            </m:acc>
                          </m:den>
                        </m:f>
                      </m:e>
                    </m:d>
                    <m:d>
                      <m:dPr>
                        <m:ctrlPr>
                          <a:rPr lang="en-US" sz="1100" b="0" i="1">
                            <a:latin typeface="Cambria Math" panose="02040503050406030204" pitchFamily="18" charset="0"/>
                          </a:rPr>
                        </m:ctrlPr>
                      </m:dPr>
                      <m:e>
                        <m:nary>
                          <m:naryPr>
                            <m:chr m:val="∑"/>
                            <m:ctrlPr>
                              <a:rPr lang="en-US" sz="1100" b="0" i="1">
                                <a:latin typeface="Cambria Math" panose="02040503050406030204" pitchFamily="18" charset="0"/>
                              </a:rPr>
                            </m:ctrlPr>
                          </m:naryPr>
                          <m:sub>
                            <m:r>
                              <m:rPr>
                                <m:brk m:alnAt="23"/>
                              </m:rPr>
                              <a:rPr lang="en-US" sz="1100" b="0" i="1">
                                <a:latin typeface="Cambria Math" panose="02040503050406030204" pitchFamily="18" charset="0"/>
                              </a:rPr>
                              <m:t>𝑖</m:t>
                            </m:r>
                            <m:r>
                              <a:rPr lang="en-US" sz="1100" b="0" i="1">
                                <a:latin typeface="Cambria Math" panose="02040503050406030204" pitchFamily="18" charset="0"/>
                              </a:rPr>
                              <m:t>=1</m:t>
                            </m:r>
                          </m:sub>
                          <m:sup>
                            <m:r>
                              <a:rPr lang="en-US" sz="1100" b="0" i="1">
                                <a:latin typeface="Cambria Math" panose="02040503050406030204" pitchFamily="18" charset="0"/>
                              </a:rPr>
                              <m:t>𝑛</m:t>
                            </m:r>
                          </m:sup>
                          <m:e>
                            <m:f>
                              <m:fPr>
                                <m:ctrlPr>
                                  <a:rPr lang="en-US" sz="1100" b="0" i="1">
                                    <a:latin typeface="Cambria Math" panose="02040503050406030204" pitchFamily="18" charset="0"/>
                                  </a:rPr>
                                </m:ctrlPr>
                              </m:fPr>
                              <m:num>
                                <m:sSubSup>
                                  <m:sSubSupPr>
                                    <m:ctrlPr>
                                      <a:rPr lang="en-US" sz="1100" b="0" i="1">
                                        <a:latin typeface="Cambria Math" panose="02040503050406030204" pitchFamily="18" charset="0"/>
                                      </a:rPr>
                                    </m:ctrlPr>
                                  </m:sSubSupPr>
                                  <m:e>
                                    <m:d>
                                      <m:dPr>
                                        <m:ctrlPr>
                                          <a:rPr lang="en-US" sz="1100" b="0" i="1">
                                            <a:latin typeface="Cambria Math" panose="02040503050406030204" pitchFamily="18" charset="0"/>
                                          </a:rPr>
                                        </m:ctrlPr>
                                      </m:dPr>
                                      <m:e>
                                        <m:sSub>
                                          <m:sSubPr>
                                            <m:ctrlPr>
                                              <a:rPr lang="en-US" sz="1100" b="0" i="1">
                                                <a:latin typeface="Cambria Math" panose="02040503050406030204" pitchFamily="18" charset="0"/>
                                              </a:rPr>
                                            </m:ctrlPr>
                                          </m:sSubPr>
                                          <m:e>
                                            <m:r>
                                              <a:rPr lang="en-US" sz="1100" b="0" i="1">
                                                <a:latin typeface="Cambria Math" panose="02040503050406030204" pitchFamily="18" charset="0"/>
                                              </a:rPr>
                                              <m:t>𝑎</m:t>
                                            </m:r>
                                          </m:e>
                                          <m:sub>
                                            <m:r>
                                              <a:rPr lang="en-US" sz="1100" b="0" i="1">
                                                <a:latin typeface="Cambria Math" panose="02040503050406030204" pitchFamily="18" charset="0"/>
                                              </a:rPr>
                                              <m:t>𝑖</m:t>
                                            </m:r>
                                          </m:sub>
                                        </m:sSub>
                                        <m:r>
                                          <a:rPr lang="en-US" sz="1100" b="0" i="1">
                                            <a:latin typeface="Cambria Math" panose="02040503050406030204" pitchFamily="18" charset="0"/>
                                          </a:rPr>
                                          <m:t>−</m:t>
                                        </m:r>
                                        <m:acc>
                                          <m:accPr>
                                            <m:chr m:val="̅"/>
                                            <m:ctrlPr>
                                              <a:rPr lang="en-US" sz="1100" b="0" i="1">
                                                <a:latin typeface="Cambria Math" panose="02040503050406030204" pitchFamily="18" charset="0"/>
                                              </a:rPr>
                                            </m:ctrlPr>
                                          </m:accPr>
                                          <m:e>
                                            <m:r>
                                              <a:rPr lang="en-US" sz="1100" b="0" i="1">
                                                <a:latin typeface="Cambria Math" panose="02040503050406030204" pitchFamily="18" charset="0"/>
                                              </a:rPr>
                                              <m:t>𝑎</m:t>
                                            </m:r>
                                          </m:e>
                                        </m:acc>
                                      </m:e>
                                    </m:d>
                                    <m:r>
                                      <a:rPr lang="en-US" sz="1100" b="0" i="1">
                                        <a:latin typeface="Cambria Math" panose="02040503050406030204" pitchFamily="18" charset="0"/>
                                      </a:rPr>
                                      <m:t> </m:t>
                                    </m:r>
                                    <m:r>
                                      <a:rPr lang="en-US" sz="1100" b="0" i="1">
                                        <a:latin typeface="Cambria Math" panose="02040503050406030204" pitchFamily="18" charset="0"/>
                                      </a:rPr>
                                      <m:t>𝑀</m:t>
                                    </m:r>
                                  </m:e>
                                  <m:sub>
                                    <m:r>
                                      <a:rPr lang="en-US" sz="1100" b="0" i="1">
                                        <a:latin typeface="Cambria Math" panose="02040503050406030204" pitchFamily="18" charset="0"/>
                                      </a:rPr>
                                      <m:t>𝑖</m:t>
                                    </m:r>
                                  </m:sub>
                                  <m:sup>
                                    <m:r>
                                      <a:rPr lang="en-US" sz="1100" b="0" i="1">
                                        <a:latin typeface="Cambria Math" panose="02040503050406030204" pitchFamily="18" charset="0"/>
                                      </a:rPr>
                                      <m:t>2</m:t>
                                    </m:r>
                                  </m:sup>
                                </m:sSubSup>
                              </m:num>
                              <m:den>
                                <m:sSub>
                                  <m:sSubPr>
                                    <m:ctrlPr>
                                      <a:rPr lang="en-US" sz="1100" b="0" i="1">
                                        <a:latin typeface="Cambria Math" panose="02040503050406030204" pitchFamily="18" charset="0"/>
                                      </a:rPr>
                                    </m:ctrlPr>
                                  </m:sSubPr>
                                  <m:e>
                                    <m:r>
                                      <a:rPr lang="en-US" sz="1100" b="0" i="1">
                                        <a:latin typeface="Cambria Math" panose="02040503050406030204" pitchFamily="18" charset="0"/>
                                      </a:rPr>
                                      <m:t>𝑣</m:t>
                                    </m:r>
                                  </m:e>
                                  <m:sub>
                                    <m:r>
                                      <a:rPr lang="en-US" sz="1100" b="0" i="1">
                                        <a:latin typeface="Cambria Math" panose="02040503050406030204" pitchFamily="18" charset="0"/>
                                      </a:rPr>
                                      <m:t>𝑖</m:t>
                                    </m:r>
                                  </m:sub>
                                </m:sSub>
                              </m:den>
                            </m:f>
                          </m:e>
                        </m:nary>
                      </m:e>
                    </m:d>
                  </m:oMath>
                </m:oMathPara>
              </a14:m>
              <a:endParaRPr lang="en-GB" sz="1100"/>
            </a:p>
          </xdr:txBody>
        </xdr:sp>
      </mc:Choice>
      <mc:Fallback xmlns="">
        <xdr:sp macro="" textlink="">
          <xdr:nvSpPr>
            <xdr:cNvPr id="17" name="TextBox 16">
              <a:extLst>
                <a:ext uri="{FF2B5EF4-FFF2-40B4-BE49-F238E27FC236}">
                  <a16:creationId xmlns:a16="http://schemas.microsoft.com/office/drawing/2014/main" id="{2DA5C929-140A-F848-9AA5-7C87818059B7}"/>
                </a:ext>
              </a:extLst>
            </xdr:cNvPr>
            <xdr:cNvSpPr txBox="1"/>
          </xdr:nvSpPr>
          <xdr:spPr>
            <a:xfrm>
              <a:off x="16179800" y="3340100"/>
              <a:ext cx="1916166" cy="4621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𝐾=((𝑔𝑣 ̅)/(𝑀(𝑎^2 ) ̅ ))(∑24_(𝑖=1)^𝑛▒(〖(𝑎_𝑖−𝑎 ̅ )  𝑀〗_𝑖^2)/𝑣_𝑖 )</a:t>
              </a:r>
              <a:endParaRPr lang="en-GB" sz="1100"/>
            </a:p>
          </xdr:txBody>
        </xdr:sp>
      </mc:Fallback>
    </mc:AlternateContent>
    <xdr:clientData/>
  </xdr:oneCellAnchor>
  <xdr:oneCellAnchor>
    <xdr:from>
      <xdr:col>14</xdr:col>
      <xdr:colOff>571500</xdr:colOff>
      <xdr:row>32</xdr:row>
      <xdr:rowOff>25400</xdr:rowOff>
    </xdr:from>
    <xdr:ext cx="641265" cy="345479"/>
    <mc:AlternateContent xmlns:mc="http://schemas.openxmlformats.org/markup-compatibility/2006" xmlns:a14="http://schemas.microsoft.com/office/drawing/2010/main">
      <mc:Choice Requires="a14">
        <xdr:sp macro="" textlink="">
          <xdr:nvSpPr>
            <xdr:cNvPr id="19" name="TextBox 18">
              <a:extLst>
                <a:ext uri="{FF2B5EF4-FFF2-40B4-BE49-F238E27FC236}">
                  <a16:creationId xmlns:a16="http://schemas.microsoft.com/office/drawing/2014/main" id="{E471FCAF-9865-9641-8B09-3C7A0E2874BD}"/>
                </a:ext>
              </a:extLst>
            </xdr:cNvPr>
            <xdr:cNvSpPr txBox="1"/>
          </xdr:nvSpPr>
          <xdr:spPr>
            <a:xfrm>
              <a:off x="16713200" y="6959600"/>
              <a:ext cx="641265" cy="3454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100" b="0" i="1">
                            <a:latin typeface="Cambria Math" panose="02040503050406030204" pitchFamily="18" charset="0"/>
                          </a:rPr>
                        </m:ctrlPr>
                      </m:sSubPr>
                      <m:e>
                        <m:r>
                          <a:rPr lang="en-US" sz="1100" b="0" i="1">
                            <a:latin typeface="Cambria Math" panose="02040503050406030204" pitchFamily="18" charset="0"/>
                          </a:rPr>
                          <m:t>𝑓</m:t>
                        </m:r>
                      </m:e>
                      <m:sub>
                        <m:r>
                          <a:rPr lang="en-US" sz="1100" b="0" i="1">
                            <a:latin typeface="Cambria Math" panose="02040503050406030204" pitchFamily="18" charset="0"/>
                          </a:rPr>
                          <m:t>𝑣</m:t>
                        </m:r>
                      </m:sub>
                    </m:sSub>
                    <m:r>
                      <a:rPr lang="en-US" sz="1100" b="0" i="1">
                        <a:latin typeface="Cambria Math" panose="02040503050406030204" pitchFamily="18" charset="0"/>
                      </a:rPr>
                      <m:t>=</m:t>
                    </m:r>
                    <m:d>
                      <m:dPr>
                        <m:ctrlPr>
                          <a:rPr lang="en-US" sz="1100" b="0" i="1">
                            <a:latin typeface="Cambria Math" panose="02040503050406030204" pitchFamily="18" charset="0"/>
                          </a:rPr>
                        </m:ctrlPr>
                      </m:dPr>
                      <m:e>
                        <m:f>
                          <m:fPr>
                            <m:ctrlPr>
                              <a:rPr lang="en-US" sz="1100" b="0" i="1">
                                <a:latin typeface="Cambria Math" panose="02040503050406030204" pitchFamily="18" charset="0"/>
                              </a:rPr>
                            </m:ctrlPr>
                          </m:fPr>
                          <m:num>
                            <m:r>
                              <a:rPr lang="en-US" sz="1100" b="0" i="1">
                                <a:latin typeface="Cambria Math" panose="02040503050406030204" pitchFamily="18" charset="0"/>
                              </a:rPr>
                              <m:t>𝐾</m:t>
                            </m:r>
                          </m:num>
                          <m:den>
                            <m:sSub>
                              <m:sSubPr>
                                <m:ctrlPr>
                                  <a:rPr lang="en-US" sz="1100" b="0" i="1">
                                    <a:latin typeface="Cambria Math" panose="02040503050406030204" pitchFamily="18" charset="0"/>
                                  </a:rPr>
                                </m:ctrlPr>
                              </m:sSubPr>
                              <m:e>
                                <m:r>
                                  <a:rPr lang="en-US" sz="1100" b="0" i="1">
                                    <a:latin typeface="Cambria Math" panose="02040503050406030204" pitchFamily="18" charset="0"/>
                                  </a:rPr>
                                  <m:t>𝑀</m:t>
                                </m:r>
                              </m:e>
                              <m:sub>
                                <m:r>
                                  <a:rPr lang="en-US" sz="1100" b="0" i="1">
                                    <a:latin typeface="Cambria Math" panose="02040503050406030204" pitchFamily="18" charset="0"/>
                                  </a:rPr>
                                  <m:t>𝑠</m:t>
                                </m:r>
                              </m:sub>
                            </m:sSub>
                          </m:den>
                        </m:f>
                      </m:e>
                    </m:d>
                  </m:oMath>
                </m:oMathPara>
              </a14:m>
              <a:endParaRPr lang="en-GB" sz="1100"/>
            </a:p>
          </xdr:txBody>
        </xdr:sp>
      </mc:Choice>
      <mc:Fallback xmlns="">
        <xdr:sp macro="" textlink="">
          <xdr:nvSpPr>
            <xdr:cNvPr id="19" name="TextBox 18">
              <a:extLst>
                <a:ext uri="{FF2B5EF4-FFF2-40B4-BE49-F238E27FC236}">
                  <a16:creationId xmlns:a16="http://schemas.microsoft.com/office/drawing/2014/main" id="{E471FCAF-9865-9641-8B09-3C7A0E2874BD}"/>
                </a:ext>
              </a:extLst>
            </xdr:cNvPr>
            <xdr:cNvSpPr txBox="1"/>
          </xdr:nvSpPr>
          <xdr:spPr>
            <a:xfrm>
              <a:off x="16713200" y="6959600"/>
              <a:ext cx="641265" cy="3454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𝑓_𝑣=(𝐾/𝑀_𝑠 )</a:t>
              </a:r>
              <a:endParaRPr lang="en-GB" sz="1100"/>
            </a:p>
          </xdr:txBody>
        </xdr:sp>
      </mc:Fallback>
    </mc:AlternateContent>
    <xdr:clientData/>
  </xdr:oneCellAnchor>
</xdr:wsDr>
</file>

<file path=xl/drawings/drawing10.xml><?xml version="1.0" encoding="utf-8"?>
<xdr:wsDr xmlns:xdr="http://schemas.openxmlformats.org/drawingml/2006/spreadsheetDrawing" xmlns:a="http://schemas.openxmlformats.org/drawingml/2006/main">
  <xdr:twoCellAnchor>
    <xdr:from>
      <xdr:col>14</xdr:col>
      <xdr:colOff>282040</xdr:colOff>
      <xdr:row>0</xdr:row>
      <xdr:rowOff>200123</xdr:rowOff>
    </xdr:from>
    <xdr:to>
      <xdr:col>23</xdr:col>
      <xdr:colOff>656254</xdr:colOff>
      <xdr:row>35</xdr:row>
      <xdr:rowOff>22248</xdr:rowOff>
    </xdr:to>
    <xdr:graphicFrame macro="">
      <xdr:nvGraphicFramePr>
        <xdr:cNvPr id="2" name="Chart 1">
          <a:extLst>
            <a:ext uri="{FF2B5EF4-FFF2-40B4-BE49-F238E27FC236}">
              <a16:creationId xmlns:a16="http://schemas.microsoft.com/office/drawing/2014/main" id="{8F56ADA7-DB69-954A-B6BA-48184BFE855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oneCellAnchor>
    <xdr:from>
      <xdr:col>10</xdr:col>
      <xdr:colOff>210782</xdr:colOff>
      <xdr:row>32</xdr:row>
      <xdr:rowOff>139806</xdr:rowOff>
    </xdr:from>
    <xdr:ext cx="546623" cy="175304"/>
    <mc:AlternateContent xmlns:mc="http://schemas.openxmlformats.org/markup-compatibility/2006" xmlns:a14="http://schemas.microsoft.com/office/drawing/2010/main">
      <mc:Choice Requires="a14">
        <xdr:sp macro="" textlink="">
          <xdr:nvSpPr>
            <xdr:cNvPr id="6" name="TextBox 5">
              <a:extLst>
                <a:ext uri="{FF2B5EF4-FFF2-40B4-BE49-F238E27FC236}">
                  <a16:creationId xmlns:a16="http://schemas.microsoft.com/office/drawing/2014/main" id="{9EC3AABB-6851-A14C-A3C9-9C4053A4E195}"/>
                </a:ext>
              </a:extLst>
            </xdr:cNvPr>
            <xdr:cNvSpPr txBox="1"/>
          </xdr:nvSpPr>
          <xdr:spPr>
            <a:xfrm>
              <a:off x="10370782" y="2654406"/>
              <a:ext cx="546623" cy="1753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p>
                      <m:sSupPr>
                        <m:ctrlPr>
                          <a:rPr lang="en-US" sz="1100" b="0" i="1">
                            <a:latin typeface="Cambria Math" panose="02040503050406030204" pitchFamily="18" charset="0"/>
                          </a:rPr>
                        </m:ctrlPr>
                      </m:sSupPr>
                      <m:e>
                        <m:d>
                          <m:dPr>
                            <m:ctrlPr>
                              <a:rPr lang="en-GB" sz="1100" b="0" i="1">
                                <a:latin typeface="Cambria Math" panose="02040503050406030204" pitchFamily="18" charset="0"/>
                              </a:rPr>
                            </m:ctrlPr>
                          </m:dPr>
                          <m:e>
                            <m:r>
                              <a:rPr lang="en-US" sz="1100" b="0" i="1">
                                <a:latin typeface="Cambria Math" panose="02040503050406030204" pitchFamily="18" charset="0"/>
                              </a:rPr>
                              <m:t>𝑎</m:t>
                            </m:r>
                            <m:r>
                              <a:rPr lang="en-US" sz="1100" b="0" i="1">
                                <a:latin typeface="Cambria Math" panose="02040503050406030204" pitchFamily="18" charset="0"/>
                              </a:rPr>
                              <m:t>−</m:t>
                            </m:r>
                            <m:acc>
                              <m:accPr>
                                <m:chr m:val="̅"/>
                                <m:ctrlPr>
                                  <a:rPr lang="el-GR" sz="1100" i="1">
                                    <a:latin typeface="Cambria Math" panose="02040503050406030204" pitchFamily="18" charset="0"/>
                                  </a:rPr>
                                </m:ctrlPr>
                              </m:accPr>
                              <m:e>
                                <m:r>
                                  <a:rPr lang="en-US" sz="1100" b="0" i="1">
                                    <a:latin typeface="Cambria Math" panose="02040503050406030204" pitchFamily="18" charset="0"/>
                                  </a:rPr>
                                  <m:t>𝑎</m:t>
                                </m:r>
                              </m:e>
                            </m:acc>
                          </m:e>
                        </m:d>
                      </m:e>
                      <m:sup>
                        <m:r>
                          <a:rPr lang="en-US" sz="1100" b="0" i="1">
                            <a:latin typeface="Cambria Math" panose="02040503050406030204" pitchFamily="18" charset="0"/>
                          </a:rPr>
                          <m:t>2</m:t>
                        </m:r>
                      </m:sup>
                    </m:sSup>
                  </m:oMath>
                </m:oMathPara>
              </a14:m>
              <a:endParaRPr lang="en-GB" sz="1100"/>
            </a:p>
          </xdr:txBody>
        </xdr:sp>
      </mc:Choice>
      <mc:Fallback xmlns="">
        <xdr:sp macro="" textlink="">
          <xdr:nvSpPr>
            <xdr:cNvPr id="6" name="TextBox 5">
              <a:extLst>
                <a:ext uri="{FF2B5EF4-FFF2-40B4-BE49-F238E27FC236}">
                  <a16:creationId xmlns:a16="http://schemas.microsoft.com/office/drawing/2014/main" id="{9EC3AABB-6851-A14C-A3C9-9C4053A4E195}"/>
                </a:ext>
              </a:extLst>
            </xdr:cNvPr>
            <xdr:cNvSpPr txBox="1"/>
          </xdr:nvSpPr>
          <xdr:spPr>
            <a:xfrm>
              <a:off x="10370782" y="2654406"/>
              <a:ext cx="546623" cy="1753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GB" sz="1100" b="0" i="0">
                  <a:latin typeface="Cambria Math" panose="02040503050406030204" pitchFamily="18" charset="0"/>
                </a:rPr>
                <a:t>(</a:t>
              </a:r>
              <a:r>
                <a:rPr lang="en-US" sz="1100" b="0" i="0">
                  <a:latin typeface="Cambria Math" panose="02040503050406030204" pitchFamily="18" charset="0"/>
                </a:rPr>
                <a:t>𝑎−𝑎</a:t>
              </a:r>
              <a:r>
                <a:rPr lang="el-GR" sz="1100" b="0" i="0">
                  <a:latin typeface="Cambria Math" panose="02040503050406030204" pitchFamily="18" charset="0"/>
                </a:rPr>
                <a:t> ̅</a:t>
              </a:r>
              <a:r>
                <a:rPr lang="en-US" sz="1100" b="0" i="0">
                  <a:latin typeface="Cambria Math" panose="02040503050406030204" pitchFamily="18" charset="0"/>
                </a:rPr>
                <a:t> )^2</a:t>
              </a:r>
              <a:endParaRPr lang="en-GB" sz="1100"/>
            </a:p>
          </xdr:txBody>
        </xdr:sp>
      </mc:Fallback>
    </mc:AlternateContent>
    <xdr:clientData/>
  </xdr:oneCellAnchor>
  <xdr:oneCellAnchor>
    <xdr:from>
      <xdr:col>14</xdr:col>
      <xdr:colOff>95997</xdr:colOff>
      <xdr:row>32</xdr:row>
      <xdr:rowOff>13072</xdr:rowOff>
    </xdr:from>
    <xdr:ext cx="859851" cy="373949"/>
    <mc:AlternateContent xmlns:mc="http://schemas.openxmlformats.org/markup-compatibility/2006" xmlns:a14="http://schemas.microsoft.com/office/drawing/2010/main">
      <mc:Choice Requires="a14">
        <xdr:sp macro="" textlink="">
          <xdr:nvSpPr>
            <xdr:cNvPr id="7" name="TextBox 6">
              <a:extLst>
                <a:ext uri="{FF2B5EF4-FFF2-40B4-BE49-F238E27FC236}">
                  <a16:creationId xmlns:a16="http://schemas.microsoft.com/office/drawing/2014/main" id="{AD521157-B4D7-1C4F-9CD6-546A709AC23F}"/>
                </a:ext>
              </a:extLst>
            </xdr:cNvPr>
            <xdr:cNvSpPr txBox="1"/>
          </xdr:nvSpPr>
          <xdr:spPr>
            <a:xfrm>
              <a:off x="13710397" y="2527672"/>
              <a:ext cx="859851" cy="3739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p>
                      <m:sSupPr>
                        <m:ctrlPr>
                          <a:rPr lang="en-US" sz="1100" b="0" i="1">
                            <a:latin typeface="Cambria Math" panose="02040503050406030204" pitchFamily="18" charset="0"/>
                          </a:rPr>
                        </m:ctrlPr>
                      </m:sSupPr>
                      <m:e>
                        <m:d>
                          <m:dPr>
                            <m:ctrlPr>
                              <a:rPr lang="en-GB" sz="1100" b="0" i="1">
                                <a:latin typeface="Cambria Math" panose="02040503050406030204" pitchFamily="18" charset="0"/>
                              </a:rPr>
                            </m:ctrlPr>
                          </m:dPr>
                          <m:e>
                            <m:r>
                              <a:rPr lang="en-US" sz="1100" b="0" i="1">
                                <a:latin typeface="Cambria Math" panose="02040503050406030204" pitchFamily="18" charset="0"/>
                              </a:rPr>
                              <m:t>𝑎</m:t>
                            </m:r>
                            <m:r>
                              <a:rPr lang="en-US" sz="1100" b="0" i="1">
                                <a:latin typeface="Cambria Math" panose="02040503050406030204" pitchFamily="18" charset="0"/>
                              </a:rPr>
                              <m:t>−</m:t>
                            </m:r>
                            <m:acc>
                              <m:accPr>
                                <m:chr m:val="̅"/>
                                <m:ctrlPr>
                                  <a:rPr lang="el-GR" sz="1100" i="1">
                                    <a:latin typeface="Cambria Math" panose="02040503050406030204" pitchFamily="18" charset="0"/>
                                  </a:rPr>
                                </m:ctrlPr>
                              </m:accPr>
                              <m:e>
                                <m:r>
                                  <a:rPr lang="en-US" sz="1100" b="0" i="1">
                                    <a:latin typeface="Cambria Math" panose="02040503050406030204" pitchFamily="18" charset="0"/>
                                  </a:rPr>
                                  <m:t>𝑎</m:t>
                                </m:r>
                              </m:e>
                            </m:acc>
                          </m:e>
                        </m:d>
                      </m:e>
                      <m:sup>
                        <m:r>
                          <a:rPr lang="en-US" sz="1100" b="0" i="1">
                            <a:latin typeface="Cambria Math" panose="02040503050406030204" pitchFamily="18" charset="0"/>
                          </a:rPr>
                          <m:t>2</m:t>
                        </m:r>
                      </m:sup>
                    </m:sSup>
                    <m:r>
                      <a:rPr lang="en-US" sz="1100" b="0" i="1">
                        <a:latin typeface="Cambria Math" panose="02040503050406030204" pitchFamily="18" charset="0"/>
                        <a:ea typeface="Cambria Math" panose="02040503050406030204" pitchFamily="18" charset="0"/>
                      </a:rPr>
                      <m:t>×</m:t>
                    </m:r>
                    <m:f>
                      <m:fPr>
                        <m:ctrlPr>
                          <a:rPr lang="en-US" sz="1100" b="0" i="1">
                            <a:latin typeface="Cambria Math" panose="02040503050406030204" pitchFamily="18" charset="0"/>
                          </a:rPr>
                        </m:ctrlPr>
                      </m:fPr>
                      <m:num>
                        <m:sSubSup>
                          <m:sSubSupPr>
                            <m:ctrlPr>
                              <a:rPr lang="en-US" sz="1100" b="0" i="1">
                                <a:latin typeface="Cambria Math" panose="02040503050406030204" pitchFamily="18" charset="0"/>
                              </a:rPr>
                            </m:ctrlPr>
                          </m:sSubSupPr>
                          <m:e>
                            <m:r>
                              <a:rPr lang="en-US" sz="1100" b="0" i="1">
                                <a:latin typeface="Cambria Math" panose="02040503050406030204" pitchFamily="18" charset="0"/>
                              </a:rPr>
                              <m:t>𝑀</m:t>
                            </m:r>
                          </m:e>
                          <m:sub>
                            <m:r>
                              <a:rPr lang="en-US" sz="1100" b="0" i="1">
                                <a:latin typeface="Cambria Math" panose="02040503050406030204" pitchFamily="18" charset="0"/>
                              </a:rPr>
                              <m:t>𝑖</m:t>
                            </m:r>
                          </m:sub>
                          <m:sup>
                            <m:r>
                              <a:rPr lang="en-US" sz="1100" b="0" i="1">
                                <a:latin typeface="Cambria Math" panose="02040503050406030204" pitchFamily="18" charset="0"/>
                              </a:rPr>
                              <m:t>2</m:t>
                            </m:r>
                          </m:sup>
                        </m:sSubSup>
                      </m:num>
                      <m:den>
                        <m:sSub>
                          <m:sSubPr>
                            <m:ctrlPr>
                              <a:rPr lang="en-US" sz="1100" b="0" i="1">
                                <a:latin typeface="Cambria Math" panose="02040503050406030204" pitchFamily="18" charset="0"/>
                              </a:rPr>
                            </m:ctrlPr>
                          </m:sSubPr>
                          <m:e>
                            <m:r>
                              <a:rPr lang="en-US" sz="1100" b="0" i="1">
                                <a:latin typeface="Cambria Math" panose="02040503050406030204" pitchFamily="18" charset="0"/>
                              </a:rPr>
                              <m:t>𝑣</m:t>
                            </m:r>
                          </m:e>
                          <m:sub>
                            <m:r>
                              <a:rPr lang="en-US" sz="1100" b="0" i="1">
                                <a:latin typeface="Cambria Math" panose="02040503050406030204" pitchFamily="18" charset="0"/>
                              </a:rPr>
                              <m:t>𝑖</m:t>
                            </m:r>
                          </m:sub>
                        </m:sSub>
                      </m:den>
                    </m:f>
                  </m:oMath>
                </m:oMathPara>
              </a14:m>
              <a:endParaRPr lang="en-GB" sz="1100"/>
            </a:p>
          </xdr:txBody>
        </xdr:sp>
      </mc:Choice>
      <mc:Fallback xmlns="">
        <xdr:sp macro="" textlink="">
          <xdr:nvSpPr>
            <xdr:cNvPr id="7" name="TextBox 6">
              <a:extLst>
                <a:ext uri="{FF2B5EF4-FFF2-40B4-BE49-F238E27FC236}">
                  <a16:creationId xmlns:a16="http://schemas.microsoft.com/office/drawing/2014/main" id="{AD521157-B4D7-1C4F-9CD6-546A709AC23F}"/>
                </a:ext>
              </a:extLst>
            </xdr:cNvPr>
            <xdr:cNvSpPr txBox="1"/>
          </xdr:nvSpPr>
          <xdr:spPr>
            <a:xfrm>
              <a:off x="13710397" y="2527672"/>
              <a:ext cx="859851" cy="3739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GB" sz="1100" b="0" i="0">
                  <a:latin typeface="Cambria Math" panose="02040503050406030204" pitchFamily="18" charset="0"/>
                </a:rPr>
                <a:t>(</a:t>
              </a:r>
              <a:r>
                <a:rPr lang="en-US" sz="1100" b="0" i="0">
                  <a:latin typeface="Cambria Math" panose="02040503050406030204" pitchFamily="18" charset="0"/>
                </a:rPr>
                <a:t>𝑎−𝑎</a:t>
              </a:r>
              <a:r>
                <a:rPr lang="el-GR" sz="1100" b="0" i="0">
                  <a:latin typeface="Cambria Math" panose="02040503050406030204" pitchFamily="18" charset="0"/>
                </a:rPr>
                <a:t> ̅</a:t>
              </a:r>
              <a:r>
                <a:rPr lang="en-US" sz="1100" b="0" i="0">
                  <a:latin typeface="Cambria Math" panose="02040503050406030204" pitchFamily="18" charset="0"/>
                </a:rPr>
                <a:t> )^2</a:t>
              </a:r>
              <a:r>
                <a:rPr lang="en-US" sz="1100" b="0" i="0">
                  <a:latin typeface="Cambria Math" panose="02040503050406030204" pitchFamily="18" charset="0"/>
                  <a:ea typeface="Cambria Math" panose="02040503050406030204" pitchFamily="18" charset="0"/>
                </a:rPr>
                <a:t>×</a:t>
              </a:r>
              <a:r>
                <a:rPr lang="en-US" sz="1100" b="0" i="0">
                  <a:latin typeface="Cambria Math" panose="02040503050406030204" pitchFamily="18" charset="0"/>
                </a:rPr>
                <a:t>(𝑀_𝑖^2)/𝑣_𝑖 </a:t>
              </a:r>
              <a:endParaRPr lang="en-GB" sz="1100"/>
            </a:p>
          </xdr:txBody>
        </xdr:sp>
      </mc:Fallback>
    </mc:AlternateContent>
    <xdr:clientData/>
  </xdr:oneCellAnchor>
  <xdr:oneCellAnchor>
    <xdr:from>
      <xdr:col>15</xdr:col>
      <xdr:colOff>227324</xdr:colOff>
      <xdr:row>32</xdr:row>
      <xdr:rowOff>126701</xdr:rowOff>
    </xdr:from>
    <xdr:ext cx="525272" cy="175304"/>
    <mc:AlternateContent xmlns:mc="http://schemas.openxmlformats.org/markup-compatibility/2006" xmlns:a14="http://schemas.microsoft.com/office/drawing/2010/main">
      <mc:Choice Requires="a14">
        <xdr:sp macro="" textlink="">
          <xdr:nvSpPr>
            <xdr:cNvPr id="9" name="TextBox 8">
              <a:extLst>
                <a:ext uri="{FF2B5EF4-FFF2-40B4-BE49-F238E27FC236}">
                  <a16:creationId xmlns:a16="http://schemas.microsoft.com/office/drawing/2014/main" id="{F308ACD1-9116-4A44-BCA2-FE83E9D86401}"/>
                </a:ext>
              </a:extLst>
            </xdr:cNvPr>
            <xdr:cNvSpPr txBox="1"/>
          </xdr:nvSpPr>
          <xdr:spPr>
            <a:xfrm>
              <a:off x="17051257" y="6419622"/>
              <a:ext cx="525272" cy="1753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acc>
                      <m:accPr>
                        <m:chr m:val="̅"/>
                        <m:ctrlPr>
                          <a:rPr lang="en-GB" sz="1100" i="1">
                            <a:latin typeface="Cambria Math" panose="02040503050406030204" pitchFamily="18" charset="0"/>
                          </a:rPr>
                        </m:ctrlPr>
                      </m:accPr>
                      <m:e>
                        <m:sSub>
                          <m:sSubPr>
                            <m:ctrlPr>
                              <a:rPr lang="en-US" sz="1100" b="0" i="1">
                                <a:latin typeface="Cambria Math" panose="02040503050406030204" pitchFamily="18" charset="0"/>
                              </a:rPr>
                            </m:ctrlPr>
                          </m:sSubPr>
                          <m:e>
                            <m:r>
                              <a:rPr lang="en-US" sz="1100" b="0" i="1">
                                <a:latin typeface="Cambria Math" panose="02040503050406030204" pitchFamily="18" charset="0"/>
                              </a:rPr>
                              <m:t>𝑣</m:t>
                            </m:r>
                          </m:e>
                          <m:sub>
                            <m:r>
                              <a:rPr lang="en-US" sz="1100" b="0" i="1">
                                <a:latin typeface="Cambria Math" panose="02040503050406030204" pitchFamily="18" charset="0"/>
                              </a:rPr>
                              <m:t>𝑖</m:t>
                            </m:r>
                          </m:sub>
                        </m:sSub>
                      </m:e>
                    </m:acc>
                    <m:r>
                      <a:rPr lang="en-US" sz="1100" b="0" i="1">
                        <a:latin typeface="Cambria Math" panose="02040503050406030204" pitchFamily="18" charset="0"/>
                      </a:rPr>
                      <m:t>(</m:t>
                    </m:r>
                    <m:r>
                      <a:rPr lang="en-US" sz="1100" b="0" i="1">
                        <a:latin typeface="Cambria Math" panose="02040503050406030204" pitchFamily="18" charset="0"/>
                      </a:rPr>
                      <m:t>𝑐</m:t>
                    </m:r>
                    <m:sSup>
                      <m:sSupPr>
                        <m:ctrlPr>
                          <a:rPr lang="en-US" sz="1100" b="0" i="1">
                            <a:latin typeface="Cambria Math" panose="02040503050406030204" pitchFamily="18" charset="0"/>
                          </a:rPr>
                        </m:ctrlPr>
                      </m:sSupPr>
                      <m:e>
                        <m:r>
                          <a:rPr lang="en-US" sz="1100" b="0" i="1">
                            <a:latin typeface="Cambria Math" panose="02040503050406030204" pitchFamily="18" charset="0"/>
                          </a:rPr>
                          <m:t>𝑚</m:t>
                        </m:r>
                      </m:e>
                      <m:sup>
                        <m:r>
                          <a:rPr lang="en-US" sz="1100" b="0" i="1">
                            <a:latin typeface="Cambria Math" panose="02040503050406030204" pitchFamily="18" charset="0"/>
                          </a:rPr>
                          <m:t>3</m:t>
                        </m:r>
                      </m:sup>
                    </m:sSup>
                    <m:r>
                      <a:rPr lang="en-US" sz="1100" b="0" i="1">
                        <a:latin typeface="Cambria Math" panose="02040503050406030204" pitchFamily="18" charset="0"/>
                      </a:rPr>
                      <m:t>)</m:t>
                    </m:r>
                  </m:oMath>
                </m:oMathPara>
              </a14:m>
              <a:endParaRPr lang="en-GB" sz="1100"/>
            </a:p>
          </xdr:txBody>
        </xdr:sp>
      </mc:Choice>
      <mc:Fallback xmlns="">
        <xdr:sp macro="" textlink="">
          <xdr:nvSpPr>
            <xdr:cNvPr id="9" name="TextBox 8">
              <a:extLst>
                <a:ext uri="{FF2B5EF4-FFF2-40B4-BE49-F238E27FC236}">
                  <a16:creationId xmlns:a16="http://schemas.microsoft.com/office/drawing/2014/main" id="{F308ACD1-9116-4A44-BCA2-FE83E9D86401}"/>
                </a:ext>
              </a:extLst>
            </xdr:cNvPr>
            <xdr:cNvSpPr txBox="1"/>
          </xdr:nvSpPr>
          <xdr:spPr>
            <a:xfrm>
              <a:off x="17051257" y="6419622"/>
              <a:ext cx="525272" cy="1753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GB" sz="1100" i="0">
                  <a:latin typeface="Cambria Math" panose="02040503050406030204" pitchFamily="18" charset="0"/>
                </a:rPr>
                <a:t>(</a:t>
              </a:r>
              <a:r>
                <a:rPr lang="en-US" sz="1100" b="0" i="0">
                  <a:latin typeface="Cambria Math" panose="02040503050406030204" pitchFamily="18" charset="0"/>
                </a:rPr>
                <a:t>𝑣_𝑖 </a:t>
              </a:r>
              <a:r>
                <a:rPr lang="en-GB" sz="1100" b="0" i="0">
                  <a:latin typeface="Cambria Math" panose="02040503050406030204" pitchFamily="18" charset="0"/>
                </a:rPr>
                <a:t>) ̅</a:t>
              </a:r>
              <a:r>
                <a:rPr lang="en-US" sz="1100" b="0" i="0">
                  <a:latin typeface="Cambria Math" panose="02040503050406030204" pitchFamily="18" charset="0"/>
                </a:rPr>
                <a:t>(𝑐𝑚^3)</a:t>
              </a:r>
              <a:endParaRPr lang="en-GB" sz="1100"/>
            </a:p>
          </xdr:txBody>
        </xdr:sp>
      </mc:Fallback>
    </mc:AlternateContent>
    <xdr:clientData/>
  </xdr:oneCellAnchor>
  <xdr:oneCellAnchor>
    <xdr:from>
      <xdr:col>17</xdr:col>
      <xdr:colOff>252132</xdr:colOff>
      <xdr:row>32</xdr:row>
      <xdr:rowOff>121398</xdr:rowOff>
    </xdr:from>
    <xdr:ext cx="614271" cy="172227"/>
    <mc:AlternateContent xmlns:mc="http://schemas.openxmlformats.org/markup-compatibility/2006" xmlns:a14="http://schemas.microsoft.com/office/drawing/2010/main">
      <mc:Choice Requires="a14">
        <xdr:sp macro="" textlink="">
          <xdr:nvSpPr>
            <xdr:cNvPr id="10" name="TextBox 9">
              <a:extLst>
                <a:ext uri="{FF2B5EF4-FFF2-40B4-BE49-F238E27FC236}">
                  <a16:creationId xmlns:a16="http://schemas.microsoft.com/office/drawing/2014/main" id="{AC95D9F9-D270-E244-89FD-CD68940CA3C4}"/>
                </a:ext>
              </a:extLst>
            </xdr:cNvPr>
            <xdr:cNvSpPr txBox="1"/>
          </xdr:nvSpPr>
          <xdr:spPr>
            <a:xfrm>
              <a:off x="18984632" y="3436098"/>
              <a:ext cx="614271"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acc>
                      <m:accPr>
                        <m:chr m:val="̅"/>
                        <m:ctrlPr>
                          <a:rPr lang="en-GB" sz="1100" i="1">
                            <a:latin typeface="Cambria Math" panose="02040503050406030204" pitchFamily="18" charset="0"/>
                          </a:rPr>
                        </m:ctrlPr>
                      </m:accPr>
                      <m:e>
                        <m:sSub>
                          <m:sSubPr>
                            <m:ctrlPr>
                              <a:rPr lang="en-US" sz="1100" b="0" i="1">
                                <a:latin typeface="Cambria Math" panose="02040503050406030204" pitchFamily="18" charset="0"/>
                              </a:rPr>
                            </m:ctrlPr>
                          </m:sSubPr>
                          <m:e>
                            <m:r>
                              <a:rPr lang="en-US" sz="1100" b="0" i="1">
                                <a:latin typeface="Cambria Math" panose="02040503050406030204" pitchFamily="18" charset="0"/>
                              </a:rPr>
                              <m:t>𝑎</m:t>
                            </m:r>
                          </m:e>
                          <m:sub>
                            <m:r>
                              <a:rPr lang="en-US" sz="1100" b="0" i="1">
                                <a:latin typeface="Cambria Math" panose="02040503050406030204" pitchFamily="18" charset="0"/>
                              </a:rPr>
                              <m:t>𝑖</m:t>
                            </m:r>
                          </m:sub>
                        </m:sSub>
                      </m:e>
                    </m:acc>
                    <m:r>
                      <a:rPr lang="en-US" sz="1100" b="0" i="1">
                        <a:latin typeface="Cambria Math" panose="02040503050406030204" pitchFamily="18" charset="0"/>
                      </a:rPr>
                      <m:t>(</m:t>
                    </m:r>
                    <m:r>
                      <a:rPr lang="en-US" sz="1100" b="0" i="1">
                        <a:latin typeface="Cambria Math" panose="02040503050406030204" pitchFamily="18" charset="0"/>
                      </a:rPr>
                      <m:t>𝑤𝑡</m:t>
                    </m:r>
                    <m:r>
                      <a:rPr lang="en-US" sz="1100" b="0" i="1">
                        <a:latin typeface="Cambria Math" panose="02040503050406030204" pitchFamily="18" charset="0"/>
                      </a:rPr>
                      <m:t>. %)</m:t>
                    </m:r>
                  </m:oMath>
                </m:oMathPara>
              </a14:m>
              <a:endParaRPr lang="en-GB" sz="1100"/>
            </a:p>
          </xdr:txBody>
        </xdr:sp>
      </mc:Choice>
      <mc:Fallback xmlns="">
        <xdr:sp macro="" textlink="">
          <xdr:nvSpPr>
            <xdr:cNvPr id="10" name="TextBox 9">
              <a:extLst>
                <a:ext uri="{FF2B5EF4-FFF2-40B4-BE49-F238E27FC236}">
                  <a16:creationId xmlns:a16="http://schemas.microsoft.com/office/drawing/2014/main" id="{AC95D9F9-D270-E244-89FD-CD68940CA3C4}"/>
                </a:ext>
              </a:extLst>
            </xdr:cNvPr>
            <xdr:cNvSpPr txBox="1"/>
          </xdr:nvSpPr>
          <xdr:spPr>
            <a:xfrm>
              <a:off x="18984632" y="3436098"/>
              <a:ext cx="614271"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GB" sz="1100" i="0">
                  <a:latin typeface="Cambria Math" panose="02040503050406030204" pitchFamily="18" charset="0"/>
                </a:rPr>
                <a:t>(</a:t>
              </a:r>
              <a:r>
                <a:rPr lang="en-US" sz="1100" b="0" i="0">
                  <a:latin typeface="Cambria Math" panose="02040503050406030204" pitchFamily="18" charset="0"/>
                </a:rPr>
                <a:t>𝑎_𝑖 </a:t>
              </a:r>
              <a:r>
                <a:rPr lang="en-GB" sz="1100" b="0" i="0">
                  <a:latin typeface="Cambria Math" panose="02040503050406030204" pitchFamily="18" charset="0"/>
                </a:rPr>
                <a:t>) ̅</a:t>
              </a:r>
              <a:r>
                <a:rPr lang="en-US" sz="1100" b="0" i="0">
                  <a:latin typeface="Cambria Math" panose="02040503050406030204" pitchFamily="18" charset="0"/>
                </a:rPr>
                <a:t>(𝑤𝑡. %)</a:t>
              </a:r>
              <a:endParaRPr lang="en-GB" sz="1100"/>
            </a:p>
          </xdr:txBody>
        </xdr:sp>
      </mc:Fallback>
    </mc:AlternateContent>
    <xdr:clientData/>
  </xdr:oneCellAnchor>
  <xdr:oneCellAnchor>
    <xdr:from>
      <xdr:col>0</xdr:col>
      <xdr:colOff>869671</xdr:colOff>
      <xdr:row>2</xdr:row>
      <xdr:rowOff>5094</xdr:rowOff>
    </xdr:from>
    <xdr:ext cx="1005467" cy="181332"/>
    <mc:AlternateContent xmlns:mc="http://schemas.openxmlformats.org/markup-compatibility/2006" xmlns:a14="http://schemas.microsoft.com/office/drawing/2010/main">
      <mc:Choice Requires="a14">
        <xdr:sp macro="" textlink="">
          <xdr:nvSpPr>
            <xdr:cNvPr id="11" name="TextBox 10">
              <a:extLst>
                <a:ext uri="{FF2B5EF4-FFF2-40B4-BE49-F238E27FC236}">
                  <a16:creationId xmlns:a16="http://schemas.microsoft.com/office/drawing/2014/main" id="{3D8B79A3-59E7-6E42-81EE-D52B1F05F619}"/>
                </a:ext>
              </a:extLst>
            </xdr:cNvPr>
            <xdr:cNvSpPr txBox="1"/>
          </xdr:nvSpPr>
          <xdr:spPr>
            <a:xfrm>
              <a:off x="869671" y="13594094"/>
              <a:ext cx="1005467" cy="1813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100" b="0" i="1">
                            <a:latin typeface="Cambria Math" panose="02040503050406030204" pitchFamily="18" charset="0"/>
                          </a:rPr>
                        </m:ctrlPr>
                      </m:sSubPr>
                      <m:e>
                        <m:r>
                          <a:rPr lang="en-US" sz="1100" b="0" i="1">
                            <a:latin typeface="Cambria Math" panose="02040503050406030204" pitchFamily="18" charset="0"/>
                          </a:rPr>
                          <m:t>𝑀</m:t>
                        </m:r>
                      </m:e>
                      <m:sub>
                        <m:r>
                          <a:rPr lang="en-US" sz="1100" b="0" i="1">
                            <a:latin typeface="Cambria Math" panose="02040503050406030204" pitchFamily="18" charset="0"/>
                          </a:rPr>
                          <m:t>𝑠</m:t>
                        </m:r>
                      </m:sub>
                    </m:sSub>
                    <m:r>
                      <a:rPr lang="en-US" sz="1100" b="0" i="1">
                        <a:latin typeface="Cambria Math" panose="02040503050406030204" pitchFamily="18" charset="0"/>
                      </a:rPr>
                      <m:t>=125000</m:t>
                    </m:r>
                    <m:sSubSup>
                      <m:sSubSupPr>
                        <m:ctrlPr>
                          <a:rPr lang="en-US" sz="1100" b="0" i="1">
                            <a:latin typeface="Cambria Math" panose="02040503050406030204" pitchFamily="18" charset="0"/>
                          </a:rPr>
                        </m:ctrlPr>
                      </m:sSubSupPr>
                      <m:e>
                        <m:r>
                          <a:rPr lang="en-US" sz="1100" b="0" i="1">
                            <a:latin typeface="Cambria Math" panose="02040503050406030204" pitchFamily="18" charset="0"/>
                          </a:rPr>
                          <m:t>𝑑</m:t>
                        </m:r>
                      </m:e>
                      <m:sub>
                        <m:r>
                          <a:rPr lang="en-US" sz="1100" b="0" i="1">
                            <a:latin typeface="Cambria Math" panose="02040503050406030204" pitchFamily="18" charset="0"/>
                          </a:rPr>
                          <m:t>𝑖</m:t>
                        </m:r>
                      </m:sub>
                      <m:sup>
                        <m:r>
                          <a:rPr lang="en-US" sz="1100" b="0" i="1">
                            <a:latin typeface="Cambria Math" panose="02040503050406030204" pitchFamily="18" charset="0"/>
                          </a:rPr>
                          <m:t>3</m:t>
                        </m:r>
                      </m:sup>
                    </m:sSubSup>
                  </m:oMath>
                </m:oMathPara>
              </a14:m>
              <a:endParaRPr lang="en-GB" sz="1100"/>
            </a:p>
          </xdr:txBody>
        </xdr:sp>
      </mc:Choice>
      <mc:Fallback xmlns="">
        <xdr:sp macro="" textlink="">
          <xdr:nvSpPr>
            <xdr:cNvPr id="11" name="TextBox 10">
              <a:extLst>
                <a:ext uri="{FF2B5EF4-FFF2-40B4-BE49-F238E27FC236}">
                  <a16:creationId xmlns:a16="http://schemas.microsoft.com/office/drawing/2014/main" id="{3D8B79A3-59E7-6E42-81EE-D52B1F05F619}"/>
                </a:ext>
              </a:extLst>
            </xdr:cNvPr>
            <xdr:cNvSpPr txBox="1"/>
          </xdr:nvSpPr>
          <xdr:spPr>
            <a:xfrm>
              <a:off x="869671" y="13594094"/>
              <a:ext cx="1005467" cy="1813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latin typeface="Cambria Math" panose="02040503050406030204" pitchFamily="18" charset="0"/>
                </a:rPr>
                <a:t>𝑀_𝑠=125000𝑑_𝑖^3</a:t>
              </a:r>
              <a:endParaRPr lang="en-GB" sz="1100"/>
            </a:p>
          </xdr:txBody>
        </xdr:sp>
      </mc:Fallback>
    </mc:AlternateContent>
    <xdr:clientData/>
  </xdr:oneCellAnchor>
  <xdr:twoCellAnchor>
    <xdr:from>
      <xdr:col>15</xdr:col>
      <xdr:colOff>330200</xdr:colOff>
      <xdr:row>0</xdr:row>
      <xdr:rowOff>120650</xdr:rowOff>
    </xdr:from>
    <xdr:to>
      <xdr:col>22</xdr:col>
      <xdr:colOff>792480</xdr:colOff>
      <xdr:row>21</xdr:row>
      <xdr:rowOff>132080</xdr:rowOff>
    </xdr:to>
    <xdr:graphicFrame macro="">
      <xdr:nvGraphicFramePr>
        <xdr:cNvPr id="2" name="Chart 1">
          <a:extLst>
            <a:ext uri="{FF2B5EF4-FFF2-40B4-BE49-F238E27FC236}">
              <a16:creationId xmlns:a16="http://schemas.microsoft.com/office/drawing/2014/main" id="{8E4383D4-EC3A-D049-A923-161F5A277FC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0.17966</cdr:x>
      <cdr:y>0.0835</cdr:y>
    </cdr:from>
    <cdr:to>
      <cdr:x>0.36988</cdr:x>
      <cdr:y>0.22607</cdr:y>
    </cdr:to>
    <cdr:sp macro="" textlink="">
      <cdr:nvSpPr>
        <cdr:cNvPr id="2" name="TextBox 1">
          <a:extLst xmlns:a="http://schemas.openxmlformats.org/drawingml/2006/main">
            <a:ext uri="{FF2B5EF4-FFF2-40B4-BE49-F238E27FC236}">
              <a16:creationId xmlns:a16="http://schemas.microsoft.com/office/drawing/2014/main" id="{C10A6E18-3F81-6549-87DF-E60A8CCFF471}"/>
            </a:ext>
          </a:extLst>
        </cdr:cNvPr>
        <cdr:cNvSpPr txBox="1"/>
      </cdr:nvSpPr>
      <cdr:spPr>
        <a:xfrm xmlns:a="http://schemas.openxmlformats.org/drawingml/2006/main">
          <a:off x="863600" y="260350"/>
          <a:ext cx="914400" cy="444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GB" sz="1100"/>
        </a:p>
      </cdr:txBody>
    </cdr:sp>
  </cdr:relSizeAnchor>
  <cdr:relSizeAnchor xmlns:cdr="http://schemas.openxmlformats.org/drawingml/2006/chartDrawing">
    <cdr:from>
      <cdr:x>0.17437</cdr:x>
      <cdr:y>0.07536</cdr:y>
    </cdr:from>
    <cdr:to>
      <cdr:x>0.56803</cdr:x>
      <cdr:y>0.15682</cdr:y>
    </cdr:to>
    <cdr:sp macro="" textlink="">
      <cdr:nvSpPr>
        <cdr:cNvPr id="3" name="TextBox 2">
          <a:extLst xmlns:a="http://schemas.openxmlformats.org/drawingml/2006/main">
            <a:ext uri="{FF2B5EF4-FFF2-40B4-BE49-F238E27FC236}">
              <a16:creationId xmlns:a16="http://schemas.microsoft.com/office/drawing/2014/main" id="{108D1AC4-3107-6742-BB2D-FBF32ED9BCD6}"/>
            </a:ext>
          </a:extLst>
        </cdr:cNvPr>
        <cdr:cNvSpPr txBox="1"/>
      </cdr:nvSpPr>
      <cdr:spPr>
        <a:xfrm xmlns:a="http://schemas.openxmlformats.org/drawingml/2006/main">
          <a:off x="838200" y="234950"/>
          <a:ext cx="1892300" cy="254000"/>
        </a:xfrm>
        <a:prstGeom xmlns:a="http://schemas.openxmlformats.org/drawingml/2006/main" prst="rect">
          <a:avLst/>
        </a:prstGeom>
        <a:solidFill xmlns:a="http://schemas.openxmlformats.org/drawingml/2006/main">
          <a:schemeClr val="bg1"/>
        </a:solidFill>
        <a:ln xmlns:a="http://schemas.openxmlformats.org/drawingml/2006/main">
          <a:solidFill>
            <a:schemeClr val="tx1"/>
          </a:solidFill>
        </a:ln>
      </cdr:spPr>
      <cdr:txBody>
        <a:bodyPr xmlns:a="http://schemas.openxmlformats.org/drawingml/2006/main" vertOverflow="clip" wrap="none" rtlCol="0" anchor="ctr"/>
        <a:lstStyle xmlns:a="http://schemas.openxmlformats.org/drawingml/2006/main"/>
        <a:p xmlns:a="http://schemas.openxmlformats.org/drawingml/2006/main">
          <a:pPr algn="ctr"/>
          <a:r>
            <a:rPr lang="en-GB" sz="1600">
              <a:latin typeface="Times New Roman" panose="02020603050405020304" pitchFamily="18" charset="0"/>
              <a:cs typeface="Times New Roman" panose="02020603050405020304" pitchFamily="18" charset="0"/>
            </a:rPr>
            <a:t>Side</a:t>
          </a:r>
          <a:r>
            <a:rPr lang="en-GB" sz="1600" baseline="0">
              <a:latin typeface="Times New Roman" panose="02020603050405020304" pitchFamily="18" charset="0"/>
              <a:cs typeface="Times New Roman" panose="02020603050405020304" pitchFamily="18" charset="0"/>
            </a:rPr>
            <a:t> of "safe" sub-sampling</a:t>
          </a:r>
          <a:endParaRPr lang="en-GB" sz="1600">
            <a:latin typeface="Times New Roman" panose="02020603050405020304" pitchFamily="18" charset="0"/>
            <a:cs typeface="Times New Roman" panose="02020603050405020304" pitchFamily="18" charset="0"/>
          </a:endParaRPr>
        </a:p>
      </cdr:txBody>
    </cdr:sp>
  </cdr:relSizeAnchor>
  <cdr:relSizeAnchor xmlns:cdr="http://schemas.openxmlformats.org/drawingml/2006/chartDrawing">
    <cdr:from>
      <cdr:x>0.51519</cdr:x>
      <cdr:y>0.72912</cdr:y>
    </cdr:from>
    <cdr:to>
      <cdr:x>0.94055</cdr:x>
      <cdr:y>0.80855</cdr:y>
    </cdr:to>
    <cdr:sp macro="" textlink="">
      <cdr:nvSpPr>
        <cdr:cNvPr id="4" name="TextBox 1">
          <a:extLst xmlns:a="http://schemas.openxmlformats.org/drawingml/2006/main">
            <a:ext uri="{FF2B5EF4-FFF2-40B4-BE49-F238E27FC236}">
              <a16:creationId xmlns:a16="http://schemas.microsoft.com/office/drawing/2014/main" id="{DB2D39A6-0636-C74D-A929-340251C364A3}"/>
            </a:ext>
          </a:extLst>
        </cdr:cNvPr>
        <cdr:cNvSpPr txBox="1"/>
      </cdr:nvSpPr>
      <cdr:spPr>
        <a:xfrm xmlns:a="http://schemas.openxmlformats.org/drawingml/2006/main">
          <a:off x="2476500" y="2273300"/>
          <a:ext cx="2044700" cy="247650"/>
        </a:xfrm>
        <a:prstGeom xmlns:a="http://schemas.openxmlformats.org/drawingml/2006/main" prst="rect">
          <a:avLst/>
        </a:prstGeom>
        <a:solidFill xmlns:a="http://schemas.openxmlformats.org/drawingml/2006/main">
          <a:schemeClr val="bg1"/>
        </a:solidFill>
        <a:ln xmlns:a="http://schemas.openxmlformats.org/drawingml/2006/main">
          <a:solidFill>
            <a:schemeClr val="tx1"/>
          </a:solidFill>
        </a:ln>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GB" sz="1600">
              <a:latin typeface="Times New Roman" panose="02020603050405020304" pitchFamily="18" charset="0"/>
              <a:cs typeface="Times New Roman" panose="02020603050405020304" pitchFamily="18" charset="0"/>
            </a:rPr>
            <a:t>Side</a:t>
          </a:r>
          <a:r>
            <a:rPr lang="en-GB" sz="1600" baseline="0">
              <a:latin typeface="Times New Roman" panose="02020603050405020304" pitchFamily="18" charset="0"/>
              <a:cs typeface="Times New Roman" panose="02020603050405020304" pitchFamily="18" charset="0"/>
            </a:rPr>
            <a:t> of "unsafe" sub-sampling</a:t>
          </a:r>
          <a:endParaRPr lang="en-GB" sz="1600">
            <a:latin typeface="Times New Roman" panose="02020603050405020304" pitchFamily="18" charset="0"/>
            <a:cs typeface="Times New Roman" panose="02020603050405020304" pitchFamily="18" charset="0"/>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1410607</xdr:colOff>
      <xdr:row>24</xdr:row>
      <xdr:rowOff>140606</xdr:rowOff>
    </xdr:from>
    <xdr:to>
      <xdr:col>33</xdr:col>
      <xdr:colOff>108856</xdr:colOff>
      <xdr:row>53</xdr:row>
      <xdr:rowOff>54427</xdr:rowOff>
    </xdr:to>
    <xdr:graphicFrame macro="">
      <xdr:nvGraphicFramePr>
        <xdr:cNvPr id="2" name="Chart 1">
          <a:extLst>
            <a:ext uri="{FF2B5EF4-FFF2-40B4-BE49-F238E27FC236}">
              <a16:creationId xmlns:a16="http://schemas.microsoft.com/office/drawing/2014/main" id="{BCD22701-901D-A249-BE38-5ED82DF4E2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0.07434</cdr:x>
      <cdr:y>0.92999</cdr:y>
    </cdr:from>
    <cdr:to>
      <cdr:x>0.2037</cdr:x>
      <cdr:y>0.99682</cdr:y>
    </cdr:to>
    <cdr:sp macro="" textlink="">
      <cdr:nvSpPr>
        <cdr:cNvPr id="2" name="Rectangle 1">
          <a:extLst xmlns:a="http://schemas.openxmlformats.org/drawingml/2006/main">
            <a:ext uri="{FF2B5EF4-FFF2-40B4-BE49-F238E27FC236}">
              <a16:creationId xmlns:a16="http://schemas.microsoft.com/office/drawing/2014/main" id="{343C6618-0399-BD45-ABF3-65D070D36AE6}"/>
            </a:ext>
          </a:extLst>
        </cdr:cNvPr>
        <cdr:cNvSpPr/>
      </cdr:nvSpPr>
      <cdr:spPr>
        <a:xfrm xmlns:a="http://schemas.openxmlformats.org/drawingml/2006/main">
          <a:off x="802820" y="5302250"/>
          <a:ext cx="1397000" cy="38100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nchor="ctr"/>
        <a:lstStyle xmlns:a="http://schemas.openxmlformats.org/drawingml/2006/main"/>
        <a:p xmlns:a="http://schemas.openxmlformats.org/drawingml/2006/main">
          <a:pPr algn="ctr"/>
          <a:r>
            <a:rPr lang="en-US" sz="1600">
              <a:solidFill>
                <a:schemeClr val="tx1"/>
              </a:solidFill>
              <a:latin typeface="Times New Roman" panose="02020603050405020304" pitchFamily="18" charset="0"/>
              <a:cs typeface="Times New Roman" panose="02020603050405020304" pitchFamily="18" charset="0"/>
            </a:rPr>
            <a:t>-6700/+2000</a:t>
          </a:r>
        </a:p>
      </cdr:txBody>
    </cdr:sp>
  </cdr:relSizeAnchor>
  <cdr:relSizeAnchor xmlns:cdr="http://schemas.openxmlformats.org/drawingml/2006/chartDrawing">
    <cdr:from>
      <cdr:x>0.19279</cdr:x>
      <cdr:y>0.92999</cdr:y>
    </cdr:from>
    <cdr:to>
      <cdr:x>0.32215</cdr:x>
      <cdr:y>0.99682</cdr:y>
    </cdr:to>
    <cdr:sp macro="" textlink="">
      <cdr:nvSpPr>
        <cdr:cNvPr id="3" name="Rectangle 2">
          <a:extLst xmlns:a="http://schemas.openxmlformats.org/drawingml/2006/main">
            <a:ext uri="{FF2B5EF4-FFF2-40B4-BE49-F238E27FC236}">
              <a16:creationId xmlns:a16="http://schemas.microsoft.com/office/drawing/2014/main" id="{FC5A575A-5CC6-0643-A002-BE9A63427D31}"/>
            </a:ext>
          </a:extLst>
        </cdr:cNvPr>
        <cdr:cNvSpPr/>
      </cdr:nvSpPr>
      <cdr:spPr>
        <a:xfrm xmlns:a="http://schemas.openxmlformats.org/drawingml/2006/main">
          <a:off x="2082073" y="5302250"/>
          <a:ext cx="1397000" cy="38100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600">
              <a:solidFill>
                <a:schemeClr val="tx1"/>
              </a:solidFill>
              <a:latin typeface="Times New Roman" panose="02020603050405020304" pitchFamily="18" charset="0"/>
              <a:cs typeface="Times New Roman" panose="02020603050405020304" pitchFamily="18" charset="0"/>
            </a:rPr>
            <a:t>-2000/+1000</a:t>
          </a:r>
        </a:p>
      </cdr:txBody>
    </cdr:sp>
  </cdr:relSizeAnchor>
  <cdr:relSizeAnchor xmlns:cdr="http://schemas.openxmlformats.org/drawingml/2006/chartDrawing">
    <cdr:from>
      <cdr:x>0.31125</cdr:x>
      <cdr:y>0.92999</cdr:y>
    </cdr:from>
    <cdr:to>
      <cdr:x>0.4406</cdr:x>
      <cdr:y>0.99682</cdr:y>
    </cdr:to>
    <cdr:sp macro="" textlink="">
      <cdr:nvSpPr>
        <cdr:cNvPr id="6" name="Rectangle 5">
          <a:extLst xmlns:a="http://schemas.openxmlformats.org/drawingml/2006/main">
            <a:ext uri="{FF2B5EF4-FFF2-40B4-BE49-F238E27FC236}">
              <a16:creationId xmlns:a16="http://schemas.microsoft.com/office/drawing/2014/main" id="{7AB7867E-0B08-3A4D-99EE-488AD33D25B4}"/>
            </a:ext>
          </a:extLst>
        </cdr:cNvPr>
        <cdr:cNvSpPr/>
      </cdr:nvSpPr>
      <cdr:spPr>
        <a:xfrm xmlns:a="http://schemas.openxmlformats.org/drawingml/2006/main">
          <a:off x="3361326" y="5302250"/>
          <a:ext cx="1397000" cy="38100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600">
              <a:solidFill>
                <a:schemeClr val="tx1"/>
              </a:solidFill>
              <a:latin typeface="Times New Roman" panose="02020603050405020304" pitchFamily="18" charset="0"/>
              <a:cs typeface="Times New Roman" panose="02020603050405020304" pitchFamily="18" charset="0"/>
            </a:rPr>
            <a:t>-1000/+425</a:t>
          </a:r>
        </a:p>
      </cdr:txBody>
    </cdr:sp>
  </cdr:relSizeAnchor>
  <cdr:relSizeAnchor xmlns:cdr="http://schemas.openxmlformats.org/drawingml/2006/chartDrawing">
    <cdr:from>
      <cdr:x>0.4297</cdr:x>
      <cdr:y>0.92999</cdr:y>
    </cdr:from>
    <cdr:to>
      <cdr:x>0.55906</cdr:x>
      <cdr:y>0.99682</cdr:y>
    </cdr:to>
    <cdr:sp macro="" textlink="">
      <cdr:nvSpPr>
        <cdr:cNvPr id="7" name="Rectangle 6">
          <a:extLst xmlns:a="http://schemas.openxmlformats.org/drawingml/2006/main">
            <a:ext uri="{FF2B5EF4-FFF2-40B4-BE49-F238E27FC236}">
              <a16:creationId xmlns:a16="http://schemas.microsoft.com/office/drawing/2014/main" id="{21CED4E5-D991-9048-BA10-8A248BEFFFA0}"/>
            </a:ext>
          </a:extLst>
        </cdr:cNvPr>
        <cdr:cNvSpPr/>
      </cdr:nvSpPr>
      <cdr:spPr>
        <a:xfrm xmlns:a="http://schemas.openxmlformats.org/drawingml/2006/main">
          <a:off x="4640579" y="5302250"/>
          <a:ext cx="1397000" cy="38100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600">
              <a:solidFill>
                <a:schemeClr val="tx1"/>
              </a:solidFill>
              <a:latin typeface="Times New Roman" panose="02020603050405020304" pitchFamily="18" charset="0"/>
              <a:cs typeface="Times New Roman" panose="02020603050405020304" pitchFamily="18" charset="0"/>
            </a:rPr>
            <a:t>-425/+150</a:t>
          </a:r>
        </a:p>
      </cdr:txBody>
    </cdr:sp>
  </cdr:relSizeAnchor>
  <cdr:relSizeAnchor xmlns:cdr="http://schemas.openxmlformats.org/drawingml/2006/chartDrawing">
    <cdr:from>
      <cdr:x>0.54816</cdr:x>
      <cdr:y>0.92999</cdr:y>
    </cdr:from>
    <cdr:to>
      <cdr:x>0.67751</cdr:x>
      <cdr:y>0.99682</cdr:y>
    </cdr:to>
    <cdr:sp macro="" textlink="">
      <cdr:nvSpPr>
        <cdr:cNvPr id="8" name="Rectangle 7">
          <a:extLst xmlns:a="http://schemas.openxmlformats.org/drawingml/2006/main">
            <a:ext uri="{FF2B5EF4-FFF2-40B4-BE49-F238E27FC236}">
              <a16:creationId xmlns:a16="http://schemas.microsoft.com/office/drawing/2014/main" id="{CB068CDD-C1EA-6847-ABAB-048E5CDA8A69}"/>
            </a:ext>
          </a:extLst>
        </cdr:cNvPr>
        <cdr:cNvSpPr/>
      </cdr:nvSpPr>
      <cdr:spPr>
        <a:xfrm xmlns:a="http://schemas.openxmlformats.org/drawingml/2006/main">
          <a:off x="5919832" y="5302250"/>
          <a:ext cx="1397000" cy="38100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600">
              <a:solidFill>
                <a:schemeClr val="tx1"/>
              </a:solidFill>
              <a:latin typeface="Times New Roman" panose="02020603050405020304" pitchFamily="18" charset="0"/>
              <a:cs typeface="Times New Roman" panose="02020603050405020304" pitchFamily="18" charset="0"/>
            </a:rPr>
            <a:t>-150/+0</a:t>
          </a:r>
        </a:p>
      </cdr:txBody>
    </cdr:sp>
  </cdr:relSizeAnchor>
  <cdr:relSizeAnchor xmlns:cdr="http://schemas.openxmlformats.org/drawingml/2006/chartDrawing">
    <cdr:from>
      <cdr:x>0.66661</cdr:x>
      <cdr:y>0.92999</cdr:y>
    </cdr:from>
    <cdr:to>
      <cdr:x>0.79597</cdr:x>
      <cdr:y>0.99682</cdr:y>
    </cdr:to>
    <cdr:sp macro="" textlink="">
      <cdr:nvSpPr>
        <cdr:cNvPr id="9" name="Rectangle 8">
          <a:extLst xmlns:a="http://schemas.openxmlformats.org/drawingml/2006/main">
            <a:ext uri="{FF2B5EF4-FFF2-40B4-BE49-F238E27FC236}">
              <a16:creationId xmlns:a16="http://schemas.microsoft.com/office/drawing/2014/main" id="{92BCFFF7-8CA7-844B-9F58-97853DB30805}"/>
            </a:ext>
          </a:extLst>
        </cdr:cNvPr>
        <cdr:cNvSpPr/>
      </cdr:nvSpPr>
      <cdr:spPr>
        <a:xfrm xmlns:a="http://schemas.openxmlformats.org/drawingml/2006/main">
          <a:off x="7199085" y="5302250"/>
          <a:ext cx="1397000" cy="38100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600">
              <a:solidFill>
                <a:schemeClr val="tx1"/>
              </a:solidFill>
              <a:latin typeface="Times New Roman" panose="02020603050405020304" pitchFamily="18" charset="0"/>
              <a:cs typeface="Times New Roman" panose="02020603050405020304" pitchFamily="18" charset="0"/>
            </a:rPr>
            <a:t>HCT</a:t>
          </a:r>
        </a:p>
      </cdr:txBody>
    </cdr:sp>
  </cdr:relSizeAnchor>
</c:userShapes>
</file>

<file path=xl/drawings/drawing6.xml><?xml version="1.0" encoding="utf-8"?>
<xdr:wsDr xmlns:xdr="http://schemas.openxmlformats.org/drawingml/2006/spreadsheetDrawing" xmlns:a="http://schemas.openxmlformats.org/drawingml/2006/main">
  <xdr:twoCellAnchor>
    <xdr:from>
      <xdr:col>11</xdr:col>
      <xdr:colOff>309515</xdr:colOff>
      <xdr:row>2</xdr:row>
      <xdr:rowOff>38739</xdr:rowOff>
    </xdr:from>
    <xdr:to>
      <xdr:col>23</xdr:col>
      <xdr:colOff>747137</xdr:colOff>
      <xdr:row>24</xdr:row>
      <xdr:rowOff>74458</xdr:rowOff>
    </xdr:to>
    <xdr:graphicFrame macro="">
      <xdr:nvGraphicFramePr>
        <xdr:cNvPr id="17" name="Chart 16">
          <a:extLst>
            <a:ext uri="{FF2B5EF4-FFF2-40B4-BE49-F238E27FC236}">
              <a16:creationId xmlns:a16="http://schemas.microsoft.com/office/drawing/2014/main" id="{4A662798-BBBB-F341-84E4-0AD466A47B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304801</xdr:colOff>
      <xdr:row>40</xdr:row>
      <xdr:rowOff>101600</xdr:rowOff>
    </xdr:from>
    <xdr:to>
      <xdr:col>23</xdr:col>
      <xdr:colOff>742422</xdr:colOff>
      <xdr:row>62</xdr:row>
      <xdr:rowOff>137320</xdr:rowOff>
    </xdr:to>
    <xdr:graphicFrame macro="">
      <xdr:nvGraphicFramePr>
        <xdr:cNvPr id="3" name="Chart 2">
          <a:extLst>
            <a:ext uri="{FF2B5EF4-FFF2-40B4-BE49-F238E27FC236}">
              <a16:creationId xmlns:a16="http://schemas.microsoft.com/office/drawing/2014/main" id="{0029D514-515C-8047-B1CD-1E3DAD75ABC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287867</xdr:colOff>
      <xdr:row>78</xdr:row>
      <xdr:rowOff>169334</xdr:rowOff>
    </xdr:from>
    <xdr:to>
      <xdr:col>23</xdr:col>
      <xdr:colOff>725488</xdr:colOff>
      <xdr:row>101</xdr:row>
      <xdr:rowOff>18786</xdr:rowOff>
    </xdr:to>
    <xdr:graphicFrame macro="">
      <xdr:nvGraphicFramePr>
        <xdr:cNvPr id="4" name="Chart 3">
          <a:extLst>
            <a:ext uri="{FF2B5EF4-FFF2-40B4-BE49-F238E27FC236}">
              <a16:creationId xmlns:a16="http://schemas.microsoft.com/office/drawing/2014/main" id="{7DC771D6-A71D-624F-B182-5532F7DF26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328862</xdr:colOff>
      <xdr:row>117</xdr:row>
      <xdr:rowOff>0</xdr:rowOff>
    </xdr:from>
    <xdr:to>
      <xdr:col>23</xdr:col>
      <xdr:colOff>761136</xdr:colOff>
      <xdr:row>139</xdr:row>
      <xdr:rowOff>35719</xdr:rowOff>
    </xdr:to>
    <xdr:graphicFrame macro="">
      <xdr:nvGraphicFramePr>
        <xdr:cNvPr id="5" name="Chart 4">
          <a:extLst>
            <a:ext uri="{FF2B5EF4-FFF2-40B4-BE49-F238E27FC236}">
              <a16:creationId xmlns:a16="http://schemas.microsoft.com/office/drawing/2014/main" id="{87EB79A8-BF46-BB4C-AED7-34484C9244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282040</xdr:colOff>
      <xdr:row>0</xdr:row>
      <xdr:rowOff>200123</xdr:rowOff>
    </xdr:from>
    <xdr:to>
      <xdr:col>23</xdr:col>
      <xdr:colOff>656254</xdr:colOff>
      <xdr:row>35</xdr:row>
      <xdr:rowOff>22248</xdr:rowOff>
    </xdr:to>
    <xdr:graphicFrame macro="">
      <xdr:nvGraphicFramePr>
        <xdr:cNvPr id="2" name="Chart 1">
          <a:extLst>
            <a:ext uri="{FF2B5EF4-FFF2-40B4-BE49-F238E27FC236}">
              <a16:creationId xmlns:a16="http://schemas.microsoft.com/office/drawing/2014/main" id="{221989EB-EA0E-7A4A-A9F0-85CDD7997B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282040</xdr:colOff>
      <xdr:row>0</xdr:row>
      <xdr:rowOff>200123</xdr:rowOff>
    </xdr:from>
    <xdr:to>
      <xdr:col>23</xdr:col>
      <xdr:colOff>656254</xdr:colOff>
      <xdr:row>35</xdr:row>
      <xdr:rowOff>22248</xdr:rowOff>
    </xdr:to>
    <xdr:graphicFrame macro="">
      <xdr:nvGraphicFramePr>
        <xdr:cNvPr id="2" name="Chart 1">
          <a:extLst>
            <a:ext uri="{FF2B5EF4-FFF2-40B4-BE49-F238E27FC236}">
              <a16:creationId xmlns:a16="http://schemas.microsoft.com/office/drawing/2014/main" id="{C4ABF315-0DF1-3449-9421-A11A4EB7B5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282040</xdr:colOff>
      <xdr:row>0</xdr:row>
      <xdr:rowOff>200123</xdr:rowOff>
    </xdr:from>
    <xdr:to>
      <xdr:col>23</xdr:col>
      <xdr:colOff>656254</xdr:colOff>
      <xdr:row>35</xdr:row>
      <xdr:rowOff>22248</xdr:rowOff>
    </xdr:to>
    <xdr:graphicFrame macro="">
      <xdr:nvGraphicFramePr>
        <xdr:cNvPr id="2" name="Chart 1">
          <a:extLst>
            <a:ext uri="{FF2B5EF4-FFF2-40B4-BE49-F238E27FC236}">
              <a16:creationId xmlns:a16="http://schemas.microsoft.com/office/drawing/2014/main" id="{9A6C2AE1-DF3B-154B-8927-99F880779A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20749-3376-7D48-B353-9C4330A96711}">
  <dimension ref="A1:B12"/>
  <sheetViews>
    <sheetView workbookViewId="0">
      <selection sqref="A1:B1"/>
    </sheetView>
  </sheetViews>
  <sheetFormatPr baseColWidth="10" defaultRowHeight="15"/>
  <cols>
    <col min="1" max="1" width="45.33203125" customWidth="1"/>
    <col min="2" max="2" width="6.83203125" bestFit="1" customWidth="1"/>
  </cols>
  <sheetData>
    <row r="1" spans="1:2">
      <c r="A1" s="316" t="s">
        <v>193</v>
      </c>
      <c r="B1" s="317"/>
    </row>
    <row r="2" spans="1:2" ht="94" customHeight="1">
      <c r="A2" s="318" t="s">
        <v>205</v>
      </c>
      <c r="B2" s="319"/>
    </row>
    <row r="3" spans="1:2" ht="16">
      <c r="A3" s="111" t="s">
        <v>100</v>
      </c>
      <c r="B3" s="112" t="s">
        <v>194</v>
      </c>
    </row>
    <row r="4" spans="1:2" ht="80">
      <c r="A4" s="110" t="s">
        <v>195</v>
      </c>
      <c r="B4" s="113">
        <v>1</v>
      </c>
    </row>
    <row r="5" spans="1:2" ht="32">
      <c r="A5" s="110" t="s">
        <v>196</v>
      </c>
      <c r="B5" s="113">
        <v>2</v>
      </c>
    </row>
    <row r="6" spans="1:2" ht="32">
      <c r="A6" s="110" t="s">
        <v>304</v>
      </c>
      <c r="B6" s="113">
        <v>3</v>
      </c>
    </row>
    <row r="7" spans="1:2" ht="32">
      <c r="A7" s="110" t="s">
        <v>197</v>
      </c>
      <c r="B7" s="113">
        <v>4</v>
      </c>
    </row>
    <row r="8" spans="1:2" ht="48">
      <c r="A8" s="110" t="s">
        <v>198</v>
      </c>
      <c r="B8" s="114">
        <v>5</v>
      </c>
    </row>
    <row r="9" spans="1:2" ht="32">
      <c r="A9" s="110" t="s">
        <v>206</v>
      </c>
      <c r="B9" s="114">
        <v>6</v>
      </c>
    </row>
    <row r="10" spans="1:2" ht="32">
      <c r="A10" s="110" t="s">
        <v>199</v>
      </c>
      <c r="B10" s="114">
        <v>7</v>
      </c>
    </row>
    <row r="11" spans="1:2" ht="32">
      <c r="A11" s="110" t="s">
        <v>200</v>
      </c>
      <c r="B11" s="114">
        <v>8</v>
      </c>
    </row>
    <row r="12" spans="1:2" ht="33" thickBot="1">
      <c r="A12" s="109" t="s">
        <v>201</v>
      </c>
      <c r="B12" s="115">
        <v>9</v>
      </c>
    </row>
  </sheetData>
  <mergeCells count="2">
    <mergeCell ref="A1:B1"/>
    <mergeCell ref="A2:B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BF854-D0DC-864B-9454-5A002AE4E69B}">
  <dimension ref="A1:AK99"/>
  <sheetViews>
    <sheetView zoomScale="84" zoomScaleNormal="64" workbookViewId="0"/>
  </sheetViews>
  <sheetFormatPr baseColWidth="10" defaultColWidth="8.83203125" defaultRowHeight="15"/>
  <cols>
    <col min="1" max="1" width="30.5" style="119" bestFit="1" customWidth="1"/>
    <col min="2" max="2" width="22.6640625" style="119" customWidth="1"/>
    <col min="3" max="3" width="23.83203125" style="119" customWidth="1"/>
    <col min="4" max="4" width="18.6640625" style="119" customWidth="1"/>
    <col min="5" max="5" width="17.1640625" style="119" bestFit="1" customWidth="1"/>
    <col min="6" max="6" width="20.1640625" style="119" customWidth="1"/>
    <col min="7" max="7" width="16" style="119" bestFit="1" customWidth="1"/>
    <col min="8" max="8" width="11.6640625" style="119" bestFit="1" customWidth="1"/>
    <col min="9" max="9" width="14.1640625" style="119" bestFit="1" customWidth="1"/>
    <col min="10" max="10" width="13.6640625" style="119" bestFit="1" customWidth="1"/>
    <col min="11" max="11" width="15.33203125" style="119" bestFit="1" customWidth="1"/>
    <col min="12" max="12" width="12.1640625" style="119" bestFit="1" customWidth="1"/>
    <col min="13" max="13" width="11.5" style="119" bestFit="1" customWidth="1"/>
    <col min="14" max="17" width="8.83203125" style="119"/>
    <col min="18" max="18" width="32.6640625" style="119" bestFit="1" customWidth="1"/>
    <col min="19" max="21" width="8.83203125" style="119"/>
    <col min="22" max="22" width="14.5" style="119" bestFit="1" customWidth="1"/>
    <col min="23" max="23" width="14.33203125" style="119" bestFit="1" customWidth="1"/>
    <col min="24" max="16384" width="8.83203125" style="119"/>
  </cols>
  <sheetData>
    <row r="1" spans="1:30" ht="16" thickBot="1"/>
    <row r="2" spans="1:30" ht="16" thickBot="1">
      <c r="A2" s="523" t="s">
        <v>246</v>
      </c>
      <c r="B2" s="524"/>
      <c r="C2" s="524"/>
      <c r="D2" s="524"/>
      <c r="E2" s="524"/>
      <c r="F2" s="524"/>
      <c r="G2" s="524"/>
      <c r="H2" s="524"/>
      <c r="I2" s="524"/>
      <c r="J2" s="524"/>
      <c r="K2" s="524"/>
      <c r="L2" s="524"/>
      <c r="M2" s="524"/>
      <c r="N2" s="525"/>
      <c r="O2" s="103"/>
    </row>
    <row r="3" spans="1:30">
      <c r="A3" s="181"/>
      <c r="B3" s="61" t="s">
        <v>23</v>
      </c>
      <c r="C3" s="527" t="s">
        <v>152</v>
      </c>
      <c r="D3" s="527"/>
      <c r="E3" s="527"/>
      <c r="F3" s="527"/>
      <c r="G3" s="527"/>
      <c r="H3" s="527"/>
      <c r="I3" s="527"/>
      <c r="J3" s="527"/>
      <c r="K3" s="527"/>
      <c r="L3" s="527"/>
      <c r="M3" s="527"/>
      <c r="N3" s="528"/>
      <c r="O3" s="104"/>
    </row>
    <row r="4" spans="1:30">
      <c r="A4" s="181" t="s">
        <v>23</v>
      </c>
      <c r="B4" s="61" t="s">
        <v>23</v>
      </c>
      <c r="C4" s="61" t="s">
        <v>153</v>
      </c>
      <c r="D4" s="61" t="s">
        <v>154</v>
      </c>
      <c r="E4" s="61" t="s">
        <v>155</v>
      </c>
      <c r="F4" s="61" t="s">
        <v>156</v>
      </c>
      <c r="G4" s="61" t="s">
        <v>157</v>
      </c>
      <c r="H4" s="61" t="s">
        <v>158</v>
      </c>
      <c r="I4" s="61" t="s">
        <v>159</v>
      </c>
      <c r="J4" s="61" t="s">
        <v>160</v>
      </c>
      <c r="K4" s="61" t="s">
        <v>161</v>
      </c>
      <c r="L4" s="61" t="s">
        <v>162</v>
      </c>
      <c r="M4" s="61" t="s">
        <v>163</v>
      </c>
      <c r="N4" s="144" t="s">
        <v>164</v>
      </c>
      <c r="O4" s="105"/>
    </row>
    <row r="5" spans="1:30">
      <c r="A5" s="532" t="s">
        <v>165</v>
      </c>
      <c r="B5" s="61" t="s">
        <v>8</v>
      </c>
      <c r="C5" s="196">
        <v>0</v>
      </c>
      <c r="D5" s="196">
        <v>0.57581198460691196</v>
      </c>
      <c r="E5" s="196">
        <v>0.168285050751766</v>
      </c>
      <c r="F5" s="196">
        <v>0.14286386747054</v>
      </c>
      <c r="G5" s="196">
        <v>0.113039097170782</v>
      </c>
      <c r="H5" s="196">
        <v>0</v>
      </c>
      <c r="I5" s="196">
        <v>0</v>
      </c>
      <c r="J5" s="196">
        <v>0</v>
      </c>
      <c r="K5" s="196">
        <v>0</v>
      </c>
      <c r="L5" s="196">
        <v>0</v>
      </c>
      <c r="M5" s="196">
        <v>0</v>
      </c>
      <c r="N5" s="197">
        <v>0</v>
      </c>
      <c r="O5" s="120"/>
      <c r="P5" s="107"/>
      <c r="Q5" s="107"/>
    </row>
    <row r="6" spans="1:30">
      <c r="A6" s="532"/>
      <c r="B6" s="145" t="s">
        <v>7</v>
      </c>
      <c r="C6" s="196">
        <v>0</v>
      </c>
      <c r="D6" s="196">
        <v>0.21525056368651999</v>
      </c>
      <c r="E6" s="196">
        <v>9.7557069382789102E-2</v>
      </c>
      <c r="F6" s="196">
        <v>0.129318547692749</v>
      </c>
      <c r="G6" s="196">
        <v>0.18658346599909098</v>
      </c>
      <c r="H6" s="196">
        <v>0.19426373300903901</v>
      </c>
      <c r="I6" s="196">
        <v>7.872466301002029E-2</v>
      </c>
      <c r="J6" s="196">
        <v>4.56455604117421E-2</v>
      </c>
      <c r="K6" s="196">
        <v>2.5192108821106597E-2</v>
      </c>
      <c r="L6" s="196">
        <v>2.7464287986944499E-2</v>
      </c>
      <c r="M6" s="196">
        <v>0</v>
      </c>
      <c r="N6" s="197">
        <v>0</v>
      </c>
      <c r="O6" s="120"/>
      <c r="P6" s="107"/>
      <c r="Q6" s="107"/>
    </row>
    <row r="7" spans="1:30">
      <c r="A7" s="532"/>
      <c r="B7" s="61" t="s">
        <v>6</v>
      </c>
      <c r="C7" s="196">
        <v>0</v>
      </c>
      <c r="D7" s="196">
        <v>0.34016661416980598</v>
      </c>
      <c r="E7" s="196">
        <v>0.17425001900748299</v>
      </c>
      <c r="F7" s="196">
        <v>0.137148823165235</v>
      </c>
      <c r="G7" s="196">
        <v>8.6438558762087808E-2</v>
      </c>
      <c r="H7" s="196">
        <v>0.11901591922000501</v>
      </c>
      <c r="I7" s="196">
        <v>7.1432947028858704E-2</v>
      </c>
      <c r="J7" s="196">
        <v>1.3032616841716501E-2</v>
      </c>
      <c r="K7" s="196">
        <v>1.5022320216359498E-2</v>
      </c>
      <c r="L7" s="196">
        <v>4.3492181588446303E-2</v>
      </c>
      <c r="M7" s="196">
        <v>0</v>
      </c>
      <c r="N7" s="197">
        <v>0</v>
      </c>
      <c r="O7" s="120"/>
      <c r="P7" s="107"/>
      <c r="Q7" s="107"/>
    </row>
    <row r="8" spans="1:30">
      <c r="A8" s="532"/>
      <c r="B8" s="61" t="s">
        <v>5</v>
      </c>
      <c r="C8" s="196">
        <v>0</v>
      </c>
      <c r="D8" s="196">
        <v>0.298402353262742</v>
      </c>
      <c r="E8" s="196">
        <v>0.13732254513074302</v>
      </c>
      <c r="F8" s="196">
        <v>7.1007686800258901E-2</v>
      </c>
      <c r="G8" s="196">
        <v>0.11125417812278901</v>
      </c>
      <c r="H8" s="196">
        <v>7.3618012578677797E-2</v>
      </c>
      <c r="I8" s="196">
        <v>0.11730195080240399</v>
      </c>
      <c r="J8" s="196">
        <v>0</v>
      </c>
      <c r="K8" s="196">
        <v>0.110057519827875</v>
      </c>
      <c r="L8" s="196">
        <v>0</v>
      </c>
      <c r="M8" s="196">
        <v>8.1035753474511307E-2</v>
      </c>
      <c r="N8" s="197">
        <v>0</v>
      </c>
      <c r="O8" s="120"/>
      <c r="P8" s="107"/>
      <c r="Q8" s="107"/>
    </row>
    <row r="9" spans="1:30">
      <c r="A9" s="532"/>
      <c r="B9" s="61" t="s">
        <v>4</v>
      </c>
      <c r="C9" s="196">
        <v>0</v>
      </c>
      <c r="D9" s="196">
        <v>6.4104384518194196E-2</v>
      </c>
      <c r="E9" s="196">
        <v>5.5709279289201399E-2</v>
      </c>
      <c r="F9" s="196">
        <v>3.5357893006972001E-2</v>
      </c>
      <c r="G9" s="196">
        <v>4.4718294457673301E-2</v>
      </c>
      <c r="H9" s="196">
        <v>4.8433020914394803E-2</v>
      </c>
      <c r="I9" s="196">
        <v>4.2000808807810402E-2</v>
      </c>
      <c r="J9" s="196">
        <v>5.8071368446672496E-2</v>
      </c>
      <c r="K9" s="196">
        <v>6.4274938631670192E-2</v>
      </c>
      <c r="L9" s="196">
        <v>0.111851212597448</v>
      </c>
      <c r="M9" s="196">
        <v>0.21666101070943899</v>
      </c>
      <c r="N9" s="197">
        <v>0.25881778862039501</v>
      </c>
      <c r="O9" s="120"/>
      <c r="P9" s="107"/>
      <c r="Q9" s="107"/>
    </row>
    <row r="10" spans="1:30" ht="16" thickBot="1">
      <c r="A10" s="533"/>
      <c r="B10" s="69" t="s">
        <v>166</v>
      </c>
      <c r="C10" s="198">
        <v>0</v>
      </c>
      <c r="D10" s="198">
        <v>0.37355950755136802</v>
      </c>
      <c r="E10" s="198">
        <v>0.13377585998498101</v>
      </c>
      <c r="F10" s="198">
        <v>0.12060395541853501</v>
      </c>
      <c r="G10" s="198">
        <v>0.121434640067329</v>
      </c>
      <c r="H10" s="198">
        <v>7.4819154919319397E-2</v>
      </c>
      <c r="I10" s="198">
        <v>4.09734335711631E-2</v>
      </c>
      <c r="J10" s="198">
        <v>2.08647270037953E-2</v>
      </c>
      <c r="K10" s="198">
        <v>2.32959010996646E-2</v>
      </c>
      <c r="L10" s="198">
        <v>2.57865698199118E-2</v>
      </c>
      <c r="M10" s="198">
        <v>3.23508888597323E-2</v>
      </c>
      <c r="N10" s="199">
        <v>3.2535361704184501E-2</v>
      </c>
      <c r="O10" s="120"/>
      <c r="P10" s="107"/>
      <c r="Q10" s="107"/>
    </row>
    <row r="11" spans="1:30" ht="16" thickBot="1">
      <c r="B11" s="104"/>
      <c r="C11" s="105"/>
      <c r="D11" s="105"/>
      <c r="E11" s="105"/>
      <c r="F11" s="105"/>
      <c r="G11" s="105"/>
      <c r="H11" s="105"/>
      <c r="I11" s="105"/>
      <c r="J11" s="105"/>
      <c r="K11" s="105"/>
      <c r="L11" s="105"/>
      <c r="M11" s="105"/>
      <c r="N11" s="105"/>
      <c r="O11" s="103"/>
    </row>
    <row r="12" spans="1:30" ht="15" customHeight="1">
      <c r="A12" s="495"/>
      <c r="B12" s="505" t="s">
        <v>8</v>
      </c>
      <c r="C12" s="505"/>
      <c r="D12" s="505" t="s">
        <v>7</v>
      </c>
      <c r="E12" s="505"/>
      <c r="F12" s="505" t="s">
        <v>6</v>
      </c>
      <c r="G12" s="505"/>
      <c r="H12" s="505" t="s">
        <v>5</v>
      </c>
      <c r="I12" s="505"/>
      <c r="J12" s="505" t="s">
        <v>4</v>
      </c>
      <c r="K12" s="526"/>
    </row>
    <row r="13" spans="1:30">
      <c r="A13" s="531" t="s">
        <v>167</v>
      </c>
      <c r="B13" s="182" t="s">
        <v>168</v>
      </c>
      <c r="C13" s="182" t="s">
        <v>169</v>
      </c>
      <c r="D13" s="137" t="s">
        <v>168</v>
      </c>
      <c r="E13" s="182" t="s">
        <v>169</v>
      </c>
      <c r="F13" s="137" t="s">
        <v>168</v>
      </c>
      <c r="G13" s="182" t="s">
        <v>169</v>
      </c>
      <c r="H13" s="137" t="s">
        <v>168</v>
      </c>
      <c r="I13" s="182" t="s">
        <v>169</v>
      </c>
      <c r="J13" s="137" t="s">
        <v>168</v>
      </c>
      <c r="K13" s="138" t="s">
        <v>169</v>
      </c>
    </row>
    <row r="14" spans="1:30">
      <c r="A14" s="139">
        <v>0</v>
      </c>
      <c r="B14" s="128">
        <v>1712.49186708465</v>
      </c>
      <c r="C14" s="127">
        <v>54</v>
      </c>
      <c r="D14" s="140">
        <v>1067.9803833583201</v>
      </c>
      <c r="E14" s="127">
        <v>222</v>
      </c>
      <c r="F14" s="127">
        <v>438.94953914940299</v>
      </c>
      <c r="G14" s="127">
        <v>778</v>
      </c>
      <c r="H14" s="140">
        <v>280.99556716705598</v>
      </c>
      <c r="I14" s="127">
        <v>2478</v>
      </c>
      <c r="J14" s="140">
        <v>17.520267527205799</v>
      </c>
      <c r="K14" s="129">
        <v>213763</v>
      </c>
      <c r="AD14" s="105"/>
    </row>
    <row r="15" spans="1:30">
      <c r="A15" s="172">
        <v>0.05</v>
      </c>
      <c r="B15" s="173">
        <v>2405.5302240368601</v>
      </c>
      <c r="C15" s="177">
        <v>0.95566502463054193</v>
      </c>
      <c r="D15" s="62">
        <v>1277.4788442868801</v>
      </c>
      <c r="E15" s="177">
        <v>0.86222732491389209</v>
      </c>
      <c r="F15" s="177">
        <v>0</v>
      </c>
      <c r="G15" s="177">
        <v>0.87461773700305812</v>
      </c>
      <c r="H15" s="62">
        <v>0</v>
      </c>
      <c r="I15" s="177">
        <v>0.8737373737373737</v>
      </c>
      <c r="J15" s="62">
        <v>0</v>
      </c>
      <c r="K15" s="178">
        <v>0.12550830518988215</v>
      </c>
      <c r="AD15" s="105"/>
    </row>
    <row r="16" spans="1:30">
      <c r="A16" s="172">
        <v>0.15000000000000002</v>
      </c>
      <c r="B16" s="173">
        <v>2093.6073892884501</v>
      </c>
      <c r="C16" s="177">
        <v>2.4630541871921183E-2</v>
      </c>
      <c r="D16" s="62">
        <v>1298.58483956845</v>
      </c>
      <c r="E16" s="177">
        <v>3.9035591274397242E-2</v>
      </c>
      <c r="F16" s="177">
        <v>430.92782217782201</v>
      </c>
      <c r="G16" s="177">
        <v>5.657492354740061E-2</v>
      </c>
      <c r="H16" s="62">
        <v>264.92380952381001</v>
      </c>
      <c r="I16" s="177">
        <v>5.5555555555555552E-2</v>
      </c>
      <c r="J16" s="62">
        <v>26.3485417322836</v>
      </c>
      <c r="K16" s="178">
        <v>8.2776207870976629E-2</v>
      </c>
      <c r="AD16" s="105"/>
    </row>
    <row r="17" spans="1:37">
      <c r="A17" s="172">
        <v>0.25</v>
      </c>
      <c r="B17" s="173">
        <v>1950.06684922105</v>
      </c>
      <c r="C17" s="177">
        <v>1.2315270935960592E-2</v>
      </c>
      <c r="D17" s="62">
        <v>1388.8591227951899</v>
      </c>
      <c r="E17" s="177">
        <v>2.7554535017221583E-2</v>
      </c>
      <c r="F17" s="177">
        <v>471.92593186212201</v>
      </c>
      <c r="G17" s="177">
        <v>2.7522935779816515E-2</v>
      </c>
      <c r="H17" s="62">
        <v>232.71103896103901</v>
      </c>
      <c r="I17" s="177">
        <v>1.5151515151515152E-2</v>
      </c>
      <c r="J17" s="62">
        <v>21.185226019845601</v>
      </c>
      <c r="K17" s="178">
        <v>4.1146874353849332E-2</v>
      </c>
      <c r="P17" s="103"/>
      <c r="Q17" s="104"/>
      <c r="R17" s="105"/>
      <c r="S17" s="105"/>
      <c r="T17" s="105"/>
      <c r="U17" s="105"/>
      <c r="V17" s="105"/>
      <c r="W17" s="105"/>
      <c r="X17" s="105"/>
      <c r="Y17" s="105"/>
      <c r="Z17" s="105"/>
      <c r="AA17" s="105"/>
      <c r="AB17" s="105"/>
      <c r="AC17" s="105"/>
      <c r="AD17" s="105"/>
    </row>
    <row r="18" spans="1:37">
      <c r="A18" s="172">
        <v>0.35</v>
      </c>
      <c r="B18" s="173">
        <v>1836.5780560902499</v>
      </c>
      <c r="C18" s="177">
        <v>7.3891625615763543E-3</v>
      </c>
      <c r="D18" s="62">
        <v>1372.3429113259599</v>
      </c>
      <c r="E18" s="177">
        <v>2.8702640642939151E-2</v>
      </c>
      <c r="F18" s="177">
        <v>435.15480462742102</v>
      </c>
      <c r="G18" s="177">
        <v>1.2232415902140673E-2</v>
      </c>
      <c r="H18" s="62">
        <v>276.68858338314402</v>
      </c>
      <c r="I18" s="177">
        <v>2.0202020202020204E-2</v>
      </c>
      <c r="J18" s="62">
        <v>19.207948623853198</v>
      </c>
      <c r="K18" s="178">
        <v>5.5896340202632851E-2</v>
      </c>
      <c r="P18" s="103"/>
      <c r="Q18" s="104"/>
      <c r="R18" s="105"/>
      <c r="S18" s="105"/>
      <c r="T18" s="105"/>
      <c r="U18" s="105"/>
      <c r="V18" s="105"/>
      <c r="W18" s="105"/>
      <c r="X18" s="105"/>
      <c r="Y18" s="105"/>
      <c r="Z18" s="105"/>
      <c r="AA18" s="105"/>
      <c r="AB18" s="105"/>
      <c r="AC18" s="105"/>
      <c r="AD18" s="105"/>
    </row>
    <row r="19" spans="1:37">
      <c r="A19" s="172">
        <v>0.45</v>
      </c>
      <c r="B19" s="173">
        <v>0</v>
      </c>
      <c r="C19" s="177">
        <v>0</v>
      </c>
      <c r="D19" s="62">
        <v>1208.7688506813599</v>
      </c>
      <c r="E19" s="177">
        <v>2.6406429391504019E-2</v>
      </c>
      <c r="F19" s="177">
        <v>530.37333845194098</v>
      </c>
      <c r="G19" s="177">
        <v>1.2232415902140673E-2</v>
      </c>
      <c r="H19" s="62">
        <v>209.69089390142</v>
      </c>
      <c r="I19" s="177">
        <v>1.0101010101010102E-2</v>
      </c>
      <c r="J19" s="62">
        <v>25.6147564469914</v>
      </c>
      <c r="K19" s="178">
        <v>1.2061479081949135E-2</v>
      </c>
      <c r="P19" s="103"/>
      <c r="Q19" s="104"/>
      <c r="R19" s="105"/>
      <c r="S19" s="105"/>
      <c r="T19" s="105"/>
      <c r="U19" s="105"/>
      <c r="V19" s="105"/>
      <c r="W19" s="105"/>
      <c r="X19" s="105"/>
      <c r="Y19" s="105"/>
      <c r="Z19" s="105"/>
      <c r="AA19" s="105"/>
      <c r="AB19" s="105"/>
      <c r="AC19" s="105"/>
      <c r="AD19" s="105"/>
    </row>
    <row r="20" spans="1:37">
      <c r="A20" s="172">
        <v>0.55000000000000004</v>
      </c>
      <c r="B20" s="173">
        <v>0</v>
      </c>
      <c r="C20" s="177">
        <v>0</v>
      </c>
      <c r="D20" s="62">
        <v>1436.0316118557901</v>
      </c>
      <c r="E20" s="177">
        <v>6.8886337543053958E-3</v>
      </c>
      <c r="F20" s="177">
        <v>412.13450860094002</v>
      </c>
      <c r="G20" s="177">
        <v>9.1743119266055051E-3</v>
      </c>
      <c r="H20" s="62">
        <v>306.08651911468797</v>
      </c>
      <c r="I20" s="177">
        <v>1.0101010101010102E-2</v>
      </c>
      <c r="J20" s="62">
        <v>29.3172708757638</v>
      </c>
      <c r="K20" s="178">
        <v>1.0751947067337515E-2</v>
      </c>
      <c r="P20" s="103"/>
      <c r="Q20" s="104"/>
      <c r="R20" s="105"/>
      <c r="S20" s="105"/>
      <c r="T20" s="105"/>
      <c r="U20" s="105"/>
      <c r="V20" s="105"/>
      <c r="W20" s="105"/>
      <c r="X20" s="105"/>
      <c r="Y20" s="105"/>
      <c r="Z20" s="105"/>
      <c r="AA20" s="105"/>
      <c r="AB20" s="105"/>
      <c r="AC20" s="105"/>
      <c r="AD20" s="105"/>
    </row>
    <row r="21" spans="1:37">
      <c r="A21" s="172">
        <v>0.65</v>
      </c>
      <c r="B21" s="173">
        <v>0</v>
      </c>
      <c r="C21" s="177">
        <v>0</v>
      </c>
      <c r="D21" s="62">
        <v>1384.7701594180501</v>
      </c>
      <c r="E21" s="177">
        <v>3.4443168771526979E-3</v>
      </c>
      <c r="F21" s="177">
        <v>418.60965121834698</v>
      </c>
      <c r="G21" s="177">
        <v>1.5290519877675841E-3</v>
      </c>
      <c r="H21" s="62">
        <v>0</v>
      </c>
      <c r="I21" s="177">
        <v>0</v>
      </c>
      <c r="J21" s="62">
        <v>19.9119323671496</v>
      </c>
      <c r="K21" s="178">
        <v>3.6253359983458543E-2</v>
      </c>
      <c r="P21" s="103"/>
      <c r="Q21" s="104"/>
      <c r="R21" s="105"/>
      <c r="S21" s="105"/>
      <c r="T21" s="105"/>
      <c r="U21" s="105"/>
      <c r="V21" s="105"/>
      <c r="W21" s="105"/>
      <c r="X21" s="105"/>
      <c r="Y21" s="105"/>
      <c r="Z21" s="105"/>
      <c r="AA21" s="105"/>
      <c r="AB21" s="105"/>
      <c r="AC21" s="105"/>
      <c r="AD21" s="105"/>
    </row>
    <row r="22" spans="1:37">
      <c r="A22" s="172">
        <v>0.75</v>
      </c>
      <c r="B22" s="173">
        <v>0</v>
      </c>
      <c r="C22" s="177">
        <v>0</v>
      </c>
      <c r="D22" s="62">
        <v>962.80071280071297</v>
      </c>
      <c r="E22" s="177">
        <v>3.4443168771526979E-3</v>
      </c>
      <c r="F22" s="177">
        <v>262.825979990159</v>
      </c>
      <c r="G22" s="177">
        <v>3.0581039755351682E-3</v>
      </c>
      <c r="H22" s="62">
        <v>247.42857142857099</v>
      </c>
      <c r="I22" s="177">
        <v>1.0101010101010102E-2</v>
      </c>
      <c r="J22" s="62">
        <v>16.356644767714599</v>
      </c>
      <c r="K22" s="131">
        <v>3.7149355572403335E-2</v>
      </c>
      <c r="L22" s="105"/>
      <c r="M22" s="105"/>
      <c r="N22" s="105"/>
    </row>
    <row r="23" spans="1:37">
      <c r="A23" s="172">
        <v>0.85</v>
      </c>
      <c r="B23" s="173">
        <v>0</v>
      </c>
      <c r="C23" s="177">
        <v>0</v>
      </c>
      <c r="D23" s="62">
        <v>1307.27367870225</v>
      </c>
      <c r="E23" s="177">
        <v>2.2962112514351321E-3</v>
      </c>
      <c r="F23" s="177">
        <v>458.127516048308</v>
      </c>
      <c r="G23" s="177">
        <v>3.0581039755351682E-3</v>
      </c>
      <c r="H23" s="62">
        <v>0</v>
      </c>
      <c r="I23" s="177">
        <v>0</v>
      </c>
      <c r="J23" s="62">
        <v>21.488366483283901</v>
      </c>
      <c r="K23" s="131">
        <v>3.0050313598456131E-2</v>
      </c>
      <c r="L23" s="105"/>
      <c r="M23" s="105"/>
      <c r="N23" s="105"/>
      <c r="P23" s="103"/>
      <c r="Q23" s="103"/>
      <c r="R23" s="103"/>
      <c r="S23" s="103"/>
      <c r="T23" s="103"/>
      <c r="U23" s="103"/>
      <c r="V23" s="103"/>
      <c r="W23" s="103"/>
      <c r="X23" s="103"/>
      <c r="Y23" s="103"/>
      <c r="Z23" s="103"/>
      <c r="AA23" s="103"/>
      <c r="AB23" s="103"/>
      <c r="AC23" s="103"/>
      <c r="AD23" s="103"/>
    </row>
    <row r="24" spans="1:37">
      <c r="A24" s="172">
        <v>0.95</v>
      </c>
      <c r="B24" s="173">
        <v>0</v>
      </c>
      <c r="C24" s="177">
        <v>0</v>
      </c>
      <c r="D24" s="62">
        <v>0</v>
      </c>
      <c r="E24" s="177">
        <v>0</v>
      </c>
      <c r="F24" s="177">
        <v>0</v>
      </c>
      <c r="G24" s="177">
        <v>0</v>
      </c>
      <c r="H24" s="62">
        <v>247.45596868884499</v>
      </c>
      <c r="I24" s="177">
        <v>5.0505050505050509E-3</v>
      </c>
      <c r="J24" s="62">
        <v>14.0836201449562</v>
      </c>
      <c r="K24" s="131">
        <v>0.56840581707905435</v>
      </c>
      <c r="P24" s="103"/>
      <c r="Q24" s="103"/>
      <c r="R24" s="103"/>
      <c r="S24" s="103"/>
      <c r="T24" s="103"/>
      <c r="U24" s="103"/>
      <c r="V24" s="103"/>
      <c r="W24" s="103"/>
      <c r="X24" s="105"/>
      <c r="Z24" s="105"/>
      <c r="AB24" s="103"/>
      <c r="AC24" s="103"/>
      <c r="AD24" s="103"/>
    </row>
    <row r="25" spans="1:37">
      <c r="A25" s="141">
        <v>1</v>
      </c>
      <c r="B25" s="125">
        <v>0</v>
      </c>
      <c r="C25" s="125">
        <v>0</v>
      </c>
      <c r="D25" s="125">
        <v>0</v>
      </c>
      <c r="E25" s="125">
        <v>0</v>
      </c>
      <c r="F25" s="142">
        <v>0</v>
      </c>
      <c r="G25" s="142">
        <v>0</v>
      </c>
      <c r="H25" s="179">
        <v>0</v>
      </c>
      <c r="I25" s="179">
        <v>0</v>
      </c>
      <c r="J25" s="125">
        <v>0</v>
      </c>
      <c r="K25" s="143">
        <v>0</v>
      </c>
      <c r="L25" s="103"/>
      <c r="M25" s="103"/>
      <c r="N25" s="103"/>
      <c r="P25" s="103"/>
      <c r="Q25" s="103"/>
      <c r="R25" s="105"/>
      <c r="S25" s="105"/>
      <c r="T25" s="105"/>
      <c r="U25" s="105"/>
      <c r="V25" s="105"/>
      <c r="W25" s="105"/>
      <c r="AB25" s="105"/>
      <c r="AC25" s="105"/>
      <c r="AD25" s="105"/>
      <c r="AE25" s="108"/>
    </row>
    <row r="26" spans="1:37" ht="15" customHeight="1">
      <c r="A26" s="170" t="s">
        <v>170</v>
      </c>
      <c r="B26" s="132">
        <v>5.7142857142857155E-2</v>
      </c>
      <c r="C26" s="133">
        <v>406</v>
      </c>
      <c r="D26" s="132">
        <v>8.8346727898966707E-2</v>
      </c>
      <c r="E26" s="133">
        <v>871</v>
      </c>
      <c r="F26" s="132">
        <v>7.9816513761467894E-2</v>
      </c>
      <c r="G26" s="133">
        <v>654</v>
      </c>
      <c r="H26" s="132">
        <v>8.5353535353535348E-2</v>
      </c>
      <c r="I26" s="133">
        <v>1420.9999999999998</v>
      </c>
      <c r="J26" s="132">
        <v>0.6768385140257771</v>
      </c>
      <c r="K26" s="134">
        <v>14509</v>
      </c>
      <c r="L26" s="104"/>
      <c r="M26" s="104"/>
      <c r="N26" s="104"/>
      <c r="P26" s="103"/>
      <c r="Q26" s="103"/>
      <c r="R26" s="105"/>
      <c r="S26" s="105"/>
      <c r="T26" s="105"/>
      <c r="U26" s="105"/>
      <c r="V26" s="105"/>
      <c r="W26" s="105"/>
      <c r="AB26" s="105"/>
      <c r="AC26" s="105"/>
      <c r="AD26" s="105"/>
    </row>
    <row r="27" spans="1:37" ht="16" thickBot="1">
      <c r="A27" s="171" t="s">
        <v>171</v>
      </c>
      <c r="B27" s="65">
        <v>4350</v>
      </c>
      <c r="C27" s="65"/>
      <c r="D27" s="65">
        <v>1500</v>
      </c>
      <c r="E27" s="65"/>
      <c r="F27" s="69">
        <v>712.5</v>
      </c>
      <c r="G27" s="69"/>
      <c r="H27" s="65">
        <v>287.5</v>
      </c>
      <c r="I27" s="65"/>
      <c r="J27" s="65">
        <v>75</v>
      </c>
      <c r="K27" s="135"/>
      <c r="L27" s="105"/>
      <c r="M27" s="105"/>
      <c r="N27" s="105"/>
    </row>
    <row r="28" spans="1:37">
      <c r="A28" s="103"/>
      <c r="B28" s="104"/>
      <c r="C28" s="105"/>
      <c r="D28" s="105"/>
      <c r="E28" s="105"/>
      <c r="F28" s="105"/>
      <c r="G28" s="105"/>
      <c r="H28" s="105"/>
      <c r="I28" s="105"/>
      <c r="J28" s="105"/>
      <c r="K28" s="105"/>
      <c r="L28" s="105"/>
      <c r="M28" s="105"/>
      <c r="N28" s="105"/>
    </row>
    <row r="29" spans="1:37">
      <c r="B29" s="104"/>
      <c r="C29" s="105"/>
      <c r="D29" s="105"/>
      <c r="E29" s="105"/>
      <c r="F29" s="105"/>
      <c r="G29" s="105"/>
      <c r="H29" s="105"/>
      <c r="I29" s="105"/>
      <c r="J29" s="105"/>
      <c r="K29" s="105"/>
      <c r="L29" s="105"/>
      <c r="M29" s="105"/>
      <c r="N29" s="105"/>
      <c r="X29" s="103"/>
      <c r="Y29" s="103"/>
      <c r="Z29" s="103"/>
      <c r="AA29" s="103"/>
      <c r="AB29" s="103"/>
      <c r="AC29" s="103"/>
      <c r="AD29" s="103"/>
      <c r="AE29" s="103"/>
      <c r="AF29" s="103"/>
      <c r="AG29" s="103" t="s">
        <v>23</v>
      </c>
      <c r="AH29" s="103" t="s">
        <v>23</v>
      </c>
      <c r="AI29" s="103" t="s">
        <v>23</v>
      </c>
      <c r="AJ29" s="103" t="s">
        <v>23</v>
      </c>
      <c r="AK29" s="103" t="s">
        <v>23</v>
      </c>
    </row>
    <row r="30" spans="1:37" ht="16" thickBot="1">
      <c r="B30" s="104"/>
      <c r="C30" s="105"/>
      <c r="D30" s="105"/>
      <c r="E30" s="105"/>
      <c r="F30" s="105"/>
      <c r="G30" s="105"/>
      <c r="H30" s="105"/>
      <c r="I30" s="105"/>
      <c r="J30" s="105"/>
      <c r="K30" s="105"/>
      <c r="L30" s="105"/>
      <c r="M30" s="105"/>
      <c r="N30" s="105"/>
      <c r="X30" s="103"/>
      <c r="Y30" s="103"/>
      <c r="Z30" s="103"/>
      <c r="AA30" s="103"/>
      <c r="AB30" s="103"/>
      <c r="AC30" s="103"/>
      <c r="AD30" s="103"/>
      <c r="AE30" s="103"/>
      <c r="AF30" s="103"/>
      <c r="AG30" s="103"/>
      <c r="AH30" s="103"/>
      <c r="AI30" s="103"/>
      <c r="AJ30" s="103"/>
      <c r="AK30" s="103"/>
    </row>
    <row r="31" spans="1:37" ht="15" customHeight="1">
      <c r="A31" s="325"/>
      <c r="B31" s="521" t="s">
        <v>172</v>
      </c>
      <c r="C31" s="521"/>
      <c r="D31" s="521" t="s">
        <v>247</v>
      </c>
      <c r="E31" s="521" t="s">
        <v>248</v>
      </c>
      <c r="F31" s="521" t="s">
        <v>173</v>
      </c>
      <c r="G31" s="508" t="s">
        <v>174</v>
      </c>
      <c r="H31" s="508" t="s">
        <v>175</v>
      </c>
      <c r="I31" s="508" t="s">
        <v>249</v>
      </c>
      <c r="J31" s="508" t="s">
        <v>250</v>
      </c>
      <c r="K31" s="521" t="s">
        <v>203</v>
      </c>
      <c r="L31" s="529" t="s">
        <v>204</v>
      </c>
      <c r="W31" s="103"/>
      <c r="X31" s="103"/>
      <c r="Y31" s="105"/>
      <c r="Z31" s="105"/>
      <c r="AA31" s="105"/>
      <c r="AB31" s="105"/>
      <c r="AC31" s="105"/>
      <c r="AD31" s="105"/>
      <c r="AE31" s="105"/>
      <c r="AF31" s="105"/>
      <c r="AG31" s="105"/>
      <c r="AH31" s="105"/>
      <c r="AI31" s="105"/>
      <c r="AJ31" s="105"/>
      <c r="AK31" s="108"/>
    </row>
    <row r="32" spans="1:37" ht="26" customHeight="1">
      <c r="A32" s="520"/>
      <c r="B32" s="522"/>
      <c r="C32" s="522"/>
      <c r="D32" s="522"/>
      <c r="E32" s="522"/>
      <c r="F32" s="522"/>
      <c r="G32" s="534"/>
      <c r="H32" s="534"/>
      <c r="I32" s="534"/>
      <c r="J32" s="534"/>
      <c r="K32" s="522"/>
      <c r="L32" s="530"/>
      <c r="W32" s="103"/>
      <c r="X32" s="103"/>
      <c r="Y32" s="105"/>
      <c r="Z32" s="105"/>
      <c r="AA32" s="105"/>
      <c r="AB32" s="105"/>
      <c r="AC32" s="105"/>
      <c r="AD32" s="105"/>
      <c r="AE32" s="105"/>
      <c r="AF32" s="105"/>
      <c r="AG32" s="105"/>
      <c r="AH32" s="105"/>
      <c r="AI32" s="105"/>
      <c r="AJ32" s="105"/>
      <c r="AK32" s="108"/>
    </row>
    <row r="33" spans="1:37">
      <c r="A33" s="519" t="s">
        <v>8</v>
      </c>
      <c r="B33" s="186">
        <v>0</v>
      </c>
      <c r="C33" s="186">
        <v>0</v>
      </c>
      <c r="D33" s="186">
        <f>C5</f>
        <v>0</v>
      </c>
      <c r="E33" s="186">
        <v>1</v>
      </c>
      <c r="F33" s="128">
        <f>C14</f>
        <v>54</v>
      </c>
      <c r="G33" s="184" t="s">
        <v>72</v>
      </c>
      <c r="H33" s="184" t="s">
        <v>72</v>
      </c>
      <c r="I33" s="180" t="s">
        <v>72</v>
      </c>
      <c r="J33" s="185" t="s">
        <v>72</v>
      </c>
      <c r="K33" s="186">
        <v>1</v>
      </c>
      <c r="L33" s="188">
        <v>1</v>
      </c>
      <c r="W33" s="103"/>
      <c r="X33" s="103"/>
      <c r="Y33" s="105"/>
      <c r="Z33" s="105"/>
      <c r="AA33" s="105"/>
      <c r="AB33" s="105"/>
      <c r="AC33" s="105"/>
      <c r="AD33" s="105"/>
      <c r="AE33" s="105"/>
      <c r="AF33" s="105"/>
      <c r="AG33" s="105"/>
      <c r="AH33" s="105"/>
      <c r="AI33" s="105"/>
      <c r="AJ33" s="105"/>
      <c r="AK33" s="108"/>
    </row>
    <row r="34" spans="1:37">
      <c r="A34" s="326"/>
      <c r="B34" s="59">
        <f>(C33+C34)/2</f>
        <v>0.05</v>
      </c>
      <c r="C34" s="59">
        <v>0.1</v>
      </c>
      <c r="D34" s="59">
        <f>D5</f>
        <v>0.57581198460691196</v>
      </c>
      <c r="E34" s="59">
        <f>E33-D33</f>
        <v>1</v>
      </c>
      <c r="F34" s="173">
        <f t="shared" ref="F34:F44" si="0">C15*$C$26</f>
        <v>388</v>
      </c>
      <c r="G34" s="173">
        <f>F33</f>
        <v>54</v>
      </c>
      <c r="H34" s="173">
        <f>SUM(F34:F44)</f>
        <v>406</v>
      </c>
      <c r="I34" s="190">
        <f>1.25*(E34^2)*((1-E34)^2)*((1/G34)+(1/H34))</f>
        <v>0</v>
      </c>
      <c r="J34" s="175">
        <f>1.96*SQRT(I34)</f>
        <v>0</v>
      </c>
      <c r="K34" s="59">
        <f>E34-J34</f>
        <v>1</v>
      </c>
      <c r="L34" s="189">
        <f>E34+J34</f>
        <v>1</v>
      </c>
      <c r="W34" s="103"/>
      <c r="X34" s="103"/>
      <c r="Y34" s="105"/>
      <c r="Z34" s="105"/>
      <c r="AA34" s="105"/>
      <c r="AB34" s="105"/>
      <c r="AC34" s="105"/>
      <c r="AD34" s="105"/>
      <c r="AE34" s="105"/>
      <c r="AF34" s="105"/>
      <c r="AG34" s="105"/>
      <c r="AH34" s="105"/>
      <c r="AI34" s="105"/>
      <c r="AJ34" s="105"/>
      <c r="AK34" s="108"/>
    </row>
    <row r="35" spans="1:37">
      <c r="A35" s="326"/>
      <c r="B35" s="59">
        <f t="shared" ref="B35:B42" si="1">(C34+C35)/2</f>
        <v>0.15000000000000002</v>
      </c>
      <c r="C35" s="59">
        <v>0.2</v>
      </c>
      <c r="D35" s="59">
        <f>E5</f>
        <v>0.168285050751766</v>
      </c>
      <c r="E35" s="59">
        <f t="shared" ref="E35:E44" si="2">E34-D34</f>
        <v>0.42418801539308804</v>
      </c>
      <c r="F35" s="173">
        <f t="shared" si="0"/>
        <v>10</v>
      </c>
      <c r="G35" s="173">
        <f>F34+G34</f>
        <v>442</v>
      </c>
      <c r="H35" s="173">
        <f>SUM(F35:F44)</f>
        <v>18</v>
      </c>
      <c r="I35" s="190">
        <f t="shared" ref="I35:I44" si="3">1.25*(E35^2)*((1-E35)^2)*((1/G35)+(1/H35))</f>
        <v>4.3117270280682721E-3</v>
      </c>
      <c r="J35" s="175">
        <f t="shared" ref="J35:J44" si="4">1.96*SQRT(I35)</f>
        <v>0.12870093453828171</v>
      </c>
      <c r="K35" s="59">
        <f t="shared" ref="K35:K44" si="5">E35-J35</f>
        <v>0.29548708085480635</v>
      </c>
      <c r="L35" s="189">
        <f t="shared" ref="L35:L44" si="6">E35+J35</f>
        <v>0.55288894993136972</v>
      </c>
      <c r="W35" s="103"/>
      <c r="X35" s="103"/>
      <c r="Y35" s="105"/>
      <c r="Z35" s="105"/>
      <c r="AA35" s="105"/>
      <c r="AB35" s="105"/>
      <c r="AC35" s="105"/>
      <c r="AD35" s="105"/>
      <c r="AE35" s="105"/>
      <c r="AF35" s="105"/>
      <c r="AG35" s="105"/>
      <c r="AH35" s="105"/>
      <c r="AI35" s="105"/>
      <c r="AJ35" s="105"/>
      <c r="AK35" s="108"/>
    </row>
    <row r="36" spans="1:37">
      <c r="A36" s="326"/>
      <c r="B36" s="59">
        <f t="shared" si="1"/>
        <v>0.25</v>
      </c>
      <c r="C36" s="59">
        <v>0.3</v>
      </c>
      <c r="D36" s="59">
        <f>F5</f>
        <v>0.14286386747054</v>
      </c>
      <c r="E36" s="59">
        <f t="shared" si="2"/>
        <v>0.25590296464132201</v>
      </c>
      <c r="F36" s="173">
        <f t="shared" si="0"/>
        <v>5</v>
      </c>
      <c r="G36" s="173">
        <f t="shared" ref="G36:G44" si="7">F35+G35</f>
        <v>452</v>
      </c>
      <c r="H36" s="173">
        <f>SUM(F36:F44)</f>
        <v>8</v>
      </c>
      <c r="I36" s="190">
        <f t="shared" si="3"/>
        <v>5.7656623530810552E-3</v>
      </c>
      <c r="J36" s="175">
        <f t="shared" si="4"/>
        <v>0.14882663906571356</v>
      </c>
      <c r="K36" s="59">
        <f t="shared" si="5"/>
        <v>0.10707632557560845</v>
      </c>
      <c r="L36" s="189">
        <f t="shared" si="6"/>
        <v>0.40472960370703559</v>
      </c>
      <c r="W36" s="103"/>
      <c r="X36" s="103"/>
      <c r="Y36" s="105"/>
      <c r="Z36" s="105"/>
      <c r="AA36" s="105"/>
      <c r="AB36" s="105"/>
      <c r="AC36" s="105"/>
      <c r="AD36" s="105"/>
      <c r="AE36" s="105"/>
      <c r="AF36" s="105"/>
      <c r="AG36" s="105"/>
      <c r="AH36" s="105"/>
      <c r="AI36" s="105"/>
      <c r="AJ36" s="105"/>
      <c r="AK36" s="108"/>
    </row>
    <row r="37" spans="1:37">
      <c r="A37" s="326"/>
      <c r="B37" s="59">
        <f t="shared" si="1"/>
        <v>0.35</v>
      </c>
      <c r="C37" s="59">
        <v>0.4</v>
      </c>
      <c r="D37" s="59">
        <f>G5</f>
        <v>0.113039097170782</v>
      </c>
      <c r="E37" s="59">
        <f t="shared" si="2"/>
        <v>0.113039097170782</v>
      </c>
      <c r="F37" s="173">
        <f t="shared" si="0"/>
        <v>3</v>
      </c>
      <c r="G37" s="173">
        <f t="shared" si="7"/>
        <v>457</v>
      </c>
      <c r="H37" s="173">
        <f>SUM(F37:F44)</f>
        <v>3</v>
      </c>
      <c r="I37" s="190">
        <f t="shared" si="3"/>
        <v>4.2159621524002948E-3</v>
      </c>
      <c r="J37" s="175">
        <f t="shared" si="4"/>
        <v>0.12726366411769297</v>
      </c>
      <c r="K37" s="59">
        <v>0</v>
      </c>
      <c r="L37" s="189">
        <f t="shared" si="6"/>
        <v>0.24030276128847497</v>
      </c>
      <c r="W37" s="103"/>
      <c r="X37" s="103"/>
      <c r="Y37" s="105"/>
      <c r="Z37" s="105"/>
      <c r="AA37" s="105"/>
      <c r="AB37" s="105"/>
      <c r="AC37" s="105"/>
      <c r="AD37" s="105"/>
      <c r="AE37" s="105"/>
      <c r="AF37" s="105"/>
      <c r="AG37" s="105"/>
      <c r="AH37" s="105"/>
      <c r="AI37" s="105"/>
      <c r="AJ37" s="105"/>
      <c r="AK37" s="108"/>
    </row>
    <row r="38" spans="1:37">
      <c r="A38" s="326"/>
      <c r="B38" s="59">
        <f t="shared" si="1"/>
        <v>0.45</v>
      </c>
      <c r="C38" s="59">
        <v>0.5</v>
      </c>
      <c r="D38" s="59">
        <f>H5</f>
        <v>0</v>
      </c>
      <c r="E38" s="59">
        <f t="shared" si="2"/>
        <v>0</v>
      </c>
      <c r="F38" s="173">
        <f t="shared" si="0"/>
        <v>0</v>
      </c>
      <c r="G38" s="173">
        <f t="shared" si="7"/>
        <v>460</v>
      </c>
      <c r="H38" s="173">
        <f>SUM(F38:F44)</f>
        <v>0</v>
      </c>
      <c r="I38" s="190" t="e">
        <f t="shared" si="3"/>
        <v>#DIV/0!</v>
      </c>
      <c r="J38" s="175" t="e">
        <f t="shared" si="4"/>
        <v>#DIV/0!</v>
      </c>
      <c r="K38" s="59" t="e">
        <f t="shared" si="5"/>
        <v>#DIV/0!</v>
      </c>
      <c r="L38" s="189" t="e">
        <f t="shared" si="6"/>
        <v>#DIV/0!</v>
      </c>
    </row>
    <row r="39" spans="1:37">
      <c r="A39" s="326"/>
      <c r="B39" s="59">
        <f t="shared" si="1"/>
        <v>0.55000000000000004</v>
      </c>
      <c r="C39" s="59">
        <v>0.6</v>
      </c>
      <c r="D39" s="59">
        <f>I5</f>
        <v>0</v>
      </c>
      <c r="E39" s="59">
        <f t="shared" si="2"/>
        <v>0</v>
      </c>
      <c r="F39" s="173">
        <f t="shared" si="0"/>
        <v>0</v>
      </c>
      <c r="G39" s="173">
        <f t="shared" si="7"/>
        <v>460</v>
      </c>
      <c r="H39" s="173">
        <f>SUM(F39:F44)</f>
        <v>0</v>
      </c>
      <c r="I39" s="190" t="e">
        <f t="shared" si="3"/>
        <v>#DIV/0!</v>
      </c>
      <c r="J39" s="175" t="e">
        <f t="shared" si="4"/>
        <v>#DIV/0!</v>
      </c>
      <c r="K39" s="59" t="e">
        <f t="shared" si="5"/>
        <v>#DIV/0!</v>
      </c>
      <c r="L39" s="189" t="e">
        <f t="shared" si="6"/>
        <v>#DIV/0!</v>
      </c>
      <c r="W39" s="103"/>
      <c r="X39" s="103"/>
      <c r="Y39" s="103"/>
      <c r="Z39" s="103"/>
      <c r="AA39" s="103"/>
      <c r="AB39" s="103"/>
      <c r="AC39" s="103"/>
      <c r="AD39" s="103"/>
      <c r="AE39" s="103"/>
      <c r="AF39" s="103"/>
      <c r="AG39" s="103"/>
      <c r="AH39" s="103"/>
      <c r="AI39" s="103"/>
      <c r="AJ39" s="103"/>
    </row>
    <row r="40" spans="1:37">
      <c r="A40" s="326"/>
      <c r="B40" s="59">
        <f t="shared" si="1"/>
        <v>0.64999999999999991</v>
      </c>
      <c r="C40" s="59">
        <v>0.7</v>
      </c>
      <c r="D40" s="59">
        <f>J5</f>
        <v>0</v>
      </c>
      <c r="E40" s="59">
        <f t="shared" si="2"/>
        <v>0</v>
      </c>
      <c r="F40" s="173">
        <f t="shared" si="0"/>
        <v>0</v>
      </c>
      <c r="G40" s="173">
        <f t="shared" si="7"/>
        <v>460</v>
      </c>
      <c r="H40" s="173">
        <f>SUM(F40:F44)</f>
        <v>0</v>
      </c>
      <c r="I40" s="190" t="e">
        <f t="shared" si="3"/>
        <v>#DIV/0!</v>
      </c>
      <c r="J40" s="175" t="e">
        <f t="shared" si="4"/>
        <v>#DIV/0!</v>
      </c>
      <c r="K40" s="59" t="e">
        <f t="shared" si="5"/>
        <v>#DIV/0!</v>
      </c>
      <c r="L40" s="189" t="e">
        <f t="shared" si="6"/>
        <v>#DIV/0!</v>
      </c>
      <c r="W40" s="103"/>
      <c r="X40" s="103"/>
      <c r="Y40" s="103"/>
      <c r="Z40" s="103"/>
      <c r="AA40" s="103"/>
      <c r="AB40" s="103"/>
      <c r="AC40" s="103"/>
      <c r="AD40" s="103"/>
      <c r="AE40" s="103"/>
      <c r="AF40" s="103"/>
      <c r="AG40" s="103"/>
      <c r="AH40" s="103"/>
      <c r="AI40" s="103"/>
      <c r="AJ40" s="103"/>
    </row>
    <row r="41" spans="1:37">
      <c r="A41" s="326"/>
      <c r="B41" s="59">
        <f t="shared" si="1"/>
        <v>0.75</v>
      </c>
      <c r="C41" s="59">
        <v>0.8</v>
      </c>
      <c r="D41" s="59">
        <f>K5</f>
        <v>0</v>
      </c>
      <c r="E41" s="59">
        <f t="shared" si="2"/>
        <v>0</v>
      </c>
      <c r="F41" s="173">
        <f t="shared" si="0"/>
        <v>0</v>
      </c>
      <c r="G41" s="173">
        <f t="shared" si="7"/>
        <v>460</v>
      </c>
      <c r="H41" s="173">
        <f>SUM(F41:F44)</f>
        <v>0</v>
      </c>
      <c r="I41" s="190" t="e">
        <f t="shared" si="3"/>
        <v>#DIV/0!</v>
      </c>
      <c r="J41" s="175" t="e">
        <f t="shared" si="4"/>
        <v>#DIV/0!</v>
      </c>
      <c r="K41" s="59" t="e">
        <f t="shared" si="5"/>
        <v>#DIV/0!</v>
      </c>
      <c r="L41" s="189" t="e">
        <f t="shared" si="6"/>
        <v>#DIV/0!</v>
      </c>
      <c r="W41" s="103"/>
      <c r="X41" s="103"/>
      <c r="Y41" s="105"/>
      <c r="Z41" s="105"/>
      <c r="AA41" s="105"/>
      <c r="AB41" s="105"/>
      <c r="AC41" s="105"/>
      <c r="AD41" s="105"/>
      <c r="AE41" s="105"/>
      <c r="AF41" s="105"/>
      <c r="AG41" s="105"/>
      <c r="AH41" s="105"/>
      <c r="AI41" s="105"/>
      <c r="AJ41" s="105"/>
    </row>
    <row r="42" spans="1:37">
      <c r="A42" s="326"/>
      <c r="B42" s="59">
        <f t="shared" si="1"/>
        <v>0.85000000000000009</v>
      </c>
      <c r="C42" s="59">
        <v>0.9</v>
      </c>
      <c r="D42" s="59">
        <f>L5</f>
        <v>0</v>
      </c>
      <c r="E42" s="59">
        <f t="shared" si="2"/>
        <v>0</v>
      </c>
      <c r="F42" s="173">
        <f t="shared" si="0"/>
        <v>0</v>
      </c>
      <c r="G42" s="173">
        <f t="shared" si="7"/>
        <v>460</v>
      </c>
      <c r="H42" s="173">
        <f>SUM(F42:F44)</f>
        <v>0</v>
      </c>
      <c r="I42" s="190" t="e">
        <f t="shared" si="3"/>
        <v>#DIV/0!</v>
      </c>
      <c r="J42" s="175" t="e">
        <f t="shared" si="4"/>
        <v>#DIV/0!</v>
      </c>
      <c r="K42" s="59" t="e">
        <f t="shared" si="5"/>
        <v>#DIV/0!</v>
      </c>
      <c r="L42" s="189" t="e">
        <f t="shared" si="6"/>
        <v>#DIV/0!</v>
      </c>
      <c r="W42" s="103"/>
      <c r="X42" s="103"/>
      <c r="Y42" s="105"/>
      <c r="Z42" s="105"/>
      <c r="AA42" s="105"/>
      <c r="AB42" s="105"/>
      <c r="AC42" s="105"/>
      <c r="AD42" s="105"/>
      <c r="AE42" s="105"/>
      <c r="AF42" s="105"/>
      <c r="AG42" s="105"/>
      <c r="AH42" s="105"/>
      <c r="AI42" s="105"/>
      <c r="AJ42" s="105"/>
    </row>
    <row r="43" spans="1:37">
      <c r="A43" s="326"/>
      <c r="B43" s="59">
        <f>C43</f>
        <v>0.95</v>
      </c>
      <c r="C43" s="59">
        <v>0.95</v>
      </c>
      <c r="D43" s="59">
        <f>M5</f>
        <v>0</v>
      </c>
      <c r="E43" s="59">
        <f t="shared" si="2"/>
        <v>0</v>
      </c>
      <c r="F43" s="173">
        <f t="shared" si="0"/>
        <v>0</v>
      </c>
      <c r="G43" s="173">
        <f t="shared" si="7"/>
        <v>460</v>
      </c>
      <c r="H43" s="173">
        <f>SUM(F43:F44)</f>
        <v>0</v>
      </c>
      <c r="I43" s="190" t="e">
        <f t="shared" si="3"/>
        <v>#DIV/0!</v>
      </c>
      <c r="J43" s="175" t="e">
        <f t="shared" si="4"/>
        <v>#DIV/0!</v>
      </c>
      <c r="K43" s="59" t="e">
        <f t="shared" si="5"/>
        <v>#DIV/0!</v>
      </c>
      <c r="L43" s="189" t="e">
        <f t="shared" si="6"/>
        <v>#DIV/0!</v>
      </c>
      <c r="W43" s="103"/>
      <c r="X43" s="103"/>
      <c r="Y43" s="105"/>
      <c r="Z43" s="105"/>
      <c r="AA43" s="105"/>
      <c r="AB43" s="105"/>
      <c r="AC43" s="105"/>
      <c r="AD43" s="105"/>
      <c r="AE43" s="105"/>
      <c r="AF43" s="105"/>
      <c r="AG43" s="105"/>
      <c r="AH43" s="105"/>
      <c r="AI43" s="105"/>
      <c r="AJ43" s="105"/>
    </row>
    <row r="44" spans="1:37">
      <c r="A44" s="520"/>
      <c r="B44" s="187">
        <f>C44</f>
        <v>1</v>
      </c>
      <c r="C44" s="187">
        <v>1</v>
      </c>
      <c r="D44" s="187">
        <f>N5</f>
        <v>0</v>
      </c>
      <c r="E44" s="59">
        <f t="shared" si="2"/>
        <v>0</v>
      </c>
      <c r="F44" s="126">
        <f t="shared" si="0"/>
        <v>0</v>
      </c>
      <c r="G44" s="126">
        <f t="shared" si="7"/>
        <v>460</v>
      </c>
      <c r="H44" s="126">
        <f>SUM(F44)</f>
        <v>0</v>
      </c>
      <c r="I44" s="191" t="e">
        <f t="shared" si="3"/>
        <v>#DIV/0!</v>
      </c>
      <c r="J44" s="192" t="e">
        <f t="shared" si="4"/>
        <v>#DIV/0!</v>
      </c>
      <c r="K44" s="59" t="e">
        <f t="shared" si="5"/>
        <v>#DIV/0!</v>
      </c>
      <c r="L44" s="189" t="e">
        <f t="shared" si="6"/>
        <v>#DIV/0!</v>
      </c>
      <c r="W44" s="103"/>
      <c r="X44" s="103"/>
      <c r="Y44" s="105"/>
      <c r="Z44" s="105"/>
      <c r="AA44" s="105"/>
      <c r="AB44" s="105"/>
      <c r="AC44" s="105"/>
      <c r="AD44" s="105"/>
      <c r="AE44" s="105"/>
      <c r="AF44" s="105"/>
      <c r="AG44" s="105"/>
      <c r="AH44" s="105"/>
      <c r="AI44" s="105"/>
      <c r="AJ44" s="105"/>
    </row>
    <row r="45" spans="1:37" ht="15" customHeight="1">
      <c r="A45" s="519" t="s">
        <v>7</v>
      </c>
      <c r="B45" s="186">
        <v>0</v>
      </c>
      <c r="C45" s="186">
        <v>0</v>
      </c>
      <c r="D45" s="186">
        <f>C6</f>
        <v>0</v>
      </c>
      <c r="E45" s="186">
        <v>1</v>
      </c>
      <c r="F45" s="128">
        <f>E14</f>
        <v>222</v>
      </c>
      <c r="G45" s="128"/>
      <c r="H45" s="128"/>
      <c r="I45" s="180" t="s">
        <v>72</v>
      </c>
      <c r="J45" s="185" t="s">
        <v>72</v>
      </c>
      <c r="K45" s="186">
        <v>1</v>
      </c>
      <c r="L45" s="188">
        <v>1</v>
      </c>
      <c r="W45" s="103"/>
      <c r="X45" s="103"/>
      <c r="Y45" s="105"/>
      <c r="Z45" s="105"/>
      <c r="AA45" s="105"/>
      <c r="AB45" s="105"/>
      <c r="AC45" s="105"/>
      <c r="AD45" s="105"/>
      <c r="AE45" s="105"/>
      <c r="AF45" s="105"/>
      <c r="AG45" s="105"/>
      <c r="AH45" s="105"/>
      <c r="AI45" s="105"/>
      <c r="AJ45" s="105"/>
    </row>
    <row r="46" spans="1:37">
      <c r="A46" s="326"/>
      <c r="B46" s="59">
        <f>(C45+C46)/2</f>
        <v>0.05</v>
      </c>
      <c r="C46" s="59">
        <v>0.1</v>
      </c>
      <c r="D46" s="59">
        <f>D6</f>
        <v>0.21525056368651999</v>
      </c>
      <c r="E46" s="59">
        <f>E45-D45</f>
        <v>1</v>
      </c>
      <c r="F46" s="173">
        <f t="shared" ref="F46:F56" si="8">E15*$E$26</f>
        <v>751</v>
      </c>
      <c r="G46" s="173">
        <f>F45</f>
        <v>222</v>
      </c>
      <c r="H46" s="173">
        <f>SUM(F46:F56)</f>
        <v>871</v>
      </c>
      <c r="I46" s="190">
        <f>1.25*(E46^2)*((1-E46)^2)*((1/G46)+(1/H46))</f>
        <v>0</v>
      </c>
      <c r="J46" s="175">
        <f>1.96*SQRT(I46)</f>
        <v>0</v>
      </c>
      <c r="K46" s="59">
        <f>E46-J46</f>
        <v>1</v>
      </c>
      <c r="L46" s="189">
        <f>E46+J46</f>
        <v>1</v>
      </c>
      <c r="W46" s="103"/>
      <c r="X46" s="103"/>
      <c r="Y46" s="105"/>
      <c r="Z46" s="105"/>
      <c r="AA46" s="105"/>
      <c r="AB46" s="105"/>
      <c r="AC46" s="105"/>
      <c r="AD46" s="105"/>
      <c r="AE46" s="105"/>
      <c r="AF46" s="105"/>
      <c r="AG46" s="105"/>
      <c r="AH46" s="105"/>
      <c r="AI46" s="105"/>
      <c r="AJ46" s="105"/>
    </row>
    <row r="47" spans="1:37">
      <c r="A47" s="326"/>
      <c r="B47" s="59">
        <f t="shared" ref="B47:B54" si="9">(C46+C47)/2</f>
        <v>0.15000000000000002</v>
      </c>
      <c r="C47" s="59">
        <v>0.2</v>
      </c>
      <c r="D47" s="59">
        <f>E6</f>
        <v>9.7557069382789102E-2</v>
      </c>
      <c r="E47" s="59">
        <f t="shared" ref="E47:E56" si="10">E46-D46</f>
        <v>0.78474943631348004</v>
      </c>
      <c r="F47" s="173">
        <f t="shared" si="8"/>
        <v>34</v>
      </c>
      <c r="G47" s="173">
        <f>F46+G46</f>
        <v>973</v>
      </c>
      <c r="H47" s="173">
        <f>SUM(F47:F56)</f>
        <v>120</v>
      </c>
      <c r="I47" s="190">
        <f t="shared" ref="I47:I56" si="11">1.25*(E47^2)*((1-E47)^2)*((1/G47)+(1/H47))</f>
        <v>3.3387715820323003E-4</v>
      </c>
      <c r="J47" s="175">
        <f t="shared" ref="J47:J56" si="12">1.96*SQRT(I47)</f>
        <v>3.5813719311927492E-2</v>
      </c>
      <c r="K47" s="59">
        <f t="shared" ref="K47:K56" si="13">E47-J47</f>
        <v>0.74893571700155259</v>
      </c>
      <c r="L47" s="189">
        <f t="shared" ref="L47:L56" si="14">E47+J47</f>
        <v>0.82056315562540749</v>
      </c>
      <c r="W47" s="103"/>
      <c r="X47" s="103"/>
      <c r="Y47" s="105"/>
      <c r="Z47" s="105"/>
      <c r="AA47" s="105"/>
      <c r="AB47" s="105"/>
      <c r="AC47" s="105"/>
      <c r="AD47" s="105"/>
      <c r="AE47" s="105"/>
      <c r="AF47" s="105"/>
      <c r="AG47" s="105"/>
      <c r="AH47" s="105"/>
      <c r="AI47" s="105"/>
      <c r="AJ47" s="105"/>
    </row>
    <row r="48" spans="1:37">
      <c r="A48" s="326"/>
      <c r="B48" s="59">
        <f t="shared" si="9"/>
        <v>0.25</v>
      </c>
      <c r="C48" s="59">
        <v>0.3</v>
      </c>
      <c r="D48" s="59">
        <f>F6</f>
        <v>0.129318547692749</v>
      </c>
      <c r="E48" s="59">
        <f t="shared" si="10"/>
        <v>0.68719236693069097</v>
      </c>
      <c r="F48" s="173">
        <f t="shared" si="8"/>
        <v>24</v>
      </c>
      <c r="G48" s="173">
        <f t="shared" ref="G48:G56" si="15">F47+G47</f>
        <v>1007</v>
      </c>
      <c r="H48" s="173">
        <f>SUM(F48:F56)</f>
        <v>86</v>
      </c>
      <c r="I48" s="190">
        <f t="shared" si="11"/>
        <v>7.2897660553624495E-4</v>
      </c>
      <c r="J48" s="175">
        <f t="shared" si="12"/>
        <v>5.2919150860799326E-2</v>
      </c>
      <c r="K48" s="59">
        <f t="shared" si="13"/>
        <v>0.63427321606989162</v>
      </c>
      <c r="L48" s="189">
        <f t="shared" si="14"/>
        <v>0.74011151779149031</v>
      </c>
    </row>
    <row r="49" spans="1:12">
      <c r="A49" s="326"/>
      <c r="B49" s="59">
        <f t="shared" si="9"/>
        <v>0.35</v>
      </c>
      <c r="C49" s="59">
        <v>0.4</v>
      </c>
      <c r="D49" s="59">
        <f>G6</f>
        <v>0.18658346599909098</v>
      </c>
      <c r="E49" s="59">
        <f t="shared" si="10"/>
        <v>0.55787381923794199</v>
      </c>
      <c r="F49" s="173">
        <f t="shared" si="8"/>
        <v>25</v>
      </c>
      <c r="G49" s="173">
        <f t="shared" si="15"/>
        <v>1031</v>
      </c>
      <c r="H49" s="173">
        <f>SUM(F49:F56)</f>
        <v>62</v>
      </c>
      <c r="I49" s="190">
        <f t="shared" si="11"/>
        <v>1.3003020487276978E-3</v>
      </c>
      <c r="J49" s="175">
        <f t="shared" si="12"/>
        <v>7.0677014300211671E-2</v>
      </c>
      <c r="K49" s="59">
        <f t="shared" si="13"/>
        <v>0.48719680493773032</v>
      </c>
      <c r="L49" s="189">
        <f t="shared" si="14"/>
        <v>0.62855083353815366</v>
      </c>
    </row>
    <row r="50" spans="1:12">
      <c r="A50" s="326"/>
      <c r="B50" s="59">
        <f t="shared" si="9"/>
        <v>0.45</v>
      </c>
      <c r="C50" s="59">
        <v>0.5</v>
      </c>
      <c r="D50" s="59">
        <f>H6</f>
        <v>0.19426373300903901</v>
      </c>
      <c r="E50" s="59">
        <f t="shared" si="10"/>
        <v>0.37129035323885101</v>
      </c>
      <c r="F50" s="173">
        <f t="shared" si="8"/>
        <v>23</v>
      </c>
      <c r="G50" s="173">
        <f t="shared" si="15"/>
        <v>1056</v>
      </c>
      <c r="H50" s="173">
        <f>SUM(F50:F56)</f>
        <v>37</v>
      </c>
      <c r="I50" s="190">
        <f t="shared" si="11"/>
        <v>1.9054261107412371E-3</v>
      </c>
      <c r="J50" s="175">
        <f t="shared" si="12"/>
        <v>8.5556326166003269E-2</v>
      </c>
      <c r="K50" s="59">
        <f t="shared" si="13"/>
        <v>0.28573402707284773</v>
      </c>
      <c r="L50" s="189">
        <f t="shared" si="14"/>
        <v>0.45684667940485429</v>
      </c>
    </row>
    <row r="51" spans="1:12">
      <c r="A51" s="326"/>
      <c r="B51" s="59">
        <f t="shared" si="9"/>
        <v>0.55000000000000004</v>
      </c>
      <c r="C51" s="59">
        <v>0.6</v>
      </c>
      <c r="D51" s="59">
        <f>I6</f>
        <v>7.872466301002029E-2</v>
      </c>
      <c r="E51" s="59">
        <f t="shared" si="10"/>
        <v>0.177026620229812</v>
      </c>
      <c r="F51" s="173">
        <f t="shared" si="8"/>
        <v>6</v>
      </c>
      <c r="G51" s="173">
        <f t="shared" si="15"/>
        <v>1079</v>
      </c>
      <c r="H51" s="173">
        <f>SUM(F51:F56)</f>
        <v>14</v>
      </c>
      <c r="I51" s="190">
        <f t="shared" si="11"/>
        <v>1.9196825874765017E-3</v>
      </c>
      <c r="J51" s="175">
        <f t="shared" si="12"/>
        <v>8.587579768508545E-2</v>
      </c>
      <c r="K51" s="59">
        <f t="shared" si="13"/>
        <v>9.1150822544726548E-2</v>
      </c>
      <c r="L51" s="189">
        <f t="shared" si="14"/>
        <v>0.26290241791489743</v>
      </c>
    </row>
    <row r="52" spans="1:12">
      <c r="A52" s="326"/>
      <c r="B52" s="59">
        <f t="shared" si="9"/>
        <v>0.64999999999999991</v>
      </c>
      <c r="C52" s="59">
        <v>0.7</v>
      </c>
      <c r="D52" s="59">
        <f>J6</f>
        <v>4.56455604117421E-2</v>
      </c>
      <c r="E52" s="59">
        <f t="shared" si="10"/>
        <v>9.8301957219791708E-2</v>
      </c>
      <c r="F52" s="173">
        <f t="shared" si="8"/>
        <v>3</v>
      </c>
      <c r="G52" s="173">
        <f t="shared" si="15"/>
        <v>1085</v>
      </c>
      <c r="H52" s="173">
        <f>SUM(F52:F56)</f>
        <v>8</v>
      </c>
      <c r="I52" s="190">
        <f t="shared" si="11"/>
        <v>1.2366791348487976E-3</v>
      </c>
      <c r="J52" s="175">
        <f t="shared" si="12"/>
        <v>6.8926240028273272E-2</v>
      </c>
      <c r="K52" s="59">
        <f t="shared" si="13"/>
        <v>2.9375717191518436E-2</v>
      </c>
      <c r="L52" s="189">
        <f t="shared" si="14"/>
        <v>0.16722819724806498</v>
      </c>
    </row>
    <row r="53" spans="1:12">
      <c r="A53" s="326"/>
      <c r="B53" s="59">
        <f t="shared" si="9"/>
        <v>0.75</v>
      </c>
      <c r="C53" s="59">
        <v>0.8</v>
      </c>
      <c r="D53" s="59">
        <f>K6</f>
        <v>2.5192108821106597E-2</v>
      </c>
      <c r="E53" s="59">
        <f t="shared" si="10"/>
        <v>5.2656396808049608E-2</v>
      </c>
      <c r="F53" s="173">
        <f t="shared" si="8"/>
        <v>3</v>
      </c>
      <c r="G53" s="173">
        <f t="shared" si="15"/>
        <v>1088</v>
      </c>
      <c r="H53" s="173">
        <f>SUM(F53:F56)</f>
        <v>5</v>
      </c>
      <c r="I53" s="190">
        <f t="shared" si="11"/>
        <v>6.2495479505604557E-4</v>
      </c>
      <c r="J53" s="175">
        <f t="shared" si="12"/>
        <v>4.8998227934153954E-2</v>
      </c>
      <c r="K53" s="59">
        <f t="shared" si="13"/>
        <v>3.6581688738956536E-3</v>
      </c>
      <c r="L53" s="189">
        <f t="shared" si="14"/>
        <v>0.10165462474220356</v>
      </c>
    </row>
    <row r="54" spans="1:12">
      <c r="A54" s="326"/>
      <c r="B54" s="59">
        <f t="shared" si="9"/>
        <v>0.85000000000000009</v>
      </c>
      <c r="C54" s="59">
        <v>0.9</v>
      </c>
      <c r="D54" s="59">
        <f>L6</f>
        <v>2.7464287986944499E-2</v>
      </c>
      <c r="E54" s="59">
        <f t="shared" si="10"/>
        <v>2.746428798694301E-2</v>
      </c>
      <c r="F54" s="173">
        <f t="shared" si="8"/>
        <v>2</v>
      </c>
      <c r="G54" s="173">
        <f t="shared" si="15"/>
        <v>1091</v>
      </c>
      <c r="H54" s="173">
        <f>SUM(F54:F56)</f>
        <v>2</v>
      </c>
      <c r="I54" s="190">
        <f t="shared" si="11"/>
        <v>4.4670748867591681E-4</v>
      </c>
      <c r="J54" s="175">
        <f t="shared" si="12"/>
        <v>4.1425493219724038E-2</v>
      </c>
      <c r="K54" s="59">
        <v>0</v>
      </c>
      <c r="L54" s="189">
        <f t="shared" si="14"/>
        <v>6.8889781206667056E-2</v>
      </c>
    </row>
    <row r="55" spans="1:12">
      <c r="A55" s="326"/>
      <c r="B55" s="59">
        <f>C55</f>
        <v>0.95</v>
      </c>
      <c r="C55" s="59">
        <v>0.95</v>
      </c>
      <c r="D55" s="59">
        <f>M6</f>
        <v>0</v>
      </c>
      <c r="E55" s="59">
        <f t="shared" si="10"/>
        <v>-1.4883927423881005E-15</v>
      </c>
      <c r="F55" s="173">
        <f t="shared" si="8"/>
        <v>0</v>
      </c>
      <c r="G55" s="173">
        <f t="shared" si="15"/>
        <v>1093</v>
      </c>
      <c r="H55" s="173">
        <f>SUM(F55:F56)</f>
        <v>0</v>
      </c>
      <c r="I55" s="190" t="e">
        <f t="shared" si="11"/>
        <v>#DIV/0!</v>
      </c>
      <c r="J55" s="175" t="e">
        <f t="shared" si="12"/>
        <v>#DIV/0!</v>
      </c>
      <c r="K55" s="59" t="e">
        <f t="shared" si="13"/>
        <v>#DIV/0!</v>
      </c>
      <c r="L55" s="189" t="e">
        <f t="shared" si="14"/>
        <v>#DIV/0!</v>
      </c>
    </row>
    <row r="56" spans="1:12">
      <c r="A56" s="520"/>
      <c r="B56" s="187">
        <f>C56</f>
        <v>1</v>
      </c>
      <c r="C56" s="187">
        <v>1</v>
      </c>
      <c r="D56" s="187">
        <f>N6</f>
        <v>0</v>
      </c>
      <c r="E56" s="59">
        <f t="shared" si="10"/>
        <v>-1.4883927423881005E-15</v>
      </c>
      <c r="F56" s="126">
        <f t="shared" si="8"/>
        <v>0</v>
      </c>
      <c r="G56" s="126">
        <f t="shared" si="15"/>
        <v>1093</v>
      </c>
      <c r="H56" s="126">
        <f>SUM(F56)</f>
        <v>0</v>
      </c>
      <c r="I56" s="191" t="e">
        <f t="shared" si="11"/>
        <v>#DIV/0!</v>
      </c>
      <c r="J56" s="192" t="e">
        <f t="shared" si="12"/>
        <v>#DIV/0!</v>
      </c>
      <c r="K56" s="59" t="e">
        <f t="shared" si="13"/>
        <v>#DIV/0!</v>
      </c>
      <c r="L56" s="189" t="e">
        <f t="shared" si="14"/>
        <v>#DIV/0!</v>
      </c>
    </row>
    <row r="57" spans="1:12">
      <c r="A57" s="519" t="s">
        <v>6</v>
      </c>
      <c r="B57" s="186">
        <v>0</v>
      </c>
      <c r="C57" s="186">
        <v>0</v>
      </c>
      <c r="D57" s="186">
        <f>C7</f>
        <v>0</v>
      </c>
      <c r="E57" s="186">
        <v>1</v>
      </c>
      <c r="F57" s="128">
        <f>G14</f>
        <v>778</v>
      </c>
      <c r="G57" s="128"/>
      <c r="H57" s="128"/>
      <c r="I57" s="180" t="s">
        <v>72</v>
      </c>
      <c r="J57" s="185" t="s">
        <v>72</v>
      </c>
      <c r="K57" s="186">
        <v>1</v>
      </c>
      <c r="L57" s="188">
        <v>1</v>
      </c>
    </row>
    <row r="58" spans="1:12">
      <c r="A58" s="326"/>
      <c r="B58" s="59">
        <f>(C57+C58)/2</f>
        <v>0.05</v>
      </c>
      <c r="C58" s="59">
        <v>0.1</v>
      </c>
      <c r="D58" s="59">
        <f>D7</f>
        <v>0.34016661416980598</v>
      </c>
      <c r="E58" s="59">
        <f>E57-D57</f>
        <v>1</v>
      </c>
      <c r="F58" s="173">
        <f t="shared" ref="F58:F68" si="16">G15*$G$26</f>
        <v>572</v>
      </c>
      <c r="G58" s="173">
        <f>F57</f>
        <v>778</v>
      </c>
      <c r="H58" s="173">
        <f>SUM(F58:F68)</f>
        <v>654</v>
      </c>
      <c r="I58" s="190">
        <f>1.25*(E58^2)*((1-E58)^2)*((1/G58)+(1/H58))</f>
        <v>0</v>
      </c>
      <c r="J58" s="175">
        <f>1.96*SQRT(I58)</f>
        <v>0</v>
      </c>
      <c r="K58" s="59">
        <f>E58-J58</f>
        <v>1</v>
      </c>
      <c r="L58" s="189">
        <f>E58+J58</f>
        <v>1</v>
      </c>
    </row>
    <row r="59" spans="1:12" ht="15" customHeight="1">
      <c r="A59" s="326"/>
      <c r="B59" s="59">
        <f t="shared" ref="B59:B66" si="17">(C58+C59)/2</f>
        <v>0.15000000000000002</v>
      </c>
      <c r="C59" s="59">
        <v>0.2</v>
      </c>
      <c r="D59" s="59">
        <f>E7</f>
        <v>0.17425001900748299</v>
      </c>
      <c r="E59" s="59">
        <f t="shared" ref="E59:E68" si="18">E58-D58</f>
        <v>0.65983338583019402</v>
      </c>
      <c r="F59" s="173">
        <f t="shared" si="16"/>
        <v>37</v>
      </c>
      <c r="G59" s="173">
        <f>F58+G58</f>
        <v>1350</v>
      </c>
      <c r="H59" s="173">
        <f>SUM(F59:F68)</f>
        <v>82</v>
      </c>
      <c r="I59" s="190">
        <f t="shared" ref="I59:I68" si="19">1.25*(E59^2)*((1-E59)^2)*((1/G59)+(1/H59))</f>
        <v>8.1462429201686502E-4</v>
      </c>
      <c r="J59" s="175">
        <f t="shared" ref="J59:J68" si="20">1.96*SQRT(I59)</f>
        <v>5.5941582746754571E-2</v>
      </c>
      <c r="K59" s="59">
        <f t="shared" ref="K59:K68" si="21">E59-J59</f>
        <v>0.60389180308343948</v>
      </c>
      <c r="L59" s="189">
        <f t="shared" ref="L59:L68" si="22">E59+J59</f>
        <v>0.71577496857694856</v>
      </c>
    </row>
    <row r="60" spans="1:12">
      <c r="A60" s="326"/>
      <c r="B60" s="59">
        <f t="shared" si="17"/>
        <v>0.25</v>
      </c>
      <c r="C60" s="59">
        <v>0.3</v>
      </c>
      <c r="D60" s="59">
        <f>F7</f>
        <v>0.137148823165235</v>
      </c>
      <c r="E60" s="59">
        <f t="shared" si="18"/>
        <v>0.48558336682271103</v>
      </c>
      <c r="F60" s="173">
        <f t="shared" si="16"/>
        <v>18</v>
      </c>
      <c r="G60" s="173">
        <f>F59+G59</f>
        <v>1387</v>
      </c>
      <c r="H60" s="173">
        <f>SUM(F60:F68)</f>
        <v>45</v>
      </c>
      <c r="I60" s="190">
        <f t="shared" si="19"/>
        <v>1.7894586419700527E-3</v>
      </c>
      <c r="J60" s="175">
        <f t="shared" si="20"/>
        <v>8.2911906979589819E-2</v>
      </c>
      <c r="K60" s="59">
        <f t="shared" si="21"/>
        <v>0.40267145984312119</v>
      </c>
      <c r="L60" s="189">
        <f t="shared" si="22"/>
        <v>0.5684952738023008</v>
      </c>
    </row>
    <row r="61" spans="1:12">
      <c r="A61" s="326"/>
      <c r="B61" s="59">
        <f t="shared" si="17"/>
        <v>0.35</v>
      </c>
      <c r="C61" s="59">
        <v>0.4</v>
      </c>
      <c r="D61" s="59">
        <f>G7</f>
        <v>8.6438558762087808E-2</v>
      </c>
      <c r="E61" s="59">
        <f t="shared" si="18"/>
        <v>0.34843454365747606</v>
      </c>
      <c r="F61" s="173">
        <f t="shared" si="16"/>
        <v>8</v>
      </c>
      <c r="G61" s="173">
        <f t="shared" ref="G61:G68" si="23">F60+G60</f>
        <v>1405</v>
      </c>
      <c r="H61" s="173">
        <f>SUM(F61:F68)</f>
        <v>27</v>
      </c>
      <c r="I61" s="190">
        <f t="shared" si="19"/>
        <v>2.4320441471221851E-3</v>
      </c>
      <c r="J61" s="175">
        <f t="shared" si="20"/>
        <v>9.6658888859662492E-2</v>
      </c>
      <c r="K61" s="59">
        <f t="shared" si="21"/>
        <v>0.25177565479781355</v>
      </c>
      <c r="L61" s="189">
        <f t="shared" si="22"/>
        <v>0.44509343251713857</v>
      </c>
    </row>
    <row r="62" spans="1:12">
      <c r="A62" s="326"/>
      <c r="B62" s="59">
        <f t="shared" si="17"/>
        <v>0.45</v>
      </c>
      <c r="C62" s="59">
        <v>0.5</v>
      </c>
      <c r="D62" s="59">
        <f>H7</f>
        <v>0.11901591922000501</v>
      </c>
      <c r="E62" s="59">
        <f t="shared" si="18"/>
        <v>0.26199598489538822</v>
      </c>
      <c r="F62" s="173">
        <f t="shared" si="16"/>
        <v>8</v>
      </c>
      <c r="G62" s="173">
        <f t="shared" si="23"/>
        <v>1413</v>
      </c>
      <c r="H62" s="173">
        <f>SUM(F62:F68)</f>
        <v>19</v>
      </c>
      <c r="I62" s="190">
        <f t="shared" si="19"/>
        <v>2.4926654203288575E-3</v>
      </c>
      <c r="J62" s="175">
        <f t="shared" si="20"/>
        <v>9.785613664321384E-2</v>
      </c>
      <c r="K62" s="59">
        <f t="shared" si="21"/>
        <v>0.16413984825217437</v>
      </c>
      <c r="L62" s="189">
        <f t="shared" si="22"/>
        <v>0.35985212153860208</v>
      </c>
    </row>
    <row r="63" spans="1:12">
      <c r="A63" s="326"/>
      <c r="B63" s="59">
        <f t="shared" si="17"/>
        <v>0.55000000000000004</v>
      </c>
      <c r="C63" s="59">
        <v>0.6</v>
      </c>
      <c r="D63" s="59">
        <f>I7</f>
        <v>7.1432947028858704E-2</v>
      </c>
      <c r="E63" s="59">
        <f t="shared" si="18"/>
        <v>0.14298006567538321</v>
      </c>
      <c r="F63" s="173">
        <f t="shared" si="16"/>
        <v>6</v>
      </c>
      <c r="G63" s="173">
        <f t="shared" si="23"/>
        <v>1421</v>
      </c>
      <c r="H63" s="173">
        <f>SUM(F63:F68)</f>
        <v>11</v>
      </c>
      <c r="I63" s="190">
        <f t="shared" si="19"/>
        <v>1.7194878041067339E-3</v>
      </c>
      <c r="J63" s="175">
        <f t="shared" si="20"/>
        <v>8.1274746067006742E-2</v>
      </c>
      <c r="K63" s="59">
        <f t="shared" si="21"/>
        <v>6.1705319608376469E-2</v>
      </c>
      <c r="L63" s="189">
        <f t="shared" si="22"/>
        <v>0.22425481174238995</v>
      </c>
    </row>
    <row r="64" spans="1:12">
      <c r="A64" s="326"/>
      <c r="B64" s="59">
        <f t="shared" si="17"/>
        <v>0.64999999999999991</v>
      </c>
      <c r="C64" s="59">
        <v>0.7</v>
      </c>
      <c r="D64" s="59">
        <f>J7</f>
        <v>1.3032616841716501E-2</v>
      </c>
      <c r="E64" s="59">
        <f t="shared" si="18"/>
        <v>7.1547118646524507E-2</v>
      </c>
      <c r="F64" s="173">
        <f t="shared" si="16"/>
        <v>1</v>
      </c>
      <c r="G64" s="173">
        <f t="shared" si="23"/>
        <v>1427</v>
      </c>
      <c r="H64" s="173">
        <f>SUM(F64:F68)</f>
        <v>5</v>
      </c>
      <c r="I64" s="190">
        <f t="shared" si="19"/>
        <v>1.1070394237879767E-3</v>
      </c>
      <c r="J64" s="175">
        <f t="shared" si="20"/>
        <v>6.5213515856944029E-2</v>
      </c>
      <c r="K64" s="59">
        <f t="shared" si="21"/>
        <v>6.3336027895804781E-3</v>
      </c>
      <c r="L64" s="189">
        <f t="shared" si="22"/>
        <v>0.13676063450346854</v>
      </c>
    </row>
    <row r="65" spans="1:12">
      <c r="A65" s="326"/>
      <c r="B65" s="59">
        <f t="shared" si="17"/>
        <v>0.75</v>
      </c>
      <c r="C65" s="59">
        <v>0.8</v>
      </c>
      <c r="D65" s="59">
        <f>K7</f>
        <v>1.5022320216359498E-2</v>
      </c>
      <c r="E65" s="59">
        <f t="shared" si="18"/>
        <v>5.8514501804808008E-2</v>
      </c>
      <c r="F65" s="173">
        <f t="shared" si="16"/>
        <v>2</v>
      </c>
      <c r="G65" s="173">
        <f t="shared" si="23"/>
        <v>1428</v>
      </c>
      <c r="H65" s="173">
        <f>SUM(F65:F68)</f>
        <v>4</v>
      </c>
      <c r="I65" s="190">
        <f t="shared" si="19"/>
        <v>9.5108454742030965E-4</v>
      </c>
      <c r="J65" s="175">
        <f t="shared" si="20"/>
        <v>6.0445731010302636E-2</v>
      </c>
      <c r="K65" s="59">
        <f t="shared" si="21"/>
        <v>-1.9312292054946278E-3</v>
      </c>
      <c r="L65" s="189">
        <f t="shared" si="22"/>
        <v>0.11896023281511064</v>
      </c>
    </row>
    <row r="66" spans="1:12">
      <c r="A66" s="326"/>
      <c r="B66" s="59">
        <f t="shared" si="17"/>
        <v>0.85000000000000009</v>
      </c>
      <c r="C66" s="59">
        <v>0.9</v>
      </c>
      <c r="D66" s="59">
        <f>L7</f>
        <v>4.3492181588446303E-2</v>
      </c>
      <c r="E66" s="59">
        <f t="shared" si="18"/>
        <v>4.349218158844851E-2</v>
      </c>
      <c r="F66" s="173">
        <f t="shared" si="16"/>
        <v>2</v>
      </c>
      <c r="G66" s="173">
        <f t="shared" si="23"/>
        <v>1430</v>
      </c>
      <c r="H66" s="173">
        <f>SUM(F66:F68)</f>
        <v>2</v>
      </c>
      <c r="I66" s="190">
        <f t="shared" si="19"/>
        <v>1.0831445819108768E-3</v>
      </c>
      <c r="J66" s="175">
        <f t="shared" si="20"/>
        <v>6.4505877452126978E-2</v>
      </c>
      <c r="K66" s="59">
        <v>0</v>
      </c>
      <c r="L66" s="189">
        <f t="shared" si="22"/>
        <v>0.10799805904057549</v>
      </c>
    </row>
    <row r="67" spans="1:12">
      <c r="A67" s="326"/>
      <c r="B67" s="59">
        <f>C67</f>
        <v>0.95</v>
      </c>
      <c r="C67" s="59">
        <v>0.95</v>
      </c>
      <c r="D67" s="59">
        <f>M7</f>
        <v>0</v>
      </c>
      <c r="E67" s="59">
        <f t="shared" si="18"/>
        <v>2.2065682614424986E-15</v>
      </c>
      <c r="F67" s="173">
        <f t="shared" si="16"/>
        <v>0</v>
      </c>
      <c r="G67" s="173">
        <f t="shared" si="23"/>
        <v>1432</v>
      </c>
      <c r="H67" s="173">
        <f>SUM(F67:F68)</f>
        <v>0</v>
      </c>
      <c r="I67" s="190" t="e">
        <f t="shared" si="19"/>
        <v>#DIV/0!</v>
      </c>
      <c r="J67" s="175" t="e">
        <f t="shared" si="20"/>
        <v>#DIV/0!</v>
      </c>
      <c r="K67" s="59" t="e">
        <f t="shared" si="21"/>
        <v>#DIV/0!</v>
      </c>
      <c r="L67" s="189" t="e">
        <f t="shared" si="22"/>
        <v>#DIV/0!</v>
      </c>
    </row>
    <row r="68" spans="1:12">
      <c r="A68" s="520"/>
      <c r="B68" s="187">
        <f>C68</f>
        <v>1</v>
      </c>
      <c r="C68" s="187">
        <v>1</v>
      </c>
      <c r="D68" s="187">
        <f>N7</f>
        <v>0</v>
      </c>
      <c r="E68" s="59">
        <f t="shared" si="18"/>
        <v>2.2065682614424986E-15</v>
      </c>
      <c r="F68" s="126">
        <f t="shared" si="16"/>
        <v>0</v>
      </c>
      <c r="G68" s="126">
        <f t="shared" si="23"/>
        <v>1432</v>
      </c>
      <c r="H68" s="126">
        <f>SUM(F68)</f>
        <v>0</v>
      </c>
      <c r="I68" s="191" t="e">
        <f t="shared" si="19"/>
        <v>#DIV/0!</v>
      </c>
      <c r="J68" s="192" t="e">
        <f t="shared" si="20"/>
        <v>#DIV/0!</v>
      </c>
      <c r="K68" s="59" t="e">
        <f t="shared" si="21"/>
        <v>#DIV/0!</v>
      </c>
      <c r="L68" s="189" t="e">
        <f t="shared" si="22"/>
        <v>#DIV/0!</v>
      </c>
    </row>
    <row r="69" spans="1:12">
      <c r="A69" s="519" t="s">
        <v>5</v>
      </c>
      <c r="B69" s="186">
        <v>0</v>
      </c>
      <c r="C69" s="186">
        <v>0</v>
      </c>
      <c r="D69" s="186">
        <f>C8</f>
        <v>0</v>
      </c>
      <c r="E69" s="186">
        <v>1</v>
      </c>
      <c r="F69" s="128">
        <f>I14</f>
        <v>2478</v>
      </c>
      <c r="G69" s="128"/>
      <c r="H69" s="128"/>
      <c r="I69" s="180" t="s">
        <v>72</v>
      </c>
      <c r="J69" s="185" t="s">
        <v>72</v>
      </c>
      <c r="K69" s="186">
        <v>1</v>
      </c>
      <c r="L69" s="188">
        <v>1</v>
      </c>
    </row>
    <row r="70" spans="1:12">
      <c r="A70" s="326"/>
      <c r="B70" s="59">
        <f>(C69+C70)/2</f>
        <v>0.05</v>
      </c>
      <c r="C70" s="59">
        <v>0.1</v>
      </c>
      <c r="D70" s="59">
        <f>D8</f>
        <v>0.298402353262742</v>
      </c>
      <c r="E70" s="59">
        <f>E69-D69</f>
        <v>1</v>
      </c>
      <c r="F70" s="173">
        <f t="shared" ref="F70:F80" si="24">I15*$I$26</f>
        <v>1241.5808080808079</v>
      </c>
      <c r="G70" s="173">
        <f>F69</f>
        <v>2478</v>
      </c>
      <c r="H70" s="173">
        <f>SUM(F70:F80)</f>
        <v>1420.9999999999995</v>
      </c>
      <c r="I70" s="190">
        <f>1.25*(E70^2)*((1-E70)^2)*((1/G70)+(1/H70))</f>
        <v>0</v>
      </c>
      <c r="J70" s="175">
        <f>1.96*SQRT(I70)</f>
        <v>0</v>
      </c>
      <c r="K70" s="59">
        <f>E70-J70</f>
        <v>1</v>
      </c>
      <c r="L70" s="189">
        <f>E70+J70</f>
        <v>1</v>
      </c>
    </row>
    <row r="71" spans="1:12">
      <c r="A71" s="326"/>
      <c r="B71" s="59">
        <f t="shared" ref="B71:B78" si="25">(C70+C71)/2</f>
        <v>0.15000000000000002</v>
      </c>
      <c r="C71" s="59">
        <v>0.2</v>
      </c>
      <c r="D71" s="59">
        <f>E8</f>
        <v>0.13732254513074302</v>
      </c>
      <c r="E71" s="59">
        <f t="shared" ref="E71:E80" si="26">E70-D70</f>
        <v>0.701597646737258</v>
      </c>
      <c r="F71" s="173">
        <f t="shared" si="24"/>
        <v>78.944444444444429</v>
      </c>
      <c r="G71" s="173">
        <f>F70+G70</f>
        <v>3719.5808080808079</v>
      </c>
      <c r="H71" s="173">
        <f>SUM(F71:F80)</f>
        <v>179.41919191919192</v>
      </c>
      <c r="I71" s="190">
        <f t="shared" ref="I71:I80" si="27">1.25*(E71^2)*((1-E71)^2)*((1/G71)+(1/H71))</f>
        <v>3.2009662012472503E-4</v>
      </c>
      <c r="J71" s="175">
        <f t="shared" ref="J71:J80" si="28">1.96*SQRT(I71)</f>
        <v>3.5066838692290804E-2</v>
      </c>
      <c r="K71" s="59">
        <f t="shared" ref="K71:K80" si="29">E71-J71</f>
        <v>0.66653080804496723</v>
      </c>
      <c r="L71" s="189">
        <f t="shared" ref="L71:L80" si="30">E71+J71</f>
        <v>0.73666448542954877</v>
      </c>
    </row>
    <row r="72" spans="1:12">
      <c r="A72" s="326"/>
      <c r="B72" s="59">
        <f t="shared" si="25"/>
        <v>0.25</v>
      </c>
      <c r="C72" s="59">
        <v>0.3</v>
      </c>
      <c r="D72" s="59">
        <f>F8</f>
        <v>7.1007686800258901E-2</v>
      </c>
      <c r="E72" s="59">
        <f t="shared" si="26"/>
        <v>0.56427510160651495</v>
      </c>
      <c r="F72" s="173">
        <f t="shared" si="24"/>
        <v>21.530303030303028</v>
      </c>
      <c r="G72" s="173">
        <f t="shared" ref="G72:G80" si="31">F71+G71</f>
        <v>3798.5252525252522</v>
      </c>
      <c r="H72" s="173">
        <f>SUM(F72:F80)</f>
        <v>100.47474747474746</v>
      </c>
      <c r="I72" s="190">
        <f t="shared" si="27"/>
        <v>7.7196540247301759E-4</v>
      </c>
      <c r="J72" s="175">
        <f t="shared" si="28"/>
        <v>5.4457160136572896E-2</v>
      </c>
      <c r="K72" s="59">
        <f t="shared" si="29"/>
        <v>0.50981794146994208</v>
      </c>
      <c r="L72" s="189">
        <f t="shared" si="30"/>
        <v>0.61873226174308782</v>
      </c>
    </row>
    <row r="73" spans="1:12" ht="15" customHeight="1">
      <c r="A73" s="326"/>
      <c r="B73" s="59">
        <f t="shared" si="25"/>
        <v>0.35</v>
      </c>
      <c r="C73" s="59">
        <v>0.4</v>
      </c>
      <c r="D73" s="59">
        <f>G8</f>
        <v>0.11125417812278901</v>
      </c>
      <c r="E73" s="59">
        <f t="shared" si="26"/>
        <v>0.49326741480625602</v>
      </c>
      <c r="F73" s="173">
        <f t="shared" si="24"/>
        <v>28.707070707070706</v>
      </c>
      <c r="G73" s="173">
        <f t="shared" si="31"/>
        <v>3820.0555555555552</v>
      </c>
      <c r="H73" s="173">
        <f>SUM(F73:F80)</f>
        <v>78.944444444444443</v>
      </c>
      <c r="I73" s="190">
        <f t="shared" si="27"/>
        <v>1.0097050186974018E-3</v>
      </c>
      <c r="J73" s="175">
        <f t="shared" si="28"/>
        <v>6.22806775800323E-2</v>
      </c>
      <c r="K73" s="59">
        <f t="shared" si="29"/>
        <v>0.43098673722622372</v>
      </c>
      <c r="L73" s="189">
        <f t="shared" si="30"/>
        <v>0.55554809238628833</v>
      </c>
    </row>
    <row r="74" spans="1:12">
      <c r="A74" s="326"/>
      <c r="B74" s="59">
        <f t="shared" si="25"/>
        <v>0.45</v>
      </c>
      <c r="C74" s="59">
        <v>0.5</v>
      </c>
      <c r="D74" s="59">
        <f>H8</f>
        <v>7.3618012578677797E-2</v>
      </c>
      <c r="E74" s="59">
        <f t="shared" si="26"/>
        <v>0.38201323668346698</v>
      </c>
      <c r="F74" s="173">
        <f t="shared" si="24"/>
        <v>14.353535353535353</v>
      </c>
      <c r="G74" s="173">
        <f t="shared" si="31"/>
        <v>3848.7626262626259</v>
      </c>
      <c r="H74" s="173">
        <f>SUM(F74:F80)</f>
        <v>50.237373737373737</v>
      </c>
      <c r="I74" s="190">
        <f t="shared" si="27"/>
        <v>1.4048513161179458E-3</v>
      </c>
      <c r="J74" s="175">
        <f t="shared" si="28"/>
        <v>7.3463438634457492E-2</v>
      </c>
      <c r="K74" s="59">
        <f t="shared" si="29"/>
        <v>0.3085497980490095</v>
      </c>
      <c r="L74" s="189">
        <f t="shared" si="30"/>
        <v>0.45547667531792446</v>
      </c>
    </row>
    <row r="75" spans="1:12">
      <c r="A75" s="326"/>
      <c r="B75" s="59">
        <f t="shared" si="25"/>
        <v>0.55000000000000004</v>
      </c>
      <c r="C75" s="59">
        <v>0.6</v>
      </c>
      <c r="D75" s="59">
        <f>I8</f>
        <v>0.11730195080240399</v>
      </c>
      <c r="E75" s="59">
        <f t="shared" si="26"/>
        <v>0.3083952241047892</v>
      </c>
      <c r="F75" s="173">
        <f t="shared" si="24"/>
        <v>14.353535353535353</v>
      </c>
      <c r="G75" s="173">
        <f t="shared" si="31"/>
        <v>3863.1161616161612</v>
      </c>
      <c r="H75" s="173">
        <f>SUM(F75:F80)</f>
        <v>35.883838383838381</v>
      </c>
      <c r="I75" s="190">
        <f t="shared" si="27"/>
        <v>1.5994027699174841E-3</v>
      </c>
      <c r="J75" s="175">
        <f t="shared" si="28"/>
        <v>7.8385366497293399E-2</v>
      </c>
      <c r="K75" s="59">
        <f t="shared" si="29"/>
        <v>0.23000985760749582</v>
      </c>
      <c r="L75" s="189">
        <f t="shared" si="30"/>
        <v>0.38678059060208259</v>
      </c>
    </row>
    <row r="76" spans="1:12">
      <c r="A76" s="326"/>
      <c r="B76" s="59">
        <f t="shared" si="25"/>
        <v>0.64999999999999991</v>
      </c>
      <c r="C76" s="59">
        <v>0.7</v>
      </c>
      <c r="D76" s="59">
        <f>J8</f>
        <v>0</v>
      </c>
      <c r="E76" s="59">
        <f t="shared" si="26"/>
        <v>0.19109327330238521</v>
      </c>
      <c r="F76" s="173">
        <f t="shared" si="24"/>
        <v>0</v>
      </c>
      <c r="G76" s="173">
        <f t="shared" si="31"/>
        <v>3877.4696969696965</v>
      </c>
      <c r="H76" s="173">
        <f>SUM(F76:F80)</f>
        <v>21.530303030303031</v>
      </c>
      <c r="I76" s="190">
        <f t="shared" si="27"/>
        <v>1.3949299103535797E-3</v>
      </c>
      <c r="J76" s="175">
        <f t="shared" si="28"/>
        <v>7.3203570566020282E-2</v>
      </c>
      <c r="K76" s="59">
        <f t="shared" si="29"/>
        <v>0.11788970273636493</v>
      </c>
      <c r="L76" s="189">
        <f t="shared" si="30"/>
        <v>0.26429684386840546</v>
      </c>
    </row>
    <row r="77" spans="1:12">
      <c r="A77" s="326"/>
      <c r="B77" s="59">
        <f t="shared" si="25"/>
        <v>0.75</v>
      </c>
      <c r="C77" s="59">
        <v>0.8</v>
      </c>
      <c r="D77" s="59">
        <f>K8</f>
        <v>0.110057519827875</v>
      </c>
      <c r="E77" s="59">
        <f t="shared" si="26"/>
        <v>0.19109327330238521</v>
      </c>
      <c r="F77" s="173">
        <f t="shared" si="24"/>
        <v>14.353535353535353</v>
      </c>
      <c r="G77" s="173">
        <f t="shared" si="31"/>
        <v>3877.4696969696965</v>
      </c>
      <c r="H77" s="173">
        <f>SUM(F77:F80)</f>
        <v>21.530303030303031</v>
      </c>
      <c r="I77" s="190">
        <f t="shared" si="27"/>
        <v>1.3949299103535797E-3</v>
      </c>
      <c r="J77" s="175">
        <f t="shared" si="28"/>
        <v>7.3203570566020282E-2</v>
      </c>
      <c r="K77" s="59">
        <f t="shared" si="29"/>
        <v>0.11788970273636493</v>
      </c>
      <c r="L77" s="189">
        <f t="shared" si="30"/>
        <v>0.26429684386840546</v>
      </c>
    </row>
    <row r="78" spans="1:12">
      <c r="A78" s="326"/>
      <c r="B78" s="59">
        <f t="shared" si="25"/>
        <v>0.85000000000000009</v>
      </c>
      <c r="C78" s="59">
        <v>0.9</v>
      </c>
      <c r="D78" s="59">
        <f>L8</f>
        <v>0</v>
      </c>
      <c r="E78" s="59">
        <f t="shared" si="26"/>
        <v>8.1035753474510211E-2</v>
      </c>
      <c r="F78" s="173">
        <f t="shared" si="24"/>
        <v>0</v>
      </c>
      <c r="G78" s="173">
        <f t="shared" si="31"/>
        <v>3891.8232323232319</v>
      </c>
      <c r="H78" s="173">
        <f>SUM(F78:F80)</f>
        <v>7.1767676767676765</v>
      </c>
      <c r="I78" s="190">
        <f t="shared" si="27"/>
        <v>9.6768015177105661E-4</v>
      </c>
      <c r="J78" s="175">
        <f t="shared" si="28"/>
        <v>6.0970813271955714E-2</v>
      </c>
      <c r="K78" s="59">
        <f t="shared" si="29"/>
        <v>2.0064940202554497E-2</v>
      </c>
      <c r="L78" s="189">
        <f t="shared" si="30"/>
        <v>0.14200656674646592</v>
      </c>
    </row>
    <row r="79" spans="1:12">
      <c r="A79" s="326"/>
      <c r="B79" s="59">
        <f>C79</f>
        <v>0.95</v>
      </c>
      <c r="C79" s="59">
        <v>0.95</v>
      </c>
      <c r="D79" s="59">
        <f>M8</f>
        <v>8.1035753474511307E-2</v>
      </c>
      <c r="E79" s="59">
        <f t="shared" si="26"/>
        <v>8.1035753474510211E-2</v>
      </c>
      <c r="F79" s="173">
        <f t="shared" si="24"/>
        <v>7.1767676767676765</v>
      </c>
      <c r="G79" s="173">
        <f t="shared" si="31"/>
        <v>3891.8232323232319</v>
      </c>
      <c r="H79" s="173">
        <f>SUM(F79:F80)</f>
        <v>7.1767676767676765</v>
      </c>
      <c r="I79" s="190">
        <f t="shared" si="27"/>
        <v>9.6768015177105661E-4</v>
      </c>
      <c r="J79" s="175">
        <f t="shared" si="28"/>
        <v>6.0970813271955714E-2</v>
      </c>
      <c r="K79" s="59">
        <f t="shared" si="29"/>
        <v>2.0064940202554497E-2</v>
      </c>
      <c r="L79" s="189">
        <f t="shared" si="30"/>
        <v>0.14200656674646592</v>
      </c>
    </row>
    <row r="80" spans="1:12">
      <c r="A80" s="520"/>
      <c r="B80" s="187">
        <f>C80</f>
        <v>1</v>
      </c>
      <c r="C80" s="187">
        <v>1</v>
      </c>
      <c r="D80" s="187">
        <f>N8</f>
        <v>0</v>
      </c>
      <c r="E80" s="59">
        <f t="shared" si="26"/>
        <v>-1.0963452368173421E-15</v>
      </c>
      <c r="F80" s="126">
        <f t="shared" si="24"/>
        <v>0</v>
      </c>
      <c r="G80" s="126">
        <f t="shared" si="31"/>
        <v>3898.9999999999995</v>
      </c>
      <c r="H80" s="126">
        <f>SUM(F80)</f>
        <v>0</v>
      </c>
      <c r="I80" s="191" t="e">
        <f t="shared" si="27"/>
        <v>#DIV/0!</v>
      </c>
      <c r="J80" s="192" t="e">
        <f t="shared" si="28"/>
        <v>#DIV/0!</v>
      </c>
      <c r="K80" s="59" t="e">
        <f t="shared" si="29"/>
        <v>#DIV/0!</v>
      </c>
      <c r="L80" s="189" t="e">
        <f t="shared" si="30"/>
        <v>#DIV/0!</v>
      </c>
    </row>
    <row r="81" spans="1:14">
      <c r="A81" s="518" t="s">
        <v>4</v>
      </c>
      <c r="B81" s="186">
        <v>0</v>
      </c>
      <c r="C81" s="186">
        <v>0</v>
      </c>
      <c r="D81" s="59">
        <f>C9</f>
        <v>0</v>
      </c>
      <c r="E81" s="186">
        <v>1</v>
      </c>
      <c r="F81" s="173">
        <f>K14</f>
        <v>213763</v>
      </c>
      <c r="G81" s="177"/>
      <c r="H81" s="177"/>
      <c r="I81" s="180" t="s">
        <v>72</v>
      </c>
      <c r="J81" s="185" t="s">
        <v>72</v>
      </c>
      <c r="K81" s="186">
        <v>1</v>
      </c>
      <c r="L81" s="188">
        <v>1</v>
      </c>
    </row>
    <row r="82" spans="1:14">
      <c r="A82" s="326"/>
      <c r="B82" s="59">
        <f>(C81+C82)/2</f>
        <v>0.05</v>
      </c>
      <c r="C82" s="59">
        <v>0.1</v>
      </c>
      <c r="D82" s="59">
        <f>D9</f>
        <v>6.4104384518194196E-2</v>
      </c>
      <c r="E82" s="59">
        <f>E81-D81</f>
        <v>1</v>
      </c>
      <c r="F82" s="173">
        <f t="shared" ref="F82:F92" si="32">K15*$K$26</f>
        <v>1821.0000000000002</v>
      </c>
      <c r="G82" s="173">
        <f>F81</f>
        <v>213763</v>
      </c>
      <c r="H82" s="173">
        <f>SUM(F82:F92)</f>
        <v>14509</v>
      </c>
      <c r="I82" s="190">
        <f>1.25*(E82^2)*((1-E82)^2)*((1/G82)+(1/H82))</f>
        <v>0</v>
      </c>
      <c r="J82" s="175">
        <f>1.96*SQRT(I82)</f>
        <v>0</v>
      </c>
      <c r="K82" s="59">
        <f>E82-J82</f>
        <v>1</v>
      </c>
      <c r="L82" s="189">
        <f>E82+J82</f>
        <v>1</v>
      </c>
    </row>
    <row r="83" spans="1:14">
      <c r="A83" s="326"/>
      <c r="B83" s="59">
        <f t="shared" ref="B83:B90" si="33">(C82+C83)/2</f>
        <v>0.15000000000000002</v>
      </c>
      <c r="C83" s="59">
        <v>0.2</v>
      </c>
      <c r="D83" s="59">
        <f>E9</f>
        <v>5.5709279289201399E-2</v>
      </c>
      <c r="E83" s="59">
        <f t="shared" ref="E83:E92" si="34">E82-D82</f>
        <v>0.93589561548180578</v>
      </c>
      <c r="F83" s="173">
        <f t="shared" si="32"/>
        <v>1201</v>
      </c>
      <c r="G83" s="173">
        <f>F82+G82</f>
        <v>215584</v>
      </c>
      <c r="H83" s="173">
        <f>SUM(F83:F92)</f>
        <v>12688</v>
      </c>
      <c r="I83" s="190">
        <f t="shared" ref="I83:I92" si="35">1.25*(E83^2)*((1-E83)^2)*((1/G83)+(1/H83))</f>
        <v>3.7547692816269147E-7</v>
      </c>
      <c r="J83" s="175">
        <f t="shared" ref="J83:J92" si="36">1.96*SQRT(I83)</f>
        <v>1.2010129754627115E-3</v>
      </c>
      <c r="K83" s="59">
        <f t="shared" ref="K83:K92" si="37">E83-J83</f>
        <v>0.93469460250634306</v>
      </c>
      <c r="L83" s="189">
        <f t="shared" ref="L83:L92" si="38">E83+J83</f>
        <v>0.93709662845726849</v>
      </c>
    </row>
    <row r="84" spans="1:14">
      <c r="A84" s="326"/>
      <c r="B84" s="59">
        <f t="shared" si="33"/>
        <v>0.25</v>
      </c>
      <c r="C84" s="59">
        <v>0.3</v>
      </c>
      <c r="D84" s="59">
        <f>F9</f>
        <v>3.5357893006972001E-2</v>
      </c>
      <c r="E84" s="59">
        <f t="shared" si="34"/>
        <v>0.88018633619260433</v>
      </c>
      <c r="F84" s="173">
        <f t="shared" si="32"/>
        <v>597</v>
      </c>
      <c r="G84" s="173">
        <f t="shared" ref="G84:G92" si="39">F83+G83</f>
        <v>216785</v>
      </c>
      <c r="H84" s="173">
        <f>SUM(F84:F92)</f>
        <v>11487</v>
      </c>
      <c r="I84" s="190">
        <f t="shared" si="35"/>
        <v>1.2743500764941624E-6</v>
      </c>
      <c r="J84" s="175">
        <f t="shared" si="36"/>
        <v>2.2125874567709121E-3</v>
      </c>
      <c r="K84" s="59">
        <f t="shared" si="37"/>
        <v>0.87797374873583345</v>
      </c>
      <c r="L84" s="189">
        <f t="shared" si="38"/>
        <v>0.88239892364937522</v>
      </c>
    </row>
    <row r="85" spans="1:14">
      <c r="A85" s="326"/>
      <c r="B85" s="59">
        <f t="shared" si="33"/>
        <v>0.35</v>
      </c>
      <c r="C85" s="59">
        <v>0.4</v>
      </c>
      <c r="D85" s="59">
        <f>G9</f>
        <v>4.4718294457673301E-2</v>
      </c>
      <c r="E85" s="59">
        <f t="shared" si="34"/>
        <v>0.84482844318563233</v>
      </c>
      <c r="F85" s="173">
        <f t="shared" si="32"/>
        <v>811</v>
      </c>
      <c r="G85" s="173">
        <f t="shared" si="39"/>
        <v>217382</v>
      </c>
      <c r="H85" s="173">
        <f>SUM(F85:F92)</f>
        <v>10890</v>
      </c>
      <c r="I85" s="190">
        <f t="shared" si="35"/>
        <v>2.0714406079556855E-6</v>
      </c>
      <c r="J85" s="175">
        <f t="shared" si="36"/>
        <v>2.8209300309512391E-3</v>
      </c>
      <c r="K85" s="59">
        <f t="shared" si="37"/>
        <v>0.84200751315468114</v>
      </c>
      <c r="L85" s="189">
        <f t="shared" si="38"/>
        <v>0.84764937321658351</v>
      </c>
    </row>
    <row r="86" spans="1:14">
      <c r="A86" s="326"/>
      <c r="B86" s="59">
        <f t="shared" si="33"/>
        <v>0.45</v>
      </c>
      <c r="C86" s="59">
        <v>0.5</v>
      </c>
      <c r="D86" s="59">
        <f>H9</f>
        <v>4.8433020914394803E-2</v>
      </c>
      <c r="E86" s="59">
        <f t="shared" si="34"/>
        <v>0.80011014872795905</v>
      </c>
      <c r="F86" s="173">
        <f t="shared" si="32"/>
        <v>175</v>
      </c>
      <c r="G86" s="173">
        <f t="shared" si="39"/>
        <v>218193</v>
      </c>
      <c r="H86" s="173">
        <f>SUM(F86:F92)</f>
        <v>10079</v>
      </c>
      <c r="I86" s="190">
        <f t="shared" si="35"/>
        <v>3.3188333538477005E-6</v>
      </c>
      <c r="J86" s="175">
        <f t="shared" si="36"/>
        <v>3.5706624332385896E-3</v>
      </c>
      <c r="K86" s="59">
        <f t="shared" si="37"/>
        <v>0.79653948629472049</v>
      </c>
      <c r="L86" s="189">
        <f t="shared" si="38"/>
        <v>0.80368081116119761</v>
      </c>
    </row>
    <row r="87" spans="1:14" ht="15" customHeight="1">
      <c r="A87" s="326"/>
      <c r="B87" s="59">
        <f t="shared" si="33"/>
        <v>0.55000000000000004</v>
      </c>
      <c r="C87" s="59">
        <v>0.6</v>
      </c>
      <c r="D87" s="59">
        <f>I9</f>
        <v>4.2000808807810402E-2</v>
      </c>
      <c r="E87" s="59">
        <f t="shared" si="34"/>
        <v>0.75167712781356422</v>
      </c>
      <c r="F87" s="173">
        <f t="shared" si="32"/>
        <v>156</v>
      </c>
      <c r="G87" s="173">
        <f t="shared" si="39"/>
        <v>218368</v>
      </c>
      <c r="H87" s="173">
        <f>SUM(F87:F92)</f>
        <v>9904</v>
      </c>
      <c r="I87" s="190">
        <f t="shared" si="35"/>
        <v>4.5968374376301628E-6</v>
      </c>
      <c r="J87" s="175">
        <f t="shared" si="36"/>
        <v>4.2022863658251605E-3</v>
      </c>
      <c r="K87" s="59">
        <f t="shared" si="37"/>
        <v>0.74747484144773901</v>
      </c>
      <c r="L87" s="189">
        <f t="shared" si="38"/>
        <v>0.75587941417938942</v>
      </c>
    </row>
    <row r="88" spans="1:14">
      <c r="A88" s="326"/>
      <c r="B88" s="59">
        <f t="shared" si="33"/>
        <v>0.64999999999999991</v>
      </c>
      <c r="C88" s="59">
        <v>0.7</v>
      </c>
      <c r="D88" s="59">
        <f>J9</f>
        <v>5.8071368446672496E-2</v>
      </c>
      <c r="E88" s="59">
        <f t="shared" si="34"/>
        <v>0.70967631900575379</v>
      </c>
      <c r="F88" s="173">
        <f t="shared" si="32"/>
        <v>526</v>
      </c>
      <c r="G88" s="173">
        <f t="shared" si="39"/>
        <v>218524</v>
      </c>
      <c r="H88" s="173">
        <f>SUM(F88:F92)</f>
        <v>9748</v>
      </c>
      <c r="I88" s="190">
        <f t="shared" si="35"/>
        <v>5.6863494494794378E-6</v>
      </c>
      <c r="J88" s="175">
        <f t="shared" si="36"/>
        <v>4.673829270001228E-3</v>
      </c>
      <c r="K88" s="59">
        <f t="shared" si="37"/>
        <v>0.70500248973575252</v>
      </c>
      <c r="L88" s="189">
        <f t="shared" si="38"/>
        <v>0.71435014827575505</v>
      </c>
    </row>
    <row r="89" spans="1:14">
      <c r="A89" s="326"/>
      <c r="B89" s="59">
        <f t="shared" si="33"/>
        <v>0.75</v>
      </c>
      <c r="C89" s="59">
        <v>0.8</v>
      </c>
      <c r="D89" s="59">
        <f>K9</f>
        <v>6.4274938631670192E-2</v>
      </c>
      <c r="E89" s="59">
        <f t="shared" si="34"/>
        <v>0.6516049505590813</v>
      </c>
      <c r="F89" s="173">
        <f t="shared" si="32"/>
        <v>539</v>
      </c>
      <c r="G89" s="173">
        <f t="shared" si="39"/>
        <v>219050</v>
      </c>
      <c r="H89" s="173">
        <f>SUM(F89:F92)</f>
        <v>9222</v>
      </c>
      <c r="I89" s="190">
        <f t="shared" si="35"/>
        <v>7.2795910494977917E-6</v>
      </c>
      <c r="J89" s="175">
        <f t="shared" si="36"/>
        <v>5.288220586903568E-3</v>
      </c>
      <c r="K89" s="59">
        <f t="shared" si="37"/>
        <v>0.64631672997217771</v>
      </c>
      <c r="L89" s="189">
        <f t="shared" si="38"/>
        <v>0.65689317114598489</v>
      </c>
    </row>
    <row r="90" spans="1:14">
      <c r="A90" s="326"/>
      <c r="B90" s="59">
        <f t="shared" si="33"/>
        <v>0.85000000000000009</v>
      </c>
      <c r="C90" s="59">
        <v>0.9</v>
      </c>
      <c r="D90" s="59">
        <f>L9</f>
        <v>0.111851212597448</v>
      </c>
      <c r="E90" s="59">
        <f t="shared" si="34"/>
        <v>0.58733001192741108</v>
      </c>
      <c r="F90" s="173">
        <f t="shared" si="32"/>
        <v>436</v>
      </c>
      <c r="G90" s="173">
        <f t="shared" si="39"/>
        <v>219589</v>
      </c>
      <c r="H90" s="173">
        <f>SUM(F90:F92)</f>
        <v>8683</v>
      </c>
      <c r="I90" s="190">
        <f t="shared" si="35"/>
        <v>8.7912864801386543E-6</v>
      </c>
      <c r="J90" s="175">
        <f t="shared" si="36"/>
        <v>5.8114203205499298E-3</v>
      </c>
      <c r="K90" s="59">
        <f t="shared" si="37"/>
        <v>0.58151859160686115</v>
      </c>
      <c r="L90" s="189">
        <f t="shared" si="38"/>
        <v>0.59314143224796101</v>
      </c>
    </row>
    <row r="91" spans="1:14">
      <c r="A91" s="326"/>
      <c r="B91" s="59">
        <f>C91</f>
        <v>0.95</v>
      </c>
      <c r="C91" s="59">
        <v>0.95</v>
      </c>
      <c r="D91" s="59">
        <f>M9</f>
        <v>0.21666101070943899</v>
      </c>
      <c r="E91" s="59">
        <f t="shared" si="34"/>
        <v>0.47547879932996306</v>
      </c>
      <c r="F91" s="173">
        <f t="shared" si="32"/>
        <v>8247</v>
      </c>
      <c r="G91" s="173">
        <f t="shared" si="39"/>
        <v>220025</v>
      </c>
      <c r="H91" s="173">
        <f>SUM(F91:F92)</f>
        <v>8247</v>
      </c>
      <c r="I91" s="190">
        <f t="shared" si="35"/>
        <v>9.780995086790287E-6</v>
      </c>
      <c r="J91" s="175">
        <f t="shared" si="36"/>
        <v>6.1298181641394204E-3</v>
      </c>
      <c r="K91" s="59">
        <f t="shared" si="37"/>
        <v>0.46934898116582363</v>
      </c>
      <c r="L91" s="189">
        <f t="shared" si="38"/>
        <v>0.4816086174941025</v>
      </c>
    </row>
    <row r="92" spans="1:14" ht="16" thickBot="1">
      <c r="A92" s="327"/>
      <c r="B92" s="193">
        <f>C92</f>
        <v>1</v>
      </c>
      <c r="C92" s="193">
        <v>1</v>
      </c>
      <c r="D92" s="193">
        <f>N9</f>
        <v>0.25881778862039501</v>
      </c>
      <c r="E92" s="193">
        <f t="shared" si="34"/>
        <v>0.25881778862052407</v>
      </c>
      <c r="F92" s="174">
        <f t="shared" si="32"/>
        <v>0</v>
      </c>
      <c r="G92" s="174">
        <f t="shared" si="39"/>
        <v>228272</v>
      </c>
      <c r="H92" s="174">
        <f>SUM(F92)</f>
        <v>0</v>
      </c>
      <c r="I92" s="194" t="e">
        <f t="shared" si="35"/>
        <v>#DIV/0!</v>
      </c>
      <c r="J92" s="176" t="e">
        <f t="shared" si="36"/>
        <v>#DIV/0!</v>
      </c>
      <c r="K92" s="193" t="e">
        <f t="shared" si="37"/>
        <v>#DIV/0!</v>
      </c>
      <c r="L92" s="195" t="e">
        <f t="shared" si="38"/>
        <v>#DIV/0!</v>
      </c>
    </row>
    <row r="93" spans="1:14">
      <c r="M93" s="108"/>
      <c r="N93" s="108"/>
    </row>
    <row r="94" spans="1:14">
      <c r="A94" s="108"/>
    </row>
    <row r="95" spans="1:14">
      <c r="A95" s="108"/>
    </row>
    <row r="96" spans="1:14">
      <c r="A96" s="108"/>
    </row>
    <row r="97" spans="1:1">
      <c r="A97" s="108"/>
    </row>
    <row r="98" spans="1:1">
      <c r="A98" s="108"/>
    </row>
    <row r="99" spans="1:1">
      <c r="A99" s="108"/>
    </row>
  </sheetData>
  <mergeCells count="25">
    <mergeCell ref="A2:N2"/>
    <mergeCell ref="C3:N3"/>
    <mergeCell ref="A5:A10"/>
    <mergeCell ref="A12:A13"/>
    <mergeCell ref="B12:C12"/>
    <mergeCell ref="D12:E12"/>
    <mergeCell ref="F12:G12"/>
    <mergeCell ref="H12:I12"/>
    <mergeCell ref="J12:K12"/>
    <mergeCell ref="I31:I32"/>
    <mergeCell ref="J31:J32"/>
    <mergeCell ref="K31:K32"/>
    <mergeCell ref="L31:L32"/>
    <mergeCell ref="A33:A44"/>
    <mergeCell ref="A31:A32"/>
    <mergeCell ref="B31:C32"/>
    <mergeCell ref="D31:D32"/>
    <mergeCell ref="E31:E32"/>
    <mergeCell ref="F31:F32"/>
    <mergeCell ref="G31:G32"/>
    <mergeCell ref="A45:A56"/>
    <mergeCell ref="A57:A68"/>
    <mergeCell ref="A69:A80"/>
    <mergeCell ref="A81:A92"/>
    <mergeCell ref="H31:H3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A7B31-A208-C749-BE92-F10BED9BF186}">
  <dimension ref="A1:Q90"/>
  <sheetViews>
    <sheetView tabSelected="1" zoomScale="111" workbookViewId="0">
      <selection sqref="A1:H1"/>
    </sheetView>
  </sheetViews>
  <sheetFormatPr baseColWidth="10" defaultRowHeight="15"/>
  <cols>
    <col min="2" max="2" width="29.33203125" bestFit="1" customWidth="1"/>
    <col min="4" max="4" width="25.5" customWidth="1"/>
    <col min="8" max="8" width="15.5" customWidth="1"/>
    <col min="11" max="11" width="33.1640625" customWidth="1"/>
    <col min="17" max="17" width="15.6640625" customWidth="1"/>
  </cols>
  <sheetData>
    <row r="1" spans="1:17" ht="16" thickBot="1">
      <c r="A1" s="395" t="s">
        <v>253</v>
      </c>
      <c r="B1" s="396"/>
      <c r="C1" s="396"/>
      <c r="D1" s="396"/>
      <c r="E1" s="396"/>
      <c r="F1" s="396"/>
      <c r="G1" s="396"/>
      <c r="H1" s="397"/>
      <c r="J1" s="395" t="s">
        <v>224</v>
      </c>
      <c r="K1" s="396"/>
      <c r="L1" s="396"/>
      <c r="M1" s="396"/>
      <c r="N1" s="396"/>
      <c r="O1" s="396"/>
      <c r="P1" s="396"/>
      <c r="Q1" s="397"/>
    </row>
    <row r="2" spans="1:17" ht="17" thickBot="1">
      <c r="A2" s="25" t="s">
        <v>99</v>
      </c>
      <c r="B2" s="26" t="s">
        <v>100</v>
      </c>
      <c r="C2" s="398" t="s">
        <v>101</v>
      </c>
      <c r="D2" s="399"/>
      <c r="E2" s="400" t="s">
        <v>110</v>
      </c>
      <c r="F2" s="401"/>
      <c r="G2" s="401"/>
      <c r="H2" s="402"/>
      <c r="J2" s="25" t="s">
        <v>99</v>
      </c>
      <c r="K2" s="146" t="s">
        <v>100</v>
      </c>
      <c r="L2" s="398" t="s">
        <v>101</v>
      </c>
      <c r="M2" s="399"/>
      <c r="N2" s="400" t="s">
        <v>110</v>
      </c>
      <c r="O2" s="401"/>
      <c r="P2" s="401"/>
      <c r="Q2" s="402"/>
    </row>
    <row r="3" spans="1:17" ht="15" customHeight="1">
      <c r="A3" s="439" t="s">
        <v>2</v>
      </c>
      <c r="B3" s="417" t="s">
        <v>102</v>
      </c>
      <c r="C3" s="449" t="s">
        <v>103</v>
      </c>
      <c r="D3" s="452"/>
      <c r="E3" s="328" t="s">
        <v>115</v>
      </c>
      <c r="F3" s="337"/>
      <c r="G3" s="337"/>
      <c r="H3" s="338"/>
      <c r="J3" s="439" t="s">
        <v>0</v>
      </c>
      <c r="K3" s="337" t="s">
        <v>40</v>
      </c>
      <c r="L3" s="442" t="s">
        <v>72</v>
      </c>
      <c r="M3" s="443"/>
      <c r="N3" s="403"/>
      <c r="O3" s="404"/>
      <c r="P3" s="404"/>
      <c r="Q3" s="405"/>
    </row>
    <row r="4" spans="1:17">
      <c r="A4" s="440"/>
      <c r="B4" s="418"/>
      <c r="C4" s="413" t="s">
        <v>104</v>
      </c>
      <c r="D4" s="414"/>
      <c r="E4" s="329"/>
      <c r="F4" s="339"/>
      <c r="G4" s="339"/>
      <c r="H4" s="340"/>
      <c r="J4" s="440"/>
      <c r="K4" s="339"/>
      <c r="L4" s="444"/>
      <c r="M4" s="445"/>
      <c r="N4" s="406"/>
      <c r="O4" s="407"/>
      <c r="P4" s="407"/>
      <c r="Q4" s="408"/>
    </row>
    <row r="5" spans="1:17">
      <c r="A5" s="440"/>
      <c r="B5" s="418"/>
      <c r="C5" s="413" t="s">
        <v>105</v>
      </c>
      <c r="D5" s="414"/>
      <c r="E5" s="329"/>
      <c r="F5" s="339"/>
      <c r="G5" s="339"/>
      <c r="H5" s="340"/>
      <c r="J5" s="440"/>
      <c r="K5" s="339"/>
      <c r="L5" s="444"/>
      <c r="M5" s="445"/>
      <c r="N5" s="406"/>
      <c r="O5" s="407"/>
      <c r="P5" s="407"/>
      <c r="Q5" s="408"/>
    </row>
    <row r="6" spans="1:17" ht="17" customHeight="1" thickBot="1">
      <c r="A6" s="440"/>
      <c r="B6" s="418"/>
      <c r="C6" s="413" t="s">
        <v>106</v>
      </c>
      <c r="D6" s="414"/>
      <c r="E6" s="329"/>
      <c r="F6" s="339"/>
      <c r="G6" s="339"/>
      <c r="H6" s="340"/>
      <c r="J6" s="441"/>
      <c r="K6" s="341"/>
      <c r="L6" s="446"/>
      <c r="M6" s="447"/>
      <c r="N6" s="358" t="s">
        <v>228</v>
      </c>
      <c r="O6" s="359"/>
      <c r="P6" s="359"/>
      <c r="Q6" s="360"/>
    </row>
    <row r="7" spans="1:17" ht="17" customHeight="1">
      <c r="A7" s="440"/>
      <c r="B7" s="418"/>
      <c r="C7" s="413"/>
      <c r="D7" s="414"/>
      <c r="E7" s="329"/>
      <c r="F7" s="339"/>
      <c r="G7" s="339"/>
      <c r="H7" s="340"/>
      <c r="J7" s="325" t="s">
        <v>31</v>
      </c>
      <c r="K7" s="328" t="s">
        <v>222</v>
      </c>
      <c r="L7" s="331" t="s">
        <v>72</v>
      </c>
      <c r="M7" s="349"/>
      <c r="N7" s="337" t="s">
        <v>117</v>
      </c>
      <c r="O7" s="337"/>
      <c r="P7" s="337"/>
      <c r="Q7" s="338"/>
    </row>
    <row r="8" spans="1:17">
      <c r="A8" s="440"/>
      <c r="B8" s="418"/>
      <c r="C8" s="413"/>
      <c r="D8" s="414"/>
      <c r="E8" s="329"/>
      <c r="F8" s="339"/>
      <c r="G8" s="339"/>
      <c r="H8" s="340"/>
      <c r="J8" s="326"/>
      <c r="K8" s="329"/>
      <c r="L8" s="421"/>
      <c r="M8" s="422"/>
      <c r="N8" s="339"/>
      <c r="O8" s="339"/>
      <c r="P8" s="339"/>
      <c r="Q8" s="340"/>
    </row>
    <row r="9" spans="1:17" ht="16" thickBot="1">
      <c r="A9" s="440"/>
      <c r="B9" s="418"/>
      <c r="C9" s="413"/>
      <c r="D9" s="414"/>
      <c r="E9" s="329"/>
      <c r="F9" s="339"/>
      <c r="G9" s="339"/>
      <c r="H9" s="340"/>
      <c r="J9" s="327"/>
      <c r="K9" s="330"/>
      <c r="L9" s="423"/>
      <c r="M9" s="424"/>
      <c r="N9" s="341"/>
      <c r="O9" s="341"/>
      <c r="P9" s="341"/>
      <c r="Q9" s="342"/>
    </row>
    <row r="10" spans="1:17" ht="17" customHeight="1">
      <c r="A10" s="440"/>
      <c r="B10" s="418"/>
      <c r="C10" s="413"/>
      <c r="D10" s="414"/>
      <c r="E10" s="329"/>
      <c r="F10" s="339"/>
      <c r="G10" s="339"/>
      <c r="H10" s="340"/>
      <c r="J10" s="325" t="s">
        <v>220</v>
      </c>
      <c r="K10" s="328" t="s">
        <v>221</v>
      </c>
      <c r="L10" s="331" t="s">
        <v>72</v>
      </c>
      <c r="M10" s="349"/>
      <c r="N10" s="337" t="s">
        <v>117</v>
      </c>
      <c r="O10" s="337"/>
      <c r="P10" s="337"/>
      <c r="Q10" s="338"/>
    </row>
    <row r="11" spans="1:17" ht="16" thickBot="1">
      <c r="A11" s="441"/>
      <c r="B11" s="419"/>
      <c r="C11" s="415"/>
      <c r="D11" s="416"/>
      <c r="E11" s="423" t="s">
        <v>41</v>
      </c>
      <c r="F11" s="433"/>
      <c r="G11" s="433"/>
      <c r="H11" s="424"/>
      <c r="J11" s="326"/>
      <c r="K11" s="329"/>
      <c r="L11" s="421"/>
      <c r="M11" s="422"/>
      <c r="N11" s="339"/>
      <c r="O11" s="339"/>
      <c r="P11" s="339"/>
      <c r="Q11" s="340"/>
    </row>
    <row r="12" spans="1:17" ht="16" customHeight="1" thickBot="1">
      <c r="A12" s="439" t="s">
        <v>0</v>
      </c>
      <c r="B12" s="417" t="s">
        <v>40</v>
      </c>
      <c r="C12" s="449" t="s">
        <v>305</v>
      </c>
      <c r="D12" s="450"/>
      <c r="E12" s="337" t="s">
        <v>306</v>
      </c>
      <c r="F12" s="337"/>
      <c r="G12" s="337"/>
      <c r="H12" s="338"/>
      <c r="J12" s="327"/>
      <c r="K12" s="330"/>
      <c r="L12" s="423"/>
      <c r="M12" s="424"/>
      <c r="N12" s="341"/>
      <c r="O12" s="341"/>
      <c r="P12" s="341"/>
      <c r="Q12" s="342"/>
    </row>
    <row r="13" spans="1:17">
      <c r="A13" s="440"/>
      <c r="B13" s="418"/>
      <c r="C13" s="413"/>
      <c r="D13" s="451"/>
      <c r="E13" s="339"/>
      <c r="F13" s="339"/>
      <c r="G13" s="339"/>
      <c r="H13" s="340"/>
      <c r="J13" s="325" t="s">
        <v>235</v>
      </c>
      <c r="K13" s="328" t="s">
        <v>236</v>
      </c>
      <c r="L13" s="331" t="s">
        <v>72</v>
      </c>
      <c r="M13" s="332"/>
      <c r="N13" s="337" t="s">
        <v>118</v>
      </c>
      <c r="O13" s="337"/>
      <c r="P13" s="337"/>
      <c r="Q13" s="338"/>
    </row>
    <row r="14" spans="1:17">
      <c r="A14" s="440"/>
      <c r="B14" s="418"/>
      <c r="C14" s="413"/>
      <c r="D14" s="451"/>
      <c r="E14" s="339"/>
      <c r="F14" s="339"/>
      <c r="G14" s="339"/>
      <c r="H14" s="340"/>
      <c r="J14" s="326"/>
      <c r="K14" s="329"/>
      <c r="L14" s="333"/>
      <c r="M14" s="334"/>
      <c r="N14" s="339"/>
      <c r="O14" s="339"/>
      <c r="P14" s="339"/>
      <c r="Q14" s="340"/>
    </row>
    <row r="15" spans="1:17" ht="15" customHeight="1">
      <c r="A15" s="440"/>
      <c r="B15" s="418"/>
      <c r="C15" s="413"/>
      <c r="D15" s="451"/>
      <c r="E15" s="339"/>
      <c r="F15" s="339"/>
      <c r="G15" s="339"/>
      <c r="H15" s="340"/>
      <c r="J15" s="326"/>
      <c r="K15" s="329"/>
      <c r="L15" s="333"/>
      <c r="M15" s="334"/>
      <c r="N15" s="339"/>
      <c r="O15" s="339"/>
      <c r="P15" s="339"/>
      <c r="Q15" s="340"/>
    </row>
    <row r="16" spans="1:17" ht="16" thickBot="1">
      <c r="A16" s="441"/>
      <c r="B16" s="419"/>
      <c r="C16" s="415"/>
      <c r="D16" s="434"/>
      <c r="E16" s="416" t="s">
        <v>307</v>
      </c>
      <c r="F16" s="416"/>
      <c r="G16" s="416"/>
      <c r="H16" s="434"/>
      <c r="J16" s="327"/>
      <c r="K16" s="330"/>
      <c r="L16" s="335"/>
      <c r="M16" s="336"/>
      <c r="N16" s="341"/>
      <c r="O16" s="341"/>
      <c r="P16" s="341"/>
      <c r="Q16" s="342"/>
    </row>
    <row r="17" spans="1:17">
      <c r="A17" s="325" t="s">
        <v>38</v>
      </c>
      <c r="B17" s="328" t="s">
        <v>107</v>
      </c>
      <c r="C17" s="328" t="s">
        <v>108</v>
      </c>
      <c r="D17" s="338"/>
      <c r="E17" s="435" t="s">
        <v>125</v>
      </c>
      <c r="F17" s="435"/>
      <c r="G17" s="435"/>
      <c r="H17" s="436"/>
      <c r="J17" s="343" t="s">
        <v>214</v>
      </c>
      <c r="K17" s="346" t="s">
        <v>34</v>
      </c>
      <c r="L17" s="331" t="s">
        <v>72</v>
      </c>
      <c r="M17" s="349"/>
      <c r="N17" s="354"/>
      <c r="O17" s="355"/>
      <c r="P17" s="355"/>
      <c r="Q17" s="356"/>
    </row>
    <row r="18" spans="1:17">
      <c r="A18" s="326"/>
      <c r="B18" s="329"/>
      <c r="C18" s="329"/>
      <c r="D18" s="340"/>
      <c r="E18" s="437"/>
      <c r="F18" s="437"/>
      <c r="G18" s="437"/>
      <c r="H18" s="438"/>
      <c r="J18" s="344"/>
      <c r="K18" s="347"/>
      <c r="L18" s="350"/>
      <c r="M18" s="351"/>
      <c r="N18" s="350"/>
      <c r="O18" s="357"/>
      <c r="P18" s="357"/>
      <c r="Q18" s="351"/>
    </row>
    <row r="19" spans="1:17">
      <c r="A19" s="326"/>
      <c r="B19" s="329"/>
      <c r="C19" s="329"/>
      <c r="D19" s="340"/>
      <c r="E19" s="437"/>
      <c r="F19" s="437"/>
      <c r="G19" s="437"/>
      <c r="H19" s="438"/>
      <c r="J19" s="344"/>
      <c r="K19" s="347"/>
      <c r="L19" s="350"/>
      <c r="M19" s="351"/>
      <c r="N19" s="350"/>
      <c r="O19" s="357"/>
      <c r="P19" s="357"/>
      <c r="Q19" s="351"/>
    </row>
    <row r="20" spans="1:17" ht="16" thickBot="1">
      <c r="A20" s="326"/>
      <c r="B20" s="329"/>
      <c r="C20" s="329" t="s">
        <v>109</v>
      </c>
      <c r="D20" s="340"/>
      <c r="E20" s="437"/>
      <c r="F20" s="437"/>
      <c r="G20" s="437"/>
      <c r="H20" s="438"/>
      <c r="J20" s="345"/>
      <c r="K20" s="348"/>
      <c r="L20" s="352"/>
      <c r="M20" s="353"/>
      <c r="N20" s="358" t="s">
        <v>217</v>
      </c>
      <c r="O20" s="359"/>
      <c r="P20" s="359"/>
      <c r="Q20" s="360"/>
    </row>
    <row r="21" spans="1:17">
      <c r="A21" s="326"/>
      <c r="B21" s="329"/>
      <c r="C21" s="329"/>
      <c r="D21" s="340"/>
      <c r="E21" s="437"/>
      <c r="F21" s="437"/>
      <c r="G21" s="437"/>
      <c r="H21" s="438"/>
      <c r="J21" s="343" t="s">
        <v>211</v>
      </c>
      <c r="K21" s="366" t="s">
        <v>229</v>
      </c>
      <c r="L21" s="373" t="s">
        <v>72</v>
      </c>
      <c r="M21" s="374"/>
      <c r="N21" s="384" t="s">
        <v>223</v>
      </c>
      <c r="O21" s="384"/>
      <c r="P21" s="384"/>
      <c r="Q21" s="385"/>
    </row>
    <row r="22" spans="1:17">
      <c r="A22" s="326"/>
      <c r="B22" s="329"/>
      <c r="C22" s="329"/>
      <c r="D22" s="340"/>
      <c r="E22" s="437"/>
      <c r="F22" s="437"/>
      <c r="G22" s="437"/>
      <c r="H22" s="438"/>
      <c r="J22" s="344"/>
      <c r="K22" s="367"/>
      <c r="L22" s="375"/>
      <c r="M22" s="376"/>
      <c r="N22" s="384"/>
      <c r="O22" s="384"/>
      <c r="P22" s="384"/>
      <c r="Q22" s="385"/>
    </row>
    <row r="23" spans="1:17" ht="16" customHeight="1" thickBot="1">
      <c r="A23" s="327"/>
      <c r="B23" s="330"/>
      <c r="C23" s="330"/>
      <c r="D23" s="342"/>
      <c r="E23" s="433" t="s">
        <v>74</v>
      </c>
      <c r="F23" s="433"/>
      <c r="G23" s="433"/>
      <c r="H23" s="424"/>
      <c r="J23" s="345"/>
      <c r="K23" s="368"/>
      <c r="L23" s="377"/>
      <c r="M23" s="378"/>
      <c r="N23" s="371"/>
      <c r="O23" s="371"/>
      <c r="P23" s="371"/>
      <c r="Q23" s="372"/>
    </row>
    <row r="24" spans="1:17">
      <c r="A24" s="325" t="s">
        <v>31</v>
      </c>
      <c r="B24" s="328" t="s">
        <v>254</v>
      </c>
      <c r="C24" s="331" t="s">
        <v>72</v>
      </c>
      <c r="D24" s="349"/>
      <c r="E24" s="337" t="s">
        <v>255</v>
      </c>
      <c r="F24" s="337"/>
      <c r="G24" s="337"/>
      <c r="H24" s="338"/>
      <c r="J24" s="343" t="s">
        <v>131</v>
      </c>
      <c r="K24" s="366" t="s">
        <v>218</v>
      </c>
      <c r="L24" s="373" t="s">
        <v>72</v>
      </c>
      <c r="M24" s="374"/>
      <c r="N24" s="384" t="s">
        <v>219</v>
      </c>
      <c r="O24" s="384"/>
      <c r="P24" s="384"/>
      <c r="Q24" s="385"/>
    </row>
    <row r="25" spans="1:17">
      <c r="A25" s="326"/>
      <c r="B25" s="329"/>
      <c r="C25" s="421"/>
      <c r="D25" s="422"/>
      <c r="E25" s="339"/>
      <c r="F25" s="339"/>
      <c r="G25" s="339"/>
      <c r="H25" s="340"/>
      <c r="J25" s="344"/>
      <c r="K25" s="367"/>
      <c r="L25" s="375"/>
      <c r="M25" s="376"/>
      <c r="N25" s="384"/>
      <c r="O25" s="384"/>
      <c r="P25" s="384"/>
      <c r="Q25" s="385"/>
    </row>
    <row r="26" spans="1:17" ht="19" customHeight="1" thickBot="1">
      <c r="A26" s="327"/>
      <c r="B26" s="330"/>
      <c r="C26" s="423"/>
      <c r="D26" s="424"/>
      <c r="E26" s="341"/>
      <c r="F26" s="341"/>
      <c r="G26" s="341"/>
      <c r="H26" s="342"/>
      <c r="J26" s="345"/>
      <c r="K26" s="368"/>
      <c r="L26" s="377"/>
      <c r="M26" s="378"/>
      <c r="N26" s="371"/>
      <c r="O26" s="371"/>
      <c r="P26" s="371"/>
      <c r="Q26" s="372"/>
    </row>
    <row r="27" spans="1:17" ht="19" customHeight="1">
      <c r="A27" s="325" t="s">
        <v>126</v>
      </c>
      <c r="B27" s="328" t="s">
        <v>111</v>
      </c>
      <c r="C27" s="331" t="s">
        <v>72</v>
      </c>
      <c r="D27" s="332"/>
      <c r="E27" s="337" t="s">
        <v>127</v>
      </c>
      <c r="F27" s="337"/>
      <c r="G27" s="337"/>
      <c r="H27" s="338"/>
      <c r="J27" s="343" t="s">
        <v>210</v>
      </c>
      <c r="K27" s="346" t="s">
        <v>240</v>
      </c>
      <c r="L27" s="390" t="s">
        <v>72</v>
      </c>
      <c r="M27" s="391"/>
      <c r="N27" s="448" t="s">
        <v>230</v>
      </c>
      <c r="O27" s="369"/>
      <c r="P27" s="369"/>
      <c r="Q27" s="370"/>
    </row>
    <row r="28" spans="1:17" ht="19" customHeight="1" thickBot="1">
      <c r="A28" s="326"/>
      <c r="B28" s="329"/>
      <c r="C28" s="333"/>
      <c r="D28" s="334"/>
      <c r="E28" s="339"/>
      <c r="F28" s="339"/>
      <c r="G28" s="339"/>
      <c r="H28" s="340"/>
      <c r="J28" s="344"/>
      <c r="K28" s="379"/>
      <c r="L28" s="392"/>
      <c r="M28" s="392"/>
      <c r="N28" s="368"/>
      <c r="O28" s="371"/>
      <c r="P28" s="371"/>
      <c r="Q28" s="372"/>
    </row>
    <row r="29" spans="1:17">
      <c r="A29" s="326"/>
      <c r="B29" s="329"/>
      <c r="C29" s="333"/>
      <c r="D29" s="334"/>
      <c r="E29" s="339"/>
      <c r="F29" s="339"/>
      <c r="G29" s="339"/>
      <c r="H29" s="340"/>
      <c r="J29" s="343" t="s">
        <v>225</v>
      </c>
      <c r="K29" s="346" t="s">
        <v>231</v>
      </c>
      <c r="L29" s="390" t="s">
        <v>72</v>
      </c>
      <c r="M29" s="391"/>
      <c r="N29" s="366" t="s">
        <v>223</v>
      </c>
      <c r="O29" s="369"/>
      <c r="P29" s="369"/>
      <c r="Q29" s="370"/>
    </row>
    <row r="30" spans="1:17" ht="16" thickBot="1">
      <c r="A30" s="327"/>
      <c r="B30" s="330"/>
      <c r="C30" s="335"/>
      <c r="D30" s="336"/>
      <c r="E30" s="341"/>
      <c r="F30" s="341"/>
      <c r="G30" s="341"/>
      <c r="H30" s="342"/>
      <c r="J30" s="344"/>
      <c r="K30" s="379"/>
      <c r="L30" s="392"/>
      <c r="M30" s="392"/>
      <c r="N30" s="368"/>
      <c r="O30" s="371"/>
      <c r="P30" s="371"/>
      <c r="Q30" s="372"/>
    </row>
    <row r="31" spans="1:17" ht="18" thickBot="1">
      <c r="A31" s="325" t="s">
        <v>128</v>
      </c>
      <c r="B31" s="328" t="s">
        <v>112</v>
      </c>
      <c r="C31" s="331" t="s">
        <v>72</v>
      </c>
      <c r="D31" s="349"/>
      <c r="E31" s="337" t="s">
        <v>118</v>
      </c>
      <c r="F31" s="337"/>
      <c r="G31" s="337"/>
      <c r="H31" s="338"/>
      <c r="J31" s="25" t="s">
        <v>232</v>
      </c>
      <c r="K31" s="157" t="s">
        <v>233</v>
      </c>
      <c r="L31" s="323" t="s">
        <v>72</v>
      </c>
      <c r="M31" s="324"/>
      <c r="N31" s="361" t="s">
        <v>234</v>
      </c>
      <c r="O31" s="362"/>
      <c r="P31" s="362"/>
      <c r="Q31" s="324"/>
    </row>
    <row r="32" spans="1:17" ht="34" customHeight="1" thickBot="1">
      <c r="A32" s="326"/>
      <c r="B32" s="329"/>
      <c r="C32" s="421"/>
      <c r="D32" s="422"/>
      <c r="E32" s="339"/>
      <c r="F32" s="339"/>
      <c r="G32" s="339"/>
      <c r="H32" s="340"/>
      <c r="J32" s="25" t="s">
        <v>237</v>
      </c>
      <c r="K32" s="157" t="s">
        <v>238</v>
      </c>
      <c r="L32" s="323" t="s">
        <v>72</v>
      </c>
      <c r="M32" s="324"/>
      <c r="N32" s="363" t="s">
        <v>239</v>
      </c>
      <c r="O32" s="364"/>
      <c r="P32" s="364"/>
      <c r="Q32" s="365"/>
    </row>
    <row r="33" spans="1:17" ht="38" customHeight="1" thickBot="1">
      <c r="A33" s="327"/>
      <c r="B33" s="330"/>
      <c r="C33" s="423"/>
      <c r="D33" s="424"/>
      <c r="E33" s="341"/>
      <c r="F33" s="341"/>
      <c r="G33" s="341"/>
      <c r="H33" s="342"/>
      <c r="J33" s="320" t="s">
        <v>226</v>
      </c>
      <c r="K33" s="346" t="s">
        <v>139</v>
      </c>
      <c r="L33" s="331" t="s">
        <v>72</v>
      </c>
      <c r="M33" s="332"/>
      <c r="N33" s="403"/>
      <c r="O33" s="404"/>
      <c r="P33" s="404"/>
      <c r="Q33" s="405"/>
    </row>
    <row r="34" spans="1:17">
      <c r="A34" s="343" t="s">
        <v>1</v>
      </c>
      <c r="B34" s="393" t="s">
        <v>113</v>
      </c>
      <c r="C34" s="331" t="s">
        <v>72</v>
      </c>
      <c r="D34" s="332"/>
      <c r="E34" s="391"/>
      <c r="F34" s="391"/>
      <c r="G34" s="391"/>
      <c r="H34" s="349"/>
      <c r="J34" s="321"/>
      <c r="K34" s="379"/>
      <c r="L34" s="333"/>
      <c r="M34" s="334"/>
      <c r="N34" s="406"/>
      <c r="O34" s="407"/>
      <c r="P34" s="407"/>
      <c r="Q34" s="408"/>
    </row>
    <row r="35" spans="1:17" ht="16" thickBot="1">
      <c r="A35" s="344"/>
      <c r="B35" s="394"/>
      <c r="C35" s="333"/>
      <c r="D35" s="334"/>
      <c r="E35" s="392"/>
      <c r="F35" s="392"/>
      <c r="G35" s="392"/>
      <c r="H35" s="422"/>
      <c r="J35" s="322"/>
      <c r="K35" s="420"/>
      <c r="L35" s="335"/>
      <c r="M35" s="336"/>
      <c r="N35" s="358" t="s">
        <v>217</v>
      </c>
      <c r="O35" s="359"/>
      <c r="P35" s="359"/>
      <c r="Q35" s="360"/>
    </row>
    <row r="36" spans="1:17" ht="16" thickBot="1">
      <c r="A36" s="345"/>
      <c r="B36" s="457"/>
      <c r="C36" s="335"/>
      <c r="D36" s="336"/>
      <c r="E36" s="433" t="s">
        <v>42</v>
      </c>
      <c r="F36" s="433"/>
      <c r="G36" s="433"/>
      <c r="H36" s="424"/>
    </row>
    <row r="37" spans="1:17" ht="16" thickBot="1">
      <c r="A37" s="325" t="s">
        <v>3</v>
      </c>
      <c r="B37" s="417" t="s">
        <v>114</v>
      </c>
      <c r="C37" s="453" t="s">
        <v>72</v>
      </c>
      <c r="D37" s="454"/>
      <c r="E37" s="458"/>
      <c r="F37" s="391"/>
      <c r="G37" s="391"/>
      <c r="H37" s="349"/>
      <c r="J37" s="395" t="s">
        <v>177</v>
      </c>
      <c r="K37" s="396"/>
      <c r="L37" s="396"/>
      <c r="M37" s="396"/>
      <c r="N37" s="396"/>
      <c r="O37" s="397"/>
    </row>
    <row r="38" spans="1:17" ht="16" thickBot="1">
      <c r="A38" s="327"/>
      <c r="B38" s="419"/>
      <c r="C38" s="455"/>
      <c r="D38" s="456"/>
      <c r="E38" s="423"/>
      <c r="F38" s="433"/>
      <c r="G38" s="433"/>
      <c r="H38" s="424"/>
      <c r="J38" s="403"/>
      <c r="K38" s="404"/>
      <c r="L38" s="404"/>
      <c r="M38" s="404"/>
      <c r="N38" s="404"/>
      <c r="O38" s="405"/>
    </row>
    <row r="39" spans="1:17" ht="40" customHeight="1" thickBot="1">
      <c r="A39" s="27" t="s">
        <v>129</v>
      </c>
      <c r="B39" s="24" t="s">
        <v>130</v>
      </c>
      <c r="C39" s="380" t="s">
        <v>72</v>
      </c>
      <c r="D39" s="381"/>
      <c r="E39" s="382" t="s">
        <v>121</v>
      </c>
      <c r="F39" s="382"/>
      <c r="G39" s="382"/>
      <c r="H39" s="383"/>
      <c r="J39" s="406"/>
      <c r="K39" s="407"/>
      <c r="L39" s="407"/>
      <c r="M39" s="407"/>
      <c r="N39" s="407"/>
      <c r="O39" s="408"/>
    </row>
    <row r="40" spans="1:17" ht="34" customHeight="1">
      <c r="A40" s="386" t="s">
        <v>131</v>
      </c>
      <c r="B40" s="366" t="s">
        <v>132</v>
      </c>
      <c r="C40" s="373" t="s">
        <v>72</v>
      </c>
      <c r="D40" s="374"/>
      <c r="E40" s="369" t="s">
        <v>123</v>
      </c>
      <c r="F40" s="369"/>
      <c r="G40" s="369"/>
      <c r="H40" s="370"/>
      <c r="J40" s="406"/>
      <c r="K40" s="407"/>
      <c r="L40" s="407"/>
      <c r="M40" s="407"/>
      <c r="N40" s="407"/>
      <c r="O40" s="408"/>
    </row>
    <row r="41" spans="1:17" ht="16" thickBot="1">
      <c r="A41" s="387"/>
      <c r="B41" s="367"/>
      <c r="C41" s="377"/>
      <c r="D41" s="378"/>
      <c r="E41" s="371"/>
      <c r="F41" s="371"/>
      <c r="G41" s="371"/>
      <c r="H41" s="372"/>
      <c r="J41" s="409" t="s">
        <v>178</v>
      </c>
      <c r="K41" s="410"/>
      <c r="L41" s="410"/>
      <c r="M41" s="410"/>
      <c r="N41" s="410"/>
      <c r="O41" s="411"/>
    </row>
    <row r="42" spans="1:17" ht="16" thickBot="1">
      <c r="A42" s="343" t="s">
        <v>133</v>
      </c>
      <c r="B42" s="366" t="s">
        <v>122</v>
      </c>
      <c r="C42" s="373" t="s">
        <v>72</v>
      </c>
      <c r="D42" s="374"/>
      <c r="E42" s="384" t="s">
        <v>124</v>
      </c>
      <c r="F42" s="384"/>
      <c r="G42" s="384"/>
      <c r="H42" s="385"/>
      <c r="J42" s="25" t="s">
        <v>99</v>
      </c>
      <c r="K42" s="400" t="s">
        <v>100</v>
      </c>
      <c r="L42" s="402"/>
      <c r="M42" s="399" t="s">
        <v>110</v>
      </c>
      <c r="N42" s="399"/>
      <c r="O42" s="412"/>
    </row>
    <row r="43" spans="1:17">
      <c r="A43" s="344"/>
      <c r="B43" s="367"/>
      <c r="C43" s="375"/>
      <c r="D43" s="376"/>
      <c r="E43" s="384"/>
      <c r="F43" s="384"/>
      <c r="G43" s="384"/>
      <c r="H43" s="385"/>
      <c r="J43" s="325" t="s">
        <v>184</v>
      </c>
      <c r="K43" s="328" t="s">
        <v>187</v>
      </c>
      <c r="L43" s="338"/>
      <c r="M43" s="427" t="s">
        <v>191</v>
      </c>
      <c r="N43" s="427"/>
      <c r="O43" s="428"/>
    </row>
    <row r="44" spans="1:17" ht="16" thickBot="1">
      <c r="A44" s="345"/>
      <c r="B44" s="368"/>
      <c r="C44" s="377"/>
      <c r="D44" s="378"/>
      <c r="E44" s="371"/>
      <c r="F44" s="371"/>
      <c r="G44" s="371"/>
      <c r="H44" s="372"/>
      <c r="J44" s="326"/>
      <c r="K44" s="329"/>
      <c r="L44" s="340"/>
      <c r="M44" s="429"/>
      <c r="N44" s="429"/>
      <c r="O44" s="430"/>
    </row>
    <row r="45" spans="1:17" ht="16" thickBot="1">
      <c r="A45" s="388" t="s">
        <v>82</v>
      </c>
      <c r="B45" s="393" t="s">
        <v>134</v>
      </c>
      <c r="C45" s="390" t="s">
        <v>72</v>
      </c>
      <c r="D45" s="391"/>
      <c r="E45" s="366" t="s">
        <v>135</v>
      </c>
      <c r="F45" s="369"/>
      <c r="G45" s="369"/>
      <c r="H45" s="370"/>
      <c r="J45" s="327"/>
      <c r="K45" s="330"/>
      <c r="L45" s="342"/>
      <c r="M45" s="431"/>
      <c r="N45" s="431"/>
      <c r="O45" s="432"/>
    </row>
    <row r="46" spans="1:17" ht="16" thickBot="1">
      <c r="A46" s="389"/>
      <c r="B46" s="394"/>
      <c r="C46" s="392"/>
      <c r="D46" s="392"/>
      <c r="E46" s="367"/>
      <c r="F46" s="384"/>
      <c r="G46" s="384"/>
      <c r="H46" s="385"/>
      <c r="J46" s="325" t="s">
        <v>185</v>
      </c>
      <c r="K46" s="328" t="s">
        <v>188</v>
      </c>
      <c r="L46" s="338"/>
      <c r="M46" s="427" t="s">
        <v>190</v>
      </c>
      <c r="N46" s="427"/>
      <c r="O46" s="428"/>
    </row>
    <row r="47" spans="1:17">
      <c r="A47" s="343" t="s">
        <v>83</v>
      </c>
      <c r="B47" s="346" t="s">
        <v>136</v>
      </c>
      <c r="C47" s="390" t="s">
        <v>72</v>
      </c>
      <c r="D47" s="391"/>
      <c r="E47" s="366" t="s">
        <v>137</v>
      </c>
      <c r="F47" s="369"/>
      <c r="G47" s="369"/>
      <c r="H47" s="370"/>
      <c r="J47" s="326"/>
      <c r="K47" s="329"/>
      <c r="L47" s="340"/>
      <c r="M47" s="429"/>
      <c r="N47" s="429"/>
      <c r="O47" s="430"/>
    </row>
    <row r="48" spans="1:17" ht="16" thickBot="1">
      <c r="A48" s="344"/>
      <c r="B48" s="379"/>
      <c r="C48" s="392"/>
      <c r="D48" s="392"/>
      <c r="E48" s="367"/>
      <c r="F48" s="384"/>
      <c r="G48" s="384"/>
      <c r="H48" s="385"/>
      <c r="J48" s="327"/>
      <c r="K48" s="330"/>
      <c r="L48" s="342"/>
      <c r="M48" s="431"/>
      <c r="N48" s="431"/>
      <c r="O48" s="432"/>
    </row>
    <row r="49" spans="1:17">
      <c r="A49" s="343" t="s">
        <v>144</v>
      </c>
      <c r="B49" s="346" t="s">
        <v>138</v>
      </c>
      <c r="C49" s="390" t="s">
        <v>72</v>
      </c>
      <c r="D49" s="391"/>
      <c r="E49" s="366" t="s">
        <v>140</v>
      </c>
      <c r="F49" s="369"/>
      <c r="G49" s="369"/>
      <c r="H49" s="370"/>
      <c r="J49" s="425" t="s">
        <v>186</v>
      </c>
      <c r="K49" s="329" t="s">
        <v>189</v>
      </c>
      <c r="L49" s="340"/>
      <c r="M49" s="429" t="s">
        <v>190</v>
      </c>
      <c r="N49" s="429"/>
      <c r="O49" s="430"/>
    </row>
    <row r="50" spans="1:17">
      <c r="A50" s="344"/>
      <c r="B50" s="379"/>
      <c r="C50" s="392"/>
      <c r="D50" s="392"/>
      <c r="E50" s="367"/>
      <c r="F50" s="384"/>
      <c r="G50" s="384"/>
      <c r="H50" s="385"/>
      <c r="J50" s="425"/>
      <c r="K50" s="329"/>
      <c r="L50" s="340"/>
      <c r="M50" s="429"/>
      <c r="N50" s="429"/>
      <c r="O50" s="430"/>
    </row>
    <row r="51" spans="1:17" ht="16" thickBot="1">
      <c r="A51" s="344"/>
      <c r="B51" s="379"/>
      <c r="C51" s="392"/>
      <c r="D51" s="392"/>
      <c r="E51" s="367"/>
      <c r="F51" s="384"/>
      <c r="G51" s="384"/>
      <c r="H51" s="385"/>
      <c r="J51" s="426"/>
      <c r="K51" s="330"/>
      <c r="L51" s="342"/>
      <c r="M51" s="431"/>
      <c r="N51" s="431"/>
      <c r="O51" s="432"/>
    </row>
    <row r="52" spans="1:17" ht="16" thickBot="1">
      <c r="A52" s="344"/>
      <c r="B52" s="379"/>
      <c r="C52" s="392"/>
      <c r="D52" s="392"/>
      <c r="E52" s="367"/>
      <c r="F52" s="384"/>
      <c r="G52" s="384"/>
      <c r="H52" s="385"/>
    </row>
    <row r="53" spans="1:17" ht="15" customHeight="1">
      <c r="A53" s="201" t="s">
        <v>215</v>
      </c>
      <c r="B53" s="346" t="s">
        <v>139</v>
      </c>
      <c r="C53" s="331" t="s">
        <v>72</v>
      </c>
      <c r="D53" s="332"/>
      <c r="E53" s="458"/>
      <c r="F53" s="391"/>
      <c r="G53" s="391"/>
      <c r="H53" s="349"/>
    </row>
    <row r="54" spans="1:17">
      <c r="A54" s="202"/>
      <c r="B54" s="379"/>
      <c r="C54" s="333"/>
      <c r="D54" s="334"/>
      <c r="E54" s="421"/>
      <c r="F54" s="392"/>
      <c r="G54" s="392"/>
      <c r="H54" s="422"/>
    </row>
    <row r="55" spans="1:17">
      <c r="A55" s="202"/>
      <c r="B55" s="379"/>
      <c r="C55" s="333"/>
      <c r="D55" s="334"/>
      <c r="E55" s="421"/>
      <c r="F55" s="392"/>
      <c r="G55" s="392"/>
      <c r="H55" s="422"/>
    </row>
    <row r="56" spans="1:17">
      <c r="A56" s="202"/>
      <c r="B56" s="379"/>
      <c r="C56" s="333"/>
      <c r="D56" s="334"/>
      <c r="E56" s="421"/>
      <c r="F56" s="392"/>
      <c r="G56" s="392"/>
      <c r="H56" s="422"/>
    </row>
    <row r="57" spans="1:17" ht="15" customHeight="1">
      <c r="A57" s="202"/>
      <c r="B57" s="379"/>
      <c r="C57" s="333"/>
      <c r="D57" s="334"/>
      <c r="E57" s="367" t="s">
        <v>256</v>
      </c>
      <c r="F57" s="384"/>
      <c r="G57" s="384"/>
      <c r="H57" s="385"/>
    </row>
    <row r="58" spans="1:17" ht="15" customHeight="1" thickBot="1">
      <c r="A58" s="183"/>
      <c r="B58" s="420"/>
      <c r="C58" s="335"/>
      <c r="D58" s="336"/>
      <c r="E58" s="368"/>
      <c r="F58" s="371"/>
      <c r="G58" s="371"/>
      <c r="H58" s="372"/>
    </row>
    <row r="59" spans="1:17" ht="16" thickBot="1">
      <c r="A59" s="29" t="s">
        <v>11</v>
      </c>
      <c r="B59" s="49" t="s">
        <v>141</v>
      </c>
      <c r="C59" s="390" t="s">
        <v>72</v>
      </c>
      <c r="D59" s="391"/>
      <c r="E59" s="458" t="s">
        <v>142</v>
      </c>
      <c r="F59" s="391"/>
      <c r="G59" s="391"/>
      <c r="H59" s="349"/>
    </row>
    <row r="60" spans="1:17">
      <c r="A60" s="386" t="s">
        <v>87</v>
      </c>
      <c r="B60" s="346" t="s">
        <v>143</v>
      </c>
      <c r="C60" s="390" t="s">
        <v>72</v>
      </c>
      <c r="D60" s="390"/>
      <c r="E60" s="458" t="s">
        <v>142</v>
      </c>
      <c r="F60" s="391"/>
      <c r="G60" s="391"/>
      <c r="H60" s="349"/>
    </row>
    <row r="61" spans="1:17" ht="16" thickBot="1">
      <c r="A61" s="459"/>
      <c r="B61" s="420"/>
      <c r="C61" s="460"/>
      <c r="D61" s="460"/>
      <c r="E61" s="423"/>
      <c r="F61" s="433"/>
      <c r="G61" s="433"/>
      <c r="H61" s="424"/>
    </row>
    <row r="62" spans="1:17">
      <c r="A62" s="387" t="s">
        <v>10</v>
      </c>
      <c r="B62" s="394" t="s">
        <v>145</v>
      </c>
      <c r="C62" s="461" t="s">
        <v>72</v>
      </c>
      <c r="D62" s="461"/>
      <c r="E62" s="421"/>
      <c r="F62" s="392"/>
      <c r="G62" s="392"/>
      <c r="H62" s="422"/>
    </row>
    <row r="63" spans="1:17" ht="16" thickBot="1">
      <c r="A63" s="459"/>
      <c r="B63" s="457"/>
      <c r="C63" s="460"/>
      <c r="D63" s="460"/>
      <c r="E63" s="423"/>
      <c r="F63" s="433"/>
      <c r="G63" s="433"/>
      <c r="H63" s="424"/>
      <c r="J63" s="91"/>
      <c r="K63" s="91"/>
      <c r="L63" s="91"/>
      <c r="M63" s="91"/>
      <c r="N63" s="91"/>
      <c r="O63" s="91"/>
      <c r="P63" s="91"/>
      <c r="Q63" s="91"/>
    </row>
    <row r="64" spans="1:17" ht="16" thickBot="1">
      <c r="A64" s="28" t="s">
        <v>9</v>
      </c>
      <c r="B64" s="50" t="s">
        <v>12</v>
      </c>
      <c r="C64" s="462" t="s">
        <v>72</v>
      </c>
      <c r="D64" s="463"/>
      <c r="E64" s="423"/>
      <c r="F64" s="433"/>
      <c r="G64" s="433"/>
      <c r="H64" s="424"/>
      <c r="J64" s="91"/>
      <c r="K64" s="91"/>
      <c r="L64" s="91"/>
      <c r="M64" s="91"/>
      <c r="N64" s="91"/>
      <c r="O64" s="91"/>
      <c r="P64" s="91"/>
      <c r="Q64" s="91"/>
    </row>
    <row r="65" spans="1:17">
      <c r="A65" s="344" t="s">
        <v>88</v>
      </c>
      <c r="B65" s="379" t="s">
        <v>146</v>
      </c>
      <c r="C65" s="461" t="s">
        <v>72</v>
      </c>
      <c r="D65" s="461"/>
      <c r="E65" s="421"/>
      <c r="F65" s="392"/>
      <c r="G65" s="392"/>
      <c r="H65" s="422"/>
      <c r="J65" s="91"/>
      <c r="K65" s="91"/>
      <c r="L65" s="91"/>
      <c r="M65" s="91"/>
      <c r="N65" s="91"/>
      <c r="O65" s="91"/>
      <c r="P65" s="91"/>
      <c r="Q65" s="91"/>
    </row>
    <row r="66" spans="1:17">
      <c r="A66" s="344"/>
      <c r="B66" s="379"/>
      <c r="C66" s="461"/>
      <c r="D66" s="461"/>
      <c r="E66" s="421"/>
      <c r="F66" s="392"/>
      <c r="G66" s="392"/>
      <c r="H66" s="422"/>
      <c r="J66" s="91"/>
      <c r="K66" s="91"/>
      <c r="L66" s="91"/>
      <c r="M66" s="91"/>
      <c r="N66" s="91"/>
      <c r="O66" s="91"/>
      <c r="P66" s="91"/>
      <c r="Q66" s="91"/>
    </row>
    <row r="67" spans="1:17">
      <c r="A67" s="344"/>
      <c r="B67" s="379"/>
      <c r="C67" s="461"/>
      <c r="D67" s="461"/>
      <c r="E67" s="421"/>
      <c r="F67" s="392"/>
      <c r="G67" s="392"/>
      <c r="H67" s="422"/>
      <c r="J67" s="91"/>
      <c r="K67" s="91"/>
      <c r="L67" s="91"/>
      <c r="M67" s="91"/>
      <c r="N67" s="91"/>
      <c r="O67" s="91"/>
      <c r="P67" s="91"/>
      <c r="Q67" s="91"/>
    </row>
    <row r="68" spans="1:17" ht="16" thickBot="1">
      <c r="A68" s="345"/>
      <c r="B68" s="420"/>
      <c r="C68" s="460"/>
      <c r="D68" s="460"/>
      <c r="E68" s="423" t="s">
        <v>52</v>
      </c>
      <c r="F68" s="433"/>
      <c r="G68" s="433"/>
      <c r="H68" s="424"/>
    </row>
    <row r="69" spans="1:17">
      <c r="A69" s="344" t="s">
        <v>89</v>
      </c>
      <c r="B69" s="379" t="s">
        <v>147</v>
      </c>
      <c r="C69" s="461" t="s">
        <v>72</v>
      </c>
      <c r="D69" s="461"/>
      <c r="E69" s="421"/>
      <c r="F69" s="392"/>
      <c r="G69" s="392"/>
      <c r="H69" s="422"/>
    </row>
    <row r="70" spans="1:17">
      <c r="A70" s="344"/>
      <c r="B70" s="379"/>
      <c r="C70" s="461"/>
      <c r="D70" s="461"/>
      <c r="E70" s="421"/>
      <c r="F70" s="392"/>
      <c r="G70" s="392"/>
      <c r="H70" s="422"/>
    </row>
    <row r="71" spans="1:17">
      <c r="A71" s="344"/>
      <c r="B71" s="379"/>
      <c r="C71" s="461"/>
      <c r="D71" s="461"/>
      <c r="E71" s="421"/>
      <c r="F71" s="392"/>
      <c r="G71" s="392"/>
      <c r="H71" s="422"/>
    </row>
    <row r="72" spans="1:17" ht="16" thickBot="1">
      <c r="A72" s="345"/>
      <c r="B72" s="420"/>
      <c r="C72" s="460"/>
      <c r="D72" s="460"/>
      <c r="E72" s="423" t="s">
        <v>52</v>
      </c>
      <c r="F72" s="433"/>
      <c r="G72" s="433"/>
      <c r="H72" s="424"/>
    </row>
    <row r="73" spans="1:17">
      <c r="A73" s="1" t="s">
        <v>176</v>
      </c>
    </row>
    <row r="74" spans="1:17">
      <c r="A74" s="90" t="s">
        <v>179</v>
      </c>
      <c r="B74" s="91"/>
      <c r="C74" s="91"/>
      <c r="D74" s="91"/>
      <c r="E74" s="91"/>
      <c r="F74" s="91"/>
      <c r="G74" s="91"/>
      <c r="H74" s="91"/>
    </row>
    <row r="75" spans="1:17">
      <c r="A75" s="91" t="s">
        <v>180</v>
      </c>
      <c r="B75" s="91"/>
      <c r="C75" s="91"/>
      <c r="D75" s="91"/>
      <c r="E75" s="91"/>
      <c r="F75" s="91"/>
      <c r="G75" s="91"/>
      <c r="H75" s="91"/>
    </row>
    <row r="76" spans="1:17">
      <c r="A76" t="s">
        <v>227</v>
      </c>
      <c r="C76" s="91"/>
      <c r="D76" s="91"/>
      <c r="E76" s="91"/>
      <c r="F76" s="91"/>
      <c r="G76" s="91"/>
      <c r="H76" s="91"/>
    </row>
    <row r="77" spans="1:17">
      <c r="A77" s="91" t="s">
        <v>216</v>
      </c>
      <c r="B77" s="91"/>
      <c r="C77" s="91"/>
      <c r="D77" s="91"/>
      <c r="E77" s="91"/>
      <c r="F77" s="91"/>
      <c r="G77" s="91"/>
      <c r="H77" s="91"/>
    </row>
    <row r="78" spans="1:17" s="91" customFormat="1">
      <c r="A78" s="92" t="s">
        <v>181</v>
      </c>
      <c r="J78"/>
      <c r="K78"/>
      <c r="L78"/>
      <c r="M78"/>
      <c r="N78"/>
      <c r="O78"/>
      <c r="P78"/>
      <c r="Q78"/>
    </row>
    <row r="79" spans="1:17" s="91" customFormat="1">
      <c r="A79" s="92" t="s">
        <v>182</v>
      </c>
      <c r="J79"/>
      <c r="K79"/>
      <c r="L79"/>
      <c r="M79"/>
      <c r="N79"/>
      <c r="O79"/>
      <c r="P79"/>
      <c r="Q79"/>
    </row>
    <row r="80" spans="1:17" s="91" customFormat="1">
      <c r="A80" s="90" t="s">
        <v>183</v>
      </c>
      <c r="C80"/>
      <c r="D80"/>
      <c r="E80"/>
      <c r="F80"/>
      <c r="G80"/>
      <c r="H80"/>
      <c r="J80"/>
      <c r="K80"/>
      <c r="L80"/>
      <c r="M80"/>
      <c r="N80"/>
      <c r="O80"/>
      <c r="P80"/>
      <c r="Q80"/>
    </row>
    <row r="81" spans="1:17" s="91" customFormat="1">
      <c r="A81"/>
      <c r="B81"/>
      <c r="C81"/>
      <c r="D81"/>
      <c r="E81"/>
      <c r="F81"/>
      <c r="G81"/>
      <c r="H81"/>
      <c r="J81"/>
      <c r="K81"/>
      <c r="L81"/>
      <c r="M81"/>
      <c r="N81"/>
      <c r="O81"/>
      <c r="P81"/>
      <c r="Q81"/>
    </row>
    <row r="82" spans="1:17" s="91" customFormat="1">
      <c r="A82"/>
      <c r="B82"/>
      <c r="C82"/>
      <c r="D82"/>
      <c r="E82"/>
      <c r="F82"/>
      <c r="G82"/>
      <c r="H82"/>
      <c r="J82"/>
      <c r="K82"/>
      <c r="L82"/>
      <c r="M82"/>
      <c r="N82"/>
      <c r="O82"/>
      <c r="P82"/>
      <c r="Q82"/>
    </row>
    <row r="85" spans="1:17">
      <c r="B85" s="2"/>
      <c r="C85" s="2"/>
      <c r="D85" s="2"/>
      <c r="E85" s="2"/>
      <c r="F85" s="2"/>
      <c r="G85" s="2"/>
      <c r="H85" s="2"/>
    </row>
    <row r="86" spans="1:17">
      <c r="B86" s="2"/>
      <c r="C86" s="2"/>
      <c r="D86" s="2"/>
      <c r="E86" s="2"/>
      <c r="F86" s="2"/>
      <c r="G86" s="2"/>
      <c r="H86" s="2"/>
    </row>
    <row r="89" spans="1:17">
      <c r="I89" s="2"/>
    </row>
    <row r="90" spans="1:17">
      <c r="I90" s="2"/>
    </row>
  </sheetData>
  <mergeCells count="156">
    <mergeCell ref="A69:A72"/>
    <mergeCell ref="B69:B72"/>
    <mergeCell ref="C69:D72"/>
    <mergeCell ref="E72:H72"/>
    <mergeCell ref="E69:H71"/>
    <mergeCell ref="E64:H64"/>
    <mergeCell ref="C64:D64"/>
    <mergeCell ref="A65:A68"/>
    <mergeCell ref="C65:D68"/>
    <mergeCell ref="E68:H68"/>
    <mergeCell ref="C59:D59"/>
    <mergeCell ref="E59:H59"/>
    <mergeCell ref="A60:A61"/>
    <mergeCell ref="B60:B61"/>
    <mergeCell ref="C60:D61"/>
    <mergeCell ref="E60:H61"/>
    <mergeCell ref="E65:H67"/>
    <mergeCell ref="B65:B68"/>
    <mergeCell ref="C62:D63"/>
    <mergeCell ref="B62:B63"/>
    <mergeCell ref="A62:A63"/>
    <mergeCell ref="E62:H63"/>
    <mergeCell ref="A49:A52"/>
    <mergeCell ref="B49:B52"/>
    <mergeCell ref="E53:H56"/>
    <mergeCell ref="C49:D52"/>
    <mergeCell ref="E49:H52"/>
    <mergeCell ref="B53:B58"/>
    <mergeCell ref="C53:D58"/>
    <mergeCell ref="E57:H58"/>
    <mergeCell ref="A47:A48"/>
    <mergeCell ref="B47:B48"/>
    <mergeCell ref="C47:D48"/>
    <mergeCell ref="E47:H48"/>
    <mergeCell ref="A34:A36"/>
    <mergeCell ref="C37:D38"/>
    <mergeCell ref="A37:A38"/>
    <mergeCell ref="B37:B38"/>
    <mergeCell ref="C34:D36"/>
    <mergeCell ref="E34:H35"/>
    <mergeCell ref="E36:H36"/>
    <mergeCell ref="B34:B36"/>
    <mergeCell ref="C31:D33"/>
    <mergeCell ref="A31:A33"/>
    <mergeCell ref="B31:B33"/>
    <mergeCell ref="E31:H33"/>
    <mergeCell ref="E37:H38"/>
    <mergeCell ref="C2:D2"/>
    <mergeCell ref="A3:A11"/>
    <mergeCell ref="B12:B16"/>
    <mergeCell ref="A12:A16"/>
    <mergeCell ref="A24:A26"/>
    <mergeCell ref="B24:B26"/>
    <mergeCell ref="C24:D26"/>
    <mergeCell ref="C3:D3"/>
    <mergeCell ref="C4:D4"/>
    <mergeCell ref="C17:D19"/>
    <mergeCell ref="B17:B23"/>
    <mergeCell ref="C20:D23"/>
    <mergeCell ref="A17:A23"/>
    <mergeCell ref="N10:Q12"/>
    <mergeCell ref="A27:A30"/>
    <mergeCell ref="B27:B30"/>
    <mergeCell ref="C27:D30"/>
    <mergeCell ref="E23:H23"/>
    <mergeCell ref="E27:H30"/>
    <mergeCell ref="E24:H26"/>
    <mergeCell ref="N24:Q26"/>
    <mergeCell ref="N27:Q28"/>
    <mergeCell ref="N21:Q23"/>
    <mergeCell ref="J29:J30"/>
    <mergeCell ref="C12:D16"/>
    <mergeCell ref="E2:H2"/>
    <mergeCell ref="E3:H10"/>
    <mergeCell ref="E11:H11"/>
    <mergeCell ref="E12:H15"/>
    <mergeCell ref="E16:H16"/>
    <mergeCell ref="E17:H22"/>
    <mergeCell ref="J3:J6"/>
    <mergeCell ref="K3:K6"/>
    <mergeCell ref="L3:M6"/>
    <mergeCell ref="K7:K9"/>
    <mergeCell ref="L7:M9"/>
    <mergeCell ref="J21:J23"/>
    <mergeCell ref="K21:K23"/>
    <mergeCell ref="L21:M23"/>
    <mergeCell ref="J49:J51"/>
    <mergeCell ref="K49:L51"/>
    <mergeCell ref="M43:O45"/>
    <mergeCell ref="M46:O48"/>
    <mergeCell ref="M49:O51"/>
    <mergeCell ref="J43:J45"/>
    <mergeCell ref="K43:L45"/>
    <mergeCell ref="J46:J48"/>
    <mergeCell ref="K46:L48"/>
    <mergeCell ref="J1:Q1"/>
    <mergeCell ref="L2:M2"/>
    <mergeCell ref="N2:Q2"/>
    <mergeCell ref="A1:H1"/>
    <mergeCell ref="J38:O40"/>
    <mergeCell ref="J37:O37"/>
    <mergeCell ref="J41:O41"/>
    <mergeCell ref="K42:L42"/>
    <mergeCell ref="M42:O42"/>
    <mergeCell ref="C5:D5"/>
    <mergeCell ref="C6:D6"/>
    <mergeCell ref="C7:D11"/>
    <mergeCell ref="B3:B11"/>
    <mergeCell ref="N3:Q5"/>
    <mergeCell ref="N6:Q6"/>
    <mergeCell ref="J7:J9"/>
    <mergeCell ref="N35:Q35"/>
    <mergeCell ref="N33:Q34"/>
    <mergeCell ref="L33:M35"/>
    <mergeCell ref="K33:K35"/>
    <mergeCell ref="N7:Q9"/>
    <mergeCell ref="J10:J12"/>
    <mergeCell ref="K10:K12"/>
    <mergeCell ref="L10:M12"/>
    <mergeCell ref="C39:D39"/>
    <mergeCell ref="E39:H39"/>
    <mergeCell ref="A42:A44"/>
    <mergeCell ref="B42:B44"/>
    <mergeCell ref="C42:D44"/>
    <mergeCell ref="E42:H44"/>
    <mergeCell ref="A40:A41"/>
    <mergeCell ref="B40:B41"/>
    <mergeCell ref="A45:A46"/>
    <mergeCell ref="C40:D41"/>
    <mergeCell ref="E40:H41"/>
    <mergeCell ref="E45:H46"/>
    <mergeCell ref="C45:D46"/>
    <mergeCell ref="B45:B46"/>
    <mergeCell ref="J33:J35"/>
    <mergeCell ref="L31:M31"/>
    <mergeCell ref="J13:J16"/>
    <mergeCell ref="K13:K16"/>
    <mergeCell ref="L13:M16"/>
    <mergeCell ref="N13:Q16"/>
    <mergeCell ref="J17:J20"/>
    <mergeCell ref="K17:K20"/>
    <mergeCell ref="L17:M20"/>
    <mergeCell ref="N17:Q19"/>
    <mergeCell ref="N20:Q20"/>
    <mergeCell ref="N31:Q31"/>
    <mergeCell ref="L32:M32"/>
    <mergeCell ref="N32:Q32"/>
    <mergeCell ref="J24:J26"/>
    <mergeCell ref="K24:K26"/>
    <mergeCell ref="N29:Q30"/>
    <mergeCell ref="L24:M26"/>
    <mergeCell ref="J27:J28"/>
    <mergeCell ref="K27:K28"/>
    <mergeCell ref="L27:M28"/>
    <mergeCell ref="K29:K30"/>
    <mergeCell ref="L29:M30"/>
  </mergeCells>
  <phoneticPr fontId="19"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37FAB-DF83-9949-8581-EB052822A758}">
  <dimension ref="A1:AI99"/>
  <sheetViews>
    <sheetView zoomScaleNormal="31" workbookViewId="0">
      <selection sqref="A1:I1"/>
    </sheetView>
  </sheetViews>
  <sheetFormatPr baseColWidth="10" defaultRowHeight="15"/>
  <cols>
    <col min="1" max="1" width="17.83203125" style="15" bestFit="1" customWidth="1"/>
    <col min="2" max="2" width="22.83203125" style="15" customWidth="1"/>
    <col min="3" max="3" width="11.83203125" style="15" bestFit="1" customWidth="1"/>
    <col min="4" max="4" width="9.33203125" style="15" bestFit="1" customWidth="1"/>
    <col min="5" max="5" width="12.83203125" style="15" customWidth="1"/>
    <col min="6" max="6" width="10.83203125" style="15" customWidth="1"/>
    <col min="7" max="7" width="13.5" style="15" customWidth="1"/>
    <col min="8" max="8" width="13.1640625" style="15" customWidth="1"/>
    <col min="9" max="9" width="11.83203125" style="15" bestFit="1" customWidth="1"/>
    <col min="10" max="11" width="11.83203125" style="15" customWidth="1"/>
    <col min="12" max="12" width="39.1640625" style="15" bestFit="1" customWidth="1"/>
    <col min="13" max="13" width="12.33203125" style="15" customWidth="1"/>
    <col min="14" max="14" width="16.5" style="15" customWidth="1"/>
    <col min="15" max="15" width="14.83203125" style="15" bestFit="1" customWidth="1"/>
    <col min="16" max="16" width="10.83203125" style="15"/>
    <col min="17" max="17" width="13.33203125" style="15" customWidth="1"/>
    <col min="18" max="18" width="16.5" style="15" customWidth="1"/>
    <col min="19" max="19" width="13.83203125" style="15" customWidth="1"/>
    <col min="20" max="20" width="10.83203125" style="15"/>
    <col min="21" max="21" width="12.33203125" style="15" customWidth="1"/>
    <col min="22" max="22" width="12" style="15" customWidth="1"/>
    <col min="23" max="23" width="14.5" style="15" customWidth="1"/>
    <col min="24" max="24" width="12.33203125" style="15" customWidth="1"/>
    <col min="25" max="25" width="10.83203125" style="15"/>
    <col min="26" max="26" width="16" style="15" customWidth="1"/>
    <col min="27" max="27" width="19.1640625" style="15" customWidth="1"/>
    <col min="28" max="28" width="10.83203125" style="15"/>
    <col min="29" max="29" width="17.83203125" style="15" bestFit="1" customWidth="1"/>
    <col min="30" max="30" width="11.33203125" style="15" bestFit="1" customWidth="1"/>
    <col min="31" max="31" width="12" style="6" customWidth="1"/>
    <col min="32" max="32" width="14.5" style="6" customWidth="1"/>
    <col min="33" max="33" width="12.33203125" style="6" customWidth="1"/>
    <col min="34" max="34" width="10.83203125" style="6"/>
    <col min="35" max="35" width="16" style="6" customWidth="1"/>
    <col min="36" max="16384" width="10.83203125" style="15"/>
  </cols>
  <sheetData>
    <row r="1" spans="1:35" ht="16" thickBot="1">
      <c r="A1" s="499" t="s">
        <v>259</v>
      </c>
      <c r="B1" s="500"/>
      <c r="C1" s="500"/>
      <c r="D1" s="500"/>
      <c r="E1" s="500"/>
      <c r="F1" s="500"/>
      <c r="G1" s="500"/>
      <c r="H1" s="500"/>
      <c r="I1" s="501"/>
      <c r="K1" s="395" t="s">
        <v>277</v>
      </c>
      <c r="L1" s="396"/>
      <c r="M1" s="396"/>
      <c r="N1" s="396"/>
      <c r="O1" s="397"/>
      <c r="AE1" s="15"/>
      <c r="AF1" s="15"/>
      <c r="AG1" s="15"/>
      <c r="AH1" s="15"/>
      <c r="AI1" s="15"/>
    </row>
    <row r="2" spans="1:35" ht="71" thickBot="1">
      <c r="A2" s="327" t="s">
        <v>259</v>
      </c>
      <c r="B2" s="487"/>
      <c r="D2" s="489" t="s">
        <v>261</v>
      </c>
      <c r="E2" s="490"/>
      <c r="F2" s="210" t="s">
        <v>273</v>
      </c>
      <c r="G2" s="210" t="s">
        <v>262</v>
      </c>
      <c r="H2" s="210" t="s">
        <v>263</v>
      </c>
      <c r="I2" s="210" t="s">
        <v>264</v>
      </c>
      <c r="K2" s="166" t="s">
        <v>24</v>
      </c>
      <c r="L2" s="167" t="s">
        <v>13</v>
      </c>
      <c r="M2" s="168" t="s">
        <v>148</v>
      </c>
      <c r="N2" s="219" t="s">
        <v>278</v>
      </c>
      <c r="O2" s="223" t="s">
        <v>279</v>
      </c>
    </row>
    <row r="3" spans="1:35" ht="16" thickBot="1">
      <c r="A3" s="491"/>
      <c r="B3" s="492"/>
      <c r="D3" s="493" t="s">
        <v>265</v>
      </c>
      <c r="E3" s="494"/>
      <c r="F3" s="211">
        <f>75/1000</f>
        <v>7.4999999999999997E-2</v>
      </c>
      <c r="G3" s="212" t="s">
        <v>266</v>
      </c>
      <c r="H3" s="214">
        <f>((F3*0.1)^3)*125000</f>
        <v>5.2734375E-2</v>
      </c>
      <c r="I3" s="211" t="s">
        <v>267</v>
      </c>
      <c r="K3" s="485" t="s">
        <v>149</v>
      </c>
      <c r="L3" s="267" t="s">
        <v>257</v>
      </c>
      <c r="M3" s="169">
        <f>Y27</f>
        <v>4.9649495905352468E-2</v>
      </c>
      <c r="N3" s="276">
        <f>E58</f>
        <v>912.57962906757666</v>
      </c>
      <c r="O3" s="277">
        <f>E66</f>
        <v>230.9504845255577</v>
      </c>
    </row>
    <row r="4" spans="1:35" ht="18" thickBot="1">
      <c r="A4" s="206" t="s">
        <v>260</v>
      </c>
      <c r="B4" s="72" t="s">
        <v>275</v>
      </c>
      <c r="D4" s="493" t="s">
        <v>268</v>
      </c>
      <c r="E4" s="494"/>
      <c r="F4" s="211">
        <f>150/1000</f>
        <v>0.15</v>
      </c>
      <c r="G4" s="212">
        <v>7.5</v>
      </c>
      <c r="H4" s="214">
        <f>((F4*0.1)^3)*125000</f>
        <v>0.421875</v>
      </c>
      <c r="I4" s="211" t="s">
        <v>267</v>
      </c>
      <c r="K4" s="486"/>
      <c r="L4" s="261" t="s">
        <v>258</v>
      </c>
      <c r="M4" s="165">
        <f>U34</f>
        <v>0.30322702884832076</v>
      </c>
      <c r="N4" s="204">
        <f>K58</f>
        <v>34302.218663959124</v>
      </c>
      <c r="O4" s="278">
        <f>K66</f>
        <v>8645.2527066991188</v>
      </c>
      <c r="P4" s="17"/>
      <c r="Q4" s="17"/>
    </row>
    <row r="5" spans="1:35" ht="16" thickBot="1">
      <c r="A5" s="207">
        <v>0.1</v>
      </c>
      <c r="B5" s="235">
        <f t="shared" ref="B5:B10" si="0">((A5*0.1)^3)*125000</f>
        <v>0.12500000000000008</v>
      </c>
      <c r="D5" s="493" t="s">
        <v>269</v>
      </c>
      <c r="E5" s="494"/>
      <c r="F5" s="211">
        <f>6700/1000</f>
        <v>6.7</v>
      </c>
      <c r="G5" s="212" t="s">
        <v>270</v>
      </c>
      <c r="H5" s="214">
        <f>((F5*0.1)^3)*125000</f>
        <v>37595.375000000007</v>
      </c>
      <c r="I5" s="211" t="s">
        <v>271</v>
      </c>
      <c r="K5" s="485" t="s">
        <v>150</v>
      </c>
      <c r="L5" s="267" t="s">
        <v>257</v>
      </c>
      <c r="M5" s="169">
        <f>Y28</f>
        <v>4.7642124555425429E-2</v>
      </c>
      <c r="N5" s="276">
        <f>E59</f>
        <v>639.82590200087532</v>
      </c>
      <c r="O5" s="277">
        <f>E67</f>
        <v>161.88531688387735</v>
      </c>
      <c r="P5" s="17"/>
      <c r="Q5" s="17"/>
    </row>
    <row r="6" spans="1:35" ht="29" customHeight="1" thickBot="1">
      <c r="A6" s="207">
        <v>0.5</v>
      </c>
      <c r="B6" s="235">
        <f t="shared" si="0"/>
        <v>15.625000000000004</v>
      </c>
      <c r="D6" s="493" t="s">
        <v>272</v>
      </c>
      <c r="E6" s="494"/>
      <c r="F6" s="211">
        <f>150/1000</f>
        <v>0.15</v>
      </c>
      <c r="G6" s="213" t="s">
        <v>274</v>
      </c>
      <c r="H6" s="214">
        <f>((F6*0.1)^3)*125000</f>
        <v>0.421875</v>
      </c>
      <c r="I6" s="211" t="s">
        <v>267</v>
      </c>
      <c r="K6" s="486"/>
      <c r="L6" s="261" t="s">
        <v>258</v>
      </c>
      <c r="M6" s="165">
        <f>U39</f>
        <v>0.29308413968151031</v>
      </c>
      <c r="N6" s="204">
        <f>K59</f>
        <v>24438.434175373124</v>
      </c>
      <c r="O6" s="278">
        <f>K67</f>
        <v>6149.2167612633148</v>
      </c>
    </row>
    <row r="7" spans="1:35">
      <c r="A7" s="207">
        <v>1</v>
      </c>
      <c r="B7" s="102">
        <f t="shared" si="0"/>
        <v>125.00000000000003</v>
      </c>
      <c r="D7" s="265"/>
      <c r="E7" s="262"/>
      <c r="F7" s="263"/>
      <c r="G7" s="264"/>
      <c r="H7" s="231"/>
      <c r="I7" s="263"/>
      <c r="K7" s="485" t="s">
        <v>3</v>
      </c>
      <c r="L7" s="267" t="s">
        <v>257</v>
      </c>
      <c r="M7" s="169">
        <f>Y29</f>
        <v>6.4071133259228946E-2</v>
      </c>
      <c r="N7" s="276">
        <f>E60</f>
        <v>428.38912972621961</v>
      </c>
      <c r="O7" s="277">
        <f>E68</f>
        <v>107.102301105007</v>
      </c>
    </row>
    <row r="8" spans="1:35" ht="16" thickBot="1">
      <c r="A8" s="15">
        <v>2.5</v>
      </c>
      <c r="B8" s="102">
        <f t="shared" si="0"/>
        <v>1953.125</v>
      </c>
      <c r="D8" s="265"/>
      <c r="E8" s="262"/>
      <c r="F8" s="263"/>
      <c r="G8" s="264"/>
      <c r="H8" s="231"/>
      <c r="I8" s="263"/>
      <c r="K8" s="486"/>
      <c r="L8" s="261" t="s">
        <v>258</v>
      </c>
      <c r="M8" s="165">
        <f>U44</f>
        <v>0.10735183443502425</v>
      </c>
      <c r="N8" s="204">
        <f>K60</f>
        <v>1201.074242138003</v>
      </c>
      <c r="O8" s="278">
        <f>K68</f>
        <v>302.23330613585745</v>
      </c>
    </row>
    <row r="9" spans="1:35">
      <c r="A9" s="207">
        <v>5</v>
      </c>
      <c r="B9" s="102">
        <f t="shared" si="0"/>
        <v>15625</v>
      </c>
      <c r="D9" s="265"/>
      <c r="E9" s="262"/>
      <c r="F9" s="263"/>
      <c r="G9" s="264"/>
      <c r="H9" s="231"/>
      <c r="I9" s="263"/>
      <c r="K9" s="485" t="s">
        <v>151</v>
      </c>
      <c r="L9" s="267" t="s">
        <v>257</v>
      </c>
      <c r="M9" s="169">
        <f>Y30</f>
        <v>8.3051245212179228E-2</v>
      </c>
      <c r="N9" s="276">
        <f>E61</f>
        <v>683.40509209781908</v>
      </c>
      <c r="O9" s="277">
        <f>E69</f>
        <v>170.83150870824721</v>
      </c>
    </row>
    <row r="10" spans="1:35" ht="16" thickBot="1">
      <c r="A10" s="208">
        <v>10</v>
      </c>
      <c r="B10" s="209">
        <f t="shared" si="0"/>
        <v>125000</v>
      </c>
      <c r="D10" s="265"/>
      <c r="E10" s="262"/>
      <c r="F10" s="263"/>
      <c r="G10" s="264"/>
      <c r="H10" s="231"/>
      <c r="I10" s="263"/>
      <c r="K10" s="486"/>
      <c r="L10" s="261" t="s">
        <v>258</v>
      </c>
      <c r="M10" s="165">
        <f>U49</f>
        <v>0.57959295294044966</v>
      </c>
      <c r="N10" s="204">
        <f>K61</f>
        <v>32953.674888533271</v>
      </c>
      <c r="O10" s="278">
        <f>K69</f>
        <v>8374.7577826965171</v>
      </c>
    </row>
    <row r="11" spans="1:35">
      <c r="B11" s="205"/>
      <c r="D11" s="265"/>
      <c r="E11" s="262"/>
      <c r="F11" s="263"/>
      <c r="G11" s="264"/>
      <c r="H11" s="231"/>
      <c r="I11" s="263"/>
    </row>
    <row r="23" spans="1:27" ht="17" customHeight="1" thickBot="1"/>
    <row r="24" spans="1:27" ht="16" customHeight="1" thickBot="1">
      <c r="A24" s="496" t="s">
        <v>252</v>
      </c>
      <c r="B24" s="497"/>
      <c r="C24" s="497"/>
      <c r="D24" s="497"/>
      <c r="E24" s="497"/>
      <c r="F24" s="497"/>
      <c r="G24" s="497"/>
      <c r="H24" s="497"/>
      <c r="I24" s="497"/>
      <c r="J24" s="497"/>
      <c r="K24" s="497"/>
      <c r="L24" s="497"/>
      <c r="M24" s="497"/>
      <c r="N24" s="497"/>
      <c r="O24" s="497"/>
      <c r="P24" s="497"/>
      <c r="Q24" s="497"/>
      <c r="R24" s="497"/>
      <c r="S24" s="497"/>
      <c r="T24" s="497"/>
      <c r="U24" s="497"/>
      <c r="V24" s="497"/>
      <c r="W24" s="497"/>
      <c r="X24" s="497"/>
      <c r="Y24" s="497"/>
      <c r="Z24" s="498"/>
      <c r="AA24" s="255"/>
    </row>
    <row r="25" spans="1:27" ht="74" customHeight="1">
      <c r="A25" s="343" t="s">
        <v>24</v>
      </c>
      <c r="B25" s="30" t="s">
        <v>35</v>
      </c>
      <c r="C25" s="30"/>
      <c r="D25" s="30" t="s">
        <v>40</v>
      </c>
      <c r="E25" s="30"/>
      <c r="F25" s="30" t="s">
        <v>36</v>
      </c>
      <c r="G25" s="30" t="s">
        <v>37</v>
      </c>
      <c r="H25" s="31" t="s">
        <v>39</v>
      </c>
      <c r="I25" s="31" t="s">
        <v>251</v>
      </c>
      <c r="J25" s="30" t="s">
        <v>90</v>
      </c>
      <c r="K25" s="30" t="s">
        <v>91</v>
      </c>
      <c r="L25" s="30" t="s">
        <v>92</v>
      </c>
      <c r="M25" s="30" t="s">
        <v>93</v>
      </c>
      <c r="N25" s="30" t="s">
        <v>94</v>
      </c>
      <c r="O25" s="30" t="s">
        <v>34</v>
      </c>
      <c r="P25" s="30" t="s">
        <v>47</v>
      </c>
      <c r="Q25" s="30" t="s">
        <v>70</v>
      </c>
      <c r="R25" s="30" t="s">
        <v>73</v>
      </c>
      <c r="S25" s="30" t="s">
        <v>71</v>
      </c>
      <c r="T25" s="30" t="s">
        <v>51</v>
      </c>
      <c r="U25" s="30" t="s">
        <v>48</v>
      </c>
      <c r="V25" s="30" t="s">
        <v>49</v>
      </c>
      <c r="W25" s="30" t="s">
        <v>50</v>
      </c>
      <c r="X25" s="30" t="s">
        <v>12</v>
      </c>
      <c r="Y25" s="30" t="s">
        <v>95</v>
      </c>
      <c r="Z25" s="32" t="s">
        <v>54</v>
      </c>
    </row>
    <row r="26" spans="1:27" ht="20" thickBot="1">
      <c r="A26" s="345"/>
      <c r="B26" s="34" t="s">
        <v>2</v>
      </c>
      <c r="C26" s="34" t="s">
        <v>77</v>
      </c>
      <c r="D26" s="34" t="s">
        <v>0</v>
      </c>
      <c r="E26" s="34" t="s">
        <v>30</v>
      </c>
      <c r="F26" s="35" t="s">
        <v>38</v>
      </c>
      <c r="G26" s="35" t="s">
        <v>1</v>
      </c>
      <c r="H26" s="36"/>
      <c r="I26" s="36" t="s">
        <v>31</v>
      </c>
      <c r="J26" s="35" t="s">
        <v>116</v>
      </c>
      <c r="K26" s="35" t="s">
        <v>78</v>
      </c>
      <c r="L26" s="35" t="s">
        <v>79</v>
      </c>
      <c r="M26" s="35" t="s">
        <v>80</v>
      </c>
      <c r="N26" s="35" t="s">
        <v>81</v>
      </c>
      <c r="O26" s="34" t="s">
        <v>3</v>
      </c>
      <c r="P26" s="34" t="s">
        <v>82</v>
      </c>
      <c r="Q26" s="34" t="s">
        <v>83</v>
      </c>
      <c r="R26" s="37" t="s">
        <v>84</v>
      </c>
      <c r="S26" s="37" t="s">
        <v>85</v>
      </c>
      <c r="T26" s="34" t="s">
        <v>86</v>
      </c>
      <c r="U26" s="34" t="s">
        <v>11</v>
      </c>
      <c r="V26" s="34" t="s">
        <v>87</v>
      </c>
      <c r="W26" s="34" t="s">
        <v>10</v>
      </c>
      <c r="X26" s="34" t="s">
        <v>9</v>
      </c>
      <c r="Y26" s="34" t="s">
        <v>86</v>
      </c>
      <c r="Z26" s="38" t="s">
        <v>89</v>
      </c>
    </row>
    <row r="27" spans="1:27" ht="17" thickBot="1">
      <c r="A27" s="250" t="s">
        <v>280</v>
      </c>
      <c r="B27" s="40">
        <v>0.3</v>
      </c>
      <c r="C27" s="41">
        <f>K27/L27</f>
        <v>1340</v>
      </c>
      <c r="D27" s="16">
        <f>0.29/K27</f>
        <v>0.43283582089552231</v>
      </c>
      <c r="E27" s="42">
        <v>1</v>
      </c>
      <c r="F27" s="41">
        <f>(J27/K27)^E27</f>
        <v>3.2835820895522387E-2</v>
      </c>
      <c r="G27" s="43">
        <f>((1-I27)/I27)*(((1-I27)*M27)+(I27*N27))</f>
        <v>7208.4886412050582</v>
      </c>
      <c r="H27" s="44">
        <f>'4. Mineralogy wt.%'!B5/100</f>
        <v>6.3898827117177148E-2</v>
      </c>
      <c r="I27" s="200">
        <f>H27/100</f>
        <v>6.3898827117177151E-4</v>
      </c>
      <c r="J27" s="42">
        <f>'5. Grain Size Distribution'!R29/10000</f>
        <v>2.1999999999999999E-2</v>
      </c>
      <c r="K27" s="42">
        <f>6700/10000</f>
        <v>0.67</v>
      </c>
      <c r="L27" s="42">
        <f>5/10000</f>
        <v>5.0000000000000001E-4</v>
      </c>
      <c r="M27" s="42">
        <v>4.6100000000000003</v>
      </c>
      <c r="N27" s="41">
        <f>'4. Mineralogy wt.%'!B13</f>
        <v>3.1778074558844294</v>
      </c>
      <c r="O27" s="41">
        <f>B27*D27*F27*G27</f>
        <v>30.735235596494718</v>
      </c>
      <c r="P27" s="45">
        <v>120000</v>
      </c>
      <c r="Q27" s="45">
        <v>3750</v>
      </c>
      <c r="R27" s="46">
        <f>(O27*((K27)^3)*((1/Q27)-(1/P27)))+(O27*((K27)^3)*((1/P27)))</f>
        <v>2.4650724436556114E-3</v>
      </c>
      <c r="S27" s="47" t="s">
        <v>72</v>
      </c>
      <c r="T27" s="44">
        <f>SQRT(R27)</f>
        <v>4.9649495905352468E-2</v>
      </c>
      <c r="U27" s="42">
        <v>189792</v>
      </c>
      <c r="V27" s="42">
        <v>24201</v>
      </c>
      <c r="W27" s="41">
        <f>V27/U27</f>
        <v>0.12751327769347495</v>
      </c>
      <c r="X27" s="41">
        <f>1-W27</f>
        <v>0.87248672230652502</v>
      </c>
      <c r="Y27" s="44">
        <f>SQRT(R27)</f>
        <v>4.9649495905352468E-2</v>
      </c>
      <c r="Z27" s="48">
        <f>SQRT((T27^2))</f>
        <v>4.9649495905352468E-2</v>
      </c>
    </row>
    <row r="28" spans="1:27" ht="17" thickBot="1">
      <c r="A28" s="250" t="s">
        <v>281</v>
      </c>
      <c r="B28" s="40">
        <v>0.3</v>
      </c>
      <c r="C28" s="41">
        <f>K28/L28</f>
        <v>1340</v>
      </c>
      <c r="D28" s="41">
        <f>0.29/K28</f>
        <v>0.43283582089552231</v>
      </c>
      <c r="E28" s="42">
        <v>1</v>
      </c>
      <c r="F28" s="41">
        <f>(J28/K28)^E28</f>
        <v>2.8358208955223878E-2</v>
      </c>
      <c r="G28" s="43">
        <f>((1-I28)/I28)*(((1-I28)*M28)+(I28*N28))</f>
        <v>5850.6099367709758</v>
      </c>
      <c r="H28" s="44">
        <f>'4. Mineralogy wt.%'!B20/100</f>
        <v>8.5528296447526839E-2</v>
      </c>
      <c r="I28" s="200">
        <f>H28/100</f>
        <v>8.5528296447526838E-4</v>
      </c>
      <c r="J28" s="42">
        <f>'5. Grain Size Distribution'!R67/10000</f>
        <v>1.9E-2</v>
      </c>
      <c r="K28" s="42">
        <f>6700/10000</f>
        <v>0.67</v>
      </c>
      <c r="L28" s="42">
        <f>5/10000</f>
        <v>5.0000000000000001E-4</v>
      </c>
      <c r="M28" s="42">
        <v>5.01</v>
      </c>
      <c r="N28" s="41">
        <f>'4. Mineralogy wt.%'!B28</f>
        <v>2.9176489467374549</v>
      </c>
      <c r="O28" s="41">
        <f>B28*D28*F28*G28</f>
        <v>21.543903375991135</v>
      </c>
      <c r="P28" s="45">
        <v>116000</v>
      </c>
      <c r="Q28" s="45">
        <v>2854.74</v>
      </c>
      <c r="R28" s="46">
        <f>(O28*((K28)^3)*((1/Q28)-(1/P28)))+(O28*((K28)^3)*((1/P28)))</f>
        <v>2.2697720321546706E-3</v>
      </c>
      <c r="S28" s="47" t="s">
        <v>72</v>
      </c>
      <c r="T28" s="44">
        <f>SQRT(R28)</f>
        <v>4.7642124555425429E-2</v>
      </c>
      <c r="U28" s="42">
        <v>689173</v>
      </c>
      <c r="V28" s="42">
        <v>52273</v>
      </c>
      <c r="W28" s="41">
        <f>V28/U28</f>
        <v>7.5848879744273207E-2</v>
      </c>
      <c r="X28" s="41">
        <f>1-W28</f>
        <v>0.92415112025572677</v>
      </c>
      <c r="Y28" s="44">
        <f>SQRT(R28)</f>
        <v>4.7642124555425429E-2</v>
      </c>
      <c r="Z28" s="48">
        <f>SQRT((T28^2))</f>
        <v>4.7642124555425429E-2</v>
      </c>
    </row>
    <row r="29" spans="1:27" ht="17" thickBot="1">
      <c r="A29" s="250" t="s">
        <v>282</v>
      </c>
      <c r="B29" s="40">
        <v>0.3</v>
      </c>
      <c r="C29" s="41">
        <f>K29/L29</f>
        <v>1340</v>
      </c>
      <c r="D29" s="41">
        <f>0.25/K29</f>
        <v>0.37313432835820892</v>
      </c>
      <c r="E29" s="42">
        <v>1</v>
      </c>
      <c r="F29" s="41">
        <f>(J29/K29)^E29</f>
        <v>7.7611940298507459E-2</v>
      </c>
      <c r="G29" s="43">
        <f>((1-I29)/I29)*(((1-I29)*M29)+(I29*N29))</f>
        <v>1643.0180875194787</v>
      </c>
      <c r="H29" s="44">
        <f>'4. Mineralogy wt.%'!K5/100</f>
        <v>0.27955628725861659</v>
      </c>
      <c r="I29" s="200">
        <f>H29/100</f>
        <v>2.7955628725861658E-3</v>
      </c>
      <c r="J29" s="42">
        <f>'5. Grain Size Distribution'!R106/10000</f>
        <v>5.1999999999999998E-2</v>
      </c>
      <c r="K29" s="42">
        <v>0.67</v>
      </c>
      <c r="L29" s="42">
        <f>5/10000</f>
        <v>5.0000000000000001E-4</v>
      </c>
      <c r="M29" s="42">
        <v>4.6100000000000003</v>
      </c>
      <c r="N29" s="41">
        <f>'4. Mineralogy wt.%'!K13</f>
        <v>3.1923355896786902</v>
      </c>
      <c r="O29" s="41">
        <f>B29*D29*F29*G29</f>
        <v>14.274383028126456</v>
      </c>
      <c r="P29" s="45">
        <v>16764.73</v>
      </c>
      <c r="Q29" s="45">
        <v>1045.8200000000002</v>
      </c>
      <c r="R29" s="46">
        <f>(O29*((K29)^3)*((1/Q29)-(1/P29)))+(O29*((K29)^3)*((1/P29)))</f>
        <v>4.1051101171218733E-3</v>
      </c>
      <c r="S29" s="47" t="s">
        <v>72</v>
      </c>
      <c r="T29" s="44">
        <f>SQRT(R29)</f>
        <v>6.4071133259228946E-2</v>
      </c>
      <c r="U29" s="42">
        <v>216960</v>
      </c>
      <c r="V29" s="42">
        <v>60897</v>
      </c>
      <c r="W29" s="41">
        <f>V29/U29</f>
        <v>0.28068307522123892</v>
      </c>
      <c r="X29" s="41">
        <f>1-W29</f>
        <v>0.71931692477876108</v>
      </c>
      <c r="Y29" s="44">
        <f>SQRT(R29)</f>
        <v>6.4071133259228946E-2</v>
      </c>
      <c r="Z29" s="48">
        <f>SQRT((T29^2))</f>
        <v>6.4071133259228946E-2</v>
      </c>
    </row>
    <row r="30" spans="1:27" ht="17" thickBot="1">
      <c r="A30" s="250" t="s">
        <v>283</v>
      </c>
      <c r="B30" s="40">
        <v>0.3</v>
      </c>
      <c r="C30" s="41">
        <f>K30/L30</f>
        <v>1340</v>
      </c>
      <c r="D30" s="41">
        <f>0.225/K30</f>
        <v>0.33582089552238803</v>
      </c>
      <c r="E30" s="42">
        <v>1</v>
      </c>
      <c r="F30" s="41">
        <f>(J30/K30)^E30</f>
        <v>1.6417910447761194E-2</v>
      </c>
      <c r="G30" s="43">
        <f>((1-I30)/I30)*(((1-I30)*M30)+(I30*N30))</f>
        <v>13794.325410732054</v>
      </c>
      <c r="H30" s="44">
        <f>'4. Mineralogy wt.%'!K20/100</f>
        <v>3.3405202314797128E-2</v>
      </c>
      <c r="I30" s="200">
        <f>H30/100</f>
        <v>3.3405202314797127E-4</v>
      </c>
      <c r="J30" s="42">
        <f>'5. Grain Size Distribution'!R144/10000</f>
        <v>1.0999999999999999E-2</v>
      </c>
      <c r="K30" s="42">
        <v>0.67</v>
      </c>
      <c r="L30" s="42">
        <f>5/10000</f>
        <v>5.0000000000000001E-4</v>
      </c>
      <c r="M30" s="42">
        <v>4.6100000000000003</v>
      </c>
      <c r="N30" s="41">
        <f>'4. Mineralogy wt.%'!K28</f>
        <v>3.2992609749639739</v>
      </c>
      <c r="O30" s="41">
        <f>B30*D30*F30*G30</f>
        <v>22.81641037529193</v>
      </c>
      <c r="P30" s="45">
        <f>35328.01</f>
        <v>35328.01</v>
      </c>
      <c r="Q30" s="45">
        <v>994.9</v>
      </c>
      <c r="R30" s="46">
        <f>(O30*((K30)^3)*((1/Q30)-(1/P30)))+(O30*((K30)^3)*((1/P30)))</f>
        <v>6.8975093312935234E-3</v>
      </c>
      <c r="S30" s="47" t="s">
        <v>72</v>
      </c>
      <c r="T30" s="44">
        <f>SQRT(R30)</f>
        <v>8.3051245212179228E-2</v>
      </c>
      <c r="U30" s="256">
        <v>235415</v>
      </c>
      <c r="V30" s="256">
        <v>17859</v>
      </c>
      <c r="W30" s="257">
        <f>V30/U30</f>
        <v>7.5861776012573545E-2</v>
      </c>
      <c r="X30" s="257">
        <f>1-W30</f>
        <v>0.92413822398742651</v>
      </c>
      <c r="Y30" s="258">
        <f>SQRT(R30)</f>
        <v>8.3051245212179228E-2</v>
      </c>
      <c r="Z30" s="259">
        <f>SQRT((T30^2))</f>
        <v>8.3051245212179228E-2</v>
      </c>
    </row>
    <row r="31" spans="1:27" ht="17" customHeight="1" thickBot="1">
      <c r="A31" s="250"/>
      <c r="B31" s="39"/>
      <c r="C31" s="40"/>
      <c r="D31" s="41"/>
      <c r="E31" s="42"/>
      <c r="F31" s="42"/>
      <c r="G31" s="41"/>
      <c r="H31" s="43"/>
      <c r="I31" s="44"/>
      <c r="J31" s="200"/>
      <c r="K31" s="42"/>
      <c r="L31" s="42"/>
      <c r="M31" s="42"/>
      <c r="N31" s="42"/>
      <c r="O31" s="41"/>
      <c r="P31" s="41"/>
      <c r="Q31" s="45"/>
      <c r="R31" s="45"/>
      <c r="S31" s="46"/>
      <c r="T31" s="47"/>
      <c r="U31" s="44"/>
      <c r="V31" s="17"/>
      <c r="W31" s="17"/>
      <c r="X31" s="16"/>
      <c r="Y31" s="16"/>
      <c r="Z31" s="260"/>
      <c r="AA31" s="18"/>
    </row>
    <row r="32" spans="1:27" ht="14" customHeight="1" thickBot="1">
      <c r="A32" s="467" t="s">
        <v>245</v>
      </c>
      <c r="B32" s="468"/>
      <c r="C32" s="468"/>
      <c r="D32" s="468"/>
      <c r="E32" s="468"/>
      <c r="F32" s="468"/>
      <c r="G32" s="468"/>
      <c r="H32" s="468"/>
      <c r="I32" s="468"/>
      <c r="J32" s="468"/>
      <c r="K32" s="468"/>
      <c r="L32" s="468"/>
      <c r="M32" s="468"/>
      <c r="N32" s="468"/>
      <c r="O32" s="468"/>
      <c r="P32" s="468"/>
      <c r="Q32" s="468"/>
      <c r="R32" s="468"/>
      <c r="S32" s="468"/>
      <c r="T32" s="468"/>
      <c r="U32" s="469"/>
      <c r="V32" s="255"/>
    </row>
    <row r="33" spans="1:35" s="158" customFormat="1" ht="33" customHeight="1" thickBot="1">
      <c r="A33" s="149"/>
      <c r="B33" s="147" t="s">
        <v>207</v>
      </c>
      <c r="C33" s="147" t="s">
        <v>208</v>
      </c>
      <c r="D33" s="147" t="s">
        <v>212</v>
      </c>
      <c r="E33" s="147" t="s">
        <v>276</v>
      </c>
      <c r="F33" s="147" t="s">
        <v>235</v>
      </c>
      <c r="G33" s="147" t="s">
        <v>213</v>
      </c>
      <c r="H33" s="147" t="s">
        <v>242</v>
      </c>
      <c r="I33" s="147" t="s">
        <v>0</v>
      </c>
      <c r="J33" s="147" t="s">
        <v>209</v>
      </c>
      <c r="K33" s="147"/>
      <c r="L33" s="147" t="s">
        <v>243</v>
      </c>
      <c r="M33" s="147" t="s">
        <v>232</v>
      </c>
      <c r="N33" s="147"/>
      <c r="O33" s="147"/>
      <c r="P33" s="150"/>
      <c r="Q33" s="147" t="s">
        <v>241</v>
      </c>
      <c r="R33" s="147"/>
      <c r="S33" s="162" t="s">
        <v>214</v>
      </c>
      <c r="T33" s="147" t="s">
        <v>244</v>
      </c>
      <c r="U33" s="151" t="s">
        <v>226</v>
      </c>
    </row>
    <row r="34" spans="1:35" s="155" customFormat="1">
      <c r="A34" s="343" t="s">
        <v>32</v>
      </c>
      <c r="B34" s="152" t="s">
        <v>8</v>
      </c>
      <c r="C34" s="101">
        <f>D34*$Q$34</f>
        <v>75600</v>
      </c>
      <c r="D34" s="163">
        <v>0.63</v>
      </c>
      <c r="E34" s="252">
        <f>'4. Mineralogy wt.%'!C5/100</f>
        <v>5.5778465330423702E-2</v>
      </c>
      <c r="F34" s="230">
        <f>'4. Mineralogy wt.%'!C13</f>
        <v>3.1852939160404103</v>
      </c>
      <c r="G34" s="241">
        <f>(6.7+2)/2/10</f>
        <v>0.43499999999999994</v>
      </c>
      <c r="H34" s="164">
        <f t="shared" ref="H34:H49" si="1">C34*(G34^3)</f>
        <v>6222.8533499999976</v>
      </c>
      <c r="I34" s="479">
        <f>(1/($Q$34*(0.8^3)))*(SUM($H$34:$H$38))</f>
        <v>0.10230626320130541</v>
      </c>
      <c r="J34" s="101">
        <f t="shared" ref="J34:J53" si="2">C34*E34</f>
        <v>4216.8519789800321</v>
      </c>
      <c r="K34" s="164">
        <f>(E34-$R$34)^2</f>
        <v>6.594027554776563E-5</v>
      </c>
      <c r="L34" s="101">
        <f t="shared" ref="L34:L53" si="3">C34^2</f>
        <v>5715360000</v>
      </c>
      <c r="M34" s="164">
        <f t="shared" ref="M34:M53" si="4">C34/F34</f>
        <v>23734.073524360098</v>
      </c>
      <c r="N34" s="164">
        <f>K34*(L34/M34)</f>
        <v>15.878960384439054</v>
      </c>
      <c r="O34" s="164">
        <f t="shared" ref="O34:O53" si="5">M34*D34</f>
        <v>14952.466320346861</v>
      </c>
      <c r="P34" s="479">
        <f>SUM(O34:O38)</f>
        <v>16411.200116404383</v>
      </c>
      <c r="Q34" s="470">
        <f>P27</f>
        <v>120000</v>
      </c>
      <c r="R34" s="473">
        <f>'4. Mineralogy wt.%'!B5/100</f>
        <v>6.3898827117177148E-2</v>
      </c>
      <c r="S34" s="479">
        <f>((I34*P34)/(Q34*(R34^2)))*(SUM(N34:N38))</f>
        <v>344.79986634067632</v>
      </c>
      <c r="T34" s="479">
        <f>Q27</f>
        <v>3750</v>
      </c>
      <c r="U34" s="484">
        <f>SQRT(S34/T34)</f>
        <v>0.30322702884832076</v>
      </c>
      <c r="AE34" s="3"/>
      <c r="AF34" s="3"/>
      <c r="AG34" s="3"/>
      <c r="AH34" s="3"/>
      <c r="AI34" s="3"/>
    </row>
    <row r="35" spans="1:35" s="155" customFormat="1">
      <c r="A35" s="344"/>
      <c r="B35" s="51" t="s">
        <v>7</v>
      </c>
      <c r="C35" s="148">
        <f>D35*$Q$34</f>
        <v>17347.080000000002</v>
      </c>
      <c r="D35" s="159">
        <v>0.14455900000000002</v>
      </c>
      <c r="E35" s="253">
        <f>'4. Mineralogy wt.%'!D5/100</f>
        <v>6.3292073512769498E-2</v>
      </c>
      <c r="F35" s="231">
        <f>'4. Mineralogy wt.%'!D13</f>
        <v>3.1995930848845782</v>
      </c>
      <c r="G35" s="242">
        <f>(2+1)/2/10</f>
        <v>0.15</v>
      </c>
      <c r="H35" s="121">
        <f t="shared" si="1"/>
        <v>58.546395000000004</v>
      </c>
      <c r="I35" s="480"/>
      <c r="J35" s="148">
        <f t="shared" si="2"/>
        <v>1097.9326625918936</v>
      </c>
      <c r="K35" s="121">
        <f>(E35-$R$34)^2</f>
        <v>3.6814993646167558E-7</v>
      </c>
      <c r="L35" s="148">
        <f t="shared" si="3"/>
        <v>300921184.52640009</v>
      </c>
      <c r="M35" s="121">
        <f t="shared" si="4"/>
        <v>5421.6519225368247</v>
      </c>
      <c r="N35" s="121">
        <f t="shared" ref="N35:N38" si="6">K35*(L35/M35)</f>
        <v>2.0433645786601836E-2</v>
      </c>
      <c r="O35" s="121">
        <f t="shared" si="5"/>
        <v>783.74858027000096</v>
      </c>
      <c r="P35" s="480"/>
      <c r="Q35" s="471"/>
      <c r="R35" s="474"/>
      <c r="S35" s="480"/>
      <c r="T35" s="480"/>
      <c r="U35" s="482"/>
      <c r="AE35" s="119"/>
      <c r="AF35" s="119"/>
      <c r="AG35" s="119"/>
      <c r="AH35" s="119"/>
      <c r="AI35" s="119"/>
    </row>
    <row r="36" spans="1:35" s="155" customFormat="1">
      <c r="A36" s="344"/>
      <c r="B36" s="51" t="s">
        <v>6</v>
      </c>
      <c r="C36" s="148">
        <f>D36*$Q$34</f>
        <v>11357.519999999999</v>
      </c>
      <c r="D36" s="159">
        <v>9.4645999999999994E-2</v>
      </c>
      <c r="E36" s="253">
        <f>'4. Mineralogy wt.%'!E5/100</f>
        <v>6.4409832064960801E-2</v>
      </c>
      <c r="F36" s="231">
        <f>'4. Mineralogy wt.%'!E13</f>
        <v>3.0628567941185234</v>
      </c>
      <c r="G36" s="242">
        <f>(1+0.425)/2/10</f>
        <v>7.1250000000000008E-2</v>
      </c>
      <c r="H36" s="121">
        <f t="shared" si="1"/>
        <v>4.1080726589062504</v>
      </c>
      <c r="I36" s="480"/>
      <c r="J36" s="148">
        <f t="shared" si="2"/>
        <v>731.53595587443351</v>
      </c>
      <c r="K36" s="121">
        <f>(E36-$R$34)^2</f>
        <v>2.6112605665937348E-7</v>
      </c>
      <c r="L36" s="148">
        <f t="shared" si="3"/>
        <v>128993260.55039997</v>
      </c>
      <c r="M36" s="121">
        <f t="shared" si="4"/>
        <v>3708.1459445996211</v>
      </c>
      <c r="N36" s="121">
        <f t="shared" si="6"/>
        <v>9.083650418942173E-3</v>
      </c>
      <c r="O36" s="121">
        <f t="shared" si="5"/>
        <v>350.9611810725757</v>
      </c>
      <c r="P36" s="480"/>
      <c r="Q36" s="471"/>
      <c r="R36" s="474"/>
      <c r="S36" s="480"/>
      <c r="T36" s="480"/>
      <c r="U36" s="482"/>
      <c r="AE36" s="119"/>
      <c r="AF36" s="119"/>
      <c r="AG36" s="119"/>
      <c r="AH36" s="119"/>
      <c r="AI36" s="119"/>
    </row>
    <row r="37" spans="1:35" s="155" customFormat="1">
      <c r="A37" s="344"/>
      <c r="B37" s="51" t="s">
        <v>5</v>
      </c>
      <c r="C37" s="148">
        <f>D37*$Q$34</f>
        <v>7681.2000000000016</v>
      </c>
      <c r="D37" s="159">
        <v>6.4010000000000011E-2</v>
      </c>
      <c r="E37" s="253">
        <f>'4. Mineralogy wt.%'!F5/100</f>
        <v>8.0596176753480811E-2</v>
      </c>
      <c r="F37" s="231">
        <f>'4. Mineralogy wt.%'!F13</f>
        <v>3.1244435201370528</v>
      </c>
      <c r="G37" s="242">
        <f>(0.425+0.153)/2/10</f>
        <v>2.8899999999999999E-2</v>
      </c>
      <c r="H37" s="121">
        <f t="shared" si="1"/>
        <v>0.18540549500280004</v>
      </c>
      <c r="I37" s="480"/>
      <c r="J37" s="148">
        <f t="shared" si="2"/>
        <v>619.07535287883695</v>
      </c>
      <c r="K37" s="121">
        <f>(E37-$R$34)^2</f>
        <v>2.7880148487697008E-4</v>
      </c>
      <c r="L37" s="148">
        <f t="shared" si="3"/>
        <v>59000833.440000027</v>
      </c>
      <c r="M37" s="121">
        <f t="shared" si="4"/>
        <v>2458.4217799088483</v>
      </c>
      <c r="N37" s="121">
        <f t="shared" si="6"/>
        <v>6.6910894243137982</v>
      </c>
      <c r="O37" s="121">
        <f t="shared" si="5"/>
        <v>157.3635781319654</v>
      </c>
      <c r="P37" s="480"/>
      <c r="Q37" s="471"/>
      <c r="R37" s="474"/>
      <c r="S37" s="480"/>
      <c r="T37" s="480"/>
      <c r="U37" s="482"/>
      <c r="AE37" s="119"/>
      <c r="AF37" s="119"/>
      <c r="AG37" s="119"/>
      <c r="AH37" s="119"/>
      <c r="AI37" s="119"/>
    </row>
    <row r="38" spans="1:35" s="155" customFormat="1" ht="16" thickBot="1">
      <c r="A38" s="345"/>
      <c r="B38" s="65" t="s">
        <v>4</v>
      </c>
      <c r="C38" s="160">
        <f>D38*$Q$34</f>
        <v>8014.2</v>
      </c>
      <c r="D38" s="161">
        <v>6.6784999999999997E-2</v>
      </c>
      <c r="E38" s="254">
        <f>'4. Mineralogy wt.%'!G5/100</f>
        <v>0.118957467561778</v>
      </c>
      <c r="F38" s="232">
        <f>'4. Mineralogy wt.%'!G13</f>
        <v>3.2114897437203997</v>
      </c>
      <c r="G38" s="243">
        <f>(0.153+0)/2/10</f>
        <v>7.6499999999999997E-3</v>
      </c>
      <c r="H38" s="124">
        <f t="shared" si="1"/>
        <v>3.5879342991749991E-3</v>
      </c>
      <c r="I38" s="481"/>
      <c r="J38" s="160">
        <f t="shared" si="2"/>
        <v>953.3489365336012</v>
      </c>
      <c r="K38" s="124">
        <f>(E38-$R$34)^2</f>
        <v>3.0314538876078361E-3</v>
      </c>
      <c r="L38" s="160">
        <f t="shared" si="3"/>
        <v>64227401.640000001</v>
      </c>
      <c r="M38" s="124">
        <f t="shared" si="4"/>
        <v>2495.4773764015908</v>
      </c>
      <c r="N38" s="124">
        <f t="shared" si="6"/>
        <v>78.022108408485508</v>
      </c>
      <c r="O38" s="124">
        <f t="shared" si="5"/>
        <v>166.66045658298023</v>
      </c>
      <c r="P38" s="481"/>
      <c r="Q38" s="472"/>
      <c r="R38" s="475"/>
      <c r="S38" s="481"/>
      <c r="T38" s="481"/>
      <c r="U38" s="483"/>
      <c r="AE38" s="119"/>
      <c r="AF38" s="119"/>
      <c r="AG38" s="119"/>
      <c r="AH38" s="119"/>
      <c r="AI38" s="119"/>
    </row>
    <row r="39" spans="1:35" s="155" customFormat="1" ht="16" customHeight="1">
      <c r="A39" s="344" t="s">
        <v>14</v>
      </c>
      <c r="B39" s="239" t="s">
        <v>8</v>
      </c>
      <c r="C39" s="227">
        <f>D39*$Q$39</f>
        <v>73080</v>
      </c>
      <c r="D39" s="163">
        <v>0.63</v>
      </c>
      <c r="E39" s="252">
        <f>'4. Mineralogy wt.%'!C20/100</f>
        <v>8.45189070934598E-2</v>
      </c>
      <c r="F39" s="230">
        <f>'4. Mineralogy wt.%'!C28</f>
        <v>2.9204160373903636</v>
      </c>
      <c r="G39" s="241">
        <f>(6.7+2)/2/10</f>
        <v>0.43499999999999994</v>
      </c>
      <c r="H39" s="121">
        <f t="shared" si="1"/>
        <v>6015.4249049999971</v>
      </c>
      <c r="I39" s="479">
        <f>(1/($Q$39*(0.8^3)))*(SUM($H$39:$H$43))</f>
        <v>0.1021974622811162</v>
      </c>
      <c r="J39" s="148">
        <f t="shared" si="2"/>
        <v>6176.6417303900425</v>
      </c>
      <c r="K39" s="121">
        <f>(E39-$R$39)^2</f>
        <v>1.0188668681038742E-6</v>
      </c>
      <c r="L39" s="148">
        <f t="shared" si="3"/>
        <v>5340686400</v>
      </c>
      <c r="M39" s="121">
        <f t="shared" si="4"/>
        <v>25023.831900780515</v>
      </c>
      <c r="N39" s="121">
        <f>K39*(L39/M39)</f>
        <v>0.2174506465463921</v>
      </c>
      <c r="O39" s="121">
        <f t="shared" si="5"/>
        <v>15765.014097491725</v>
      </c>
      <c r="P39" s="479">
        <f>SUM(O39:O43)</f>
        <v>17221.45593379817</v>
      </c>
      <c r="Q39" s="471">
        <f>P28</f>
        <v>116000</v>
      </c>
      <c r="R39" s="474">
        <f>'4. Mineralogy wt.%'!B20/100</f>
        <v>8.5528296447526839E-2</v>
      </c>
      <c r="S39" s="479">
        <f>((I39*P39)/(Q39*(R39^2)))*(SUM(N39:N43))</f>
        <v>245.21734986192723</v>
      </c>
      <c r="T39" s="480">
        <f>Q28</f>
        <v>2854.74</v>
      </c>
      <c r="U39" s="482">
        <f>SQRT(S39/T39)</f>
        <v>0.29308413968151031</v>
      </c>
      <c r="AE39" s="119"/>
      <c r="AF39" s="119"/>
      <c r="AG39" s="119"/>
      <c r="AH39" s="119"/>
      <c r="AI39" s="119"/>
    </row>
    <row r="40" spans="1:35" s="155" customFormat="1" ht="15" customHeight="1">
      <c r="A40" s="344"/>
      <c r="B40" s="51" t="s">
        <v>7</v>
      </c>
      <c r="C40" s="229">
        <f>D40*$Q$39</f>
        <v>14756.475999999999</v>
      </c>
      <c r="D40" s="175">
        <v>0.12721099999999999</v>
      </c>
      <c r="E40" s="253">
        <f>'4. Mineralogy wt.%'!D20/100</f>
        <v>7.8497697230399399E-2</v>
      </c>
      <c r="F40" s="231">
        <f>'4. Mineralogy wt.%'!D28</f>
        <v>2.9317420870531485</v>
      </c>
      <c r="G40" s="242">
        <f>(2+1)/2/10</f>
        <v>0.15</v>
      </c>
      <c r="H40" s="121">
        <f t="shared" si="1"/>
        <v>49.803106499999998</v>
      </c>
      <c r="I40" s="480"/>
      <c r="J40" s="148">
        <f t="shared" si="2"/>
        <v>1158.3493852356551</v>
      </c>
      <c r="K40" s="121">
        <f>(E40-$R$39)^2</f>
        <v>4.9429325351872963E-5</v>
      </c>
      <c r="L40" s="148">
        <f t="shared" si="3"/>
        <v>217753583.93857595</v>
      </c>
      <c r="M40" s="121">
        <f t="shared" si="4"/>
        <v>5033.3472596944994</v>
      </c>
      <c r="N40" s="121">
        <f t="shared" ref="N40:N43" si="7">K40*(L40/M40)</f>
        <v>2.1384204569444982</v>
      </c>
      <c r="O40" s="121">
        <f t="shared" si="5"/>
        <v>640.29713825299689</v>
      </c>
      <c r="P40" s="480"/>
      <c r="Q40" s="471"/>
      <c r="R40" s="474"/>
      <c r="S40" s="480"/>
      <c r="T40" s="480"/>
      <c r="U40" s="482"/>
      <c r="AE40" s="119"/>
      <c r="AF40" s="119"/>
      <c r="AG40" s="119"/>
      <c r="AH40" s="119"/>
      <c r="AI40" s="119"/>
    </row>
    <row r="41" spans="1:35" s="155" customFormat="1">
      <c r="A41" s="344"/>
      <c r="B41" s="51" t="s">
        <v>6</v>
      </c>
      <c r="C41" s="229">
        <f>D41*$Q$39</f>
        <v>11875.964</v>
      </c>
      <c r="D41" s="175">
        <v>0.102379</v>
      </c>
      <c r="E41" s="253">
        <f>'4. Mineralogy wt.%'!E20/100</f>
        <v>5.8359239800927505E-2</v>
      </c>
      <c r="F41" s="231">
        <f>'4. Mineralogy wt.%'!E28</f>
        <v>2.8473063194734642</v>
      </c>
      <c r="G41" s="242">
        <f>(1+0.425)/2/10</f>
        <v>7.1250000000000008E-2</v>
      </c>
      <c r="H41" s="121">
        <f t="shared" si="1"/>
        <v>4.2955964864296883</v>
      </c>
      <c r="I41" s="480"/>
      <c r="J41" s="148">
        <f t="shared" si="2"/>
        <v>693.07223094318226</v>
      </c>
      <c r="K41" s="121">
        <f>(E41-$R$39)^2</f>
        <v>7.381576390661234E-4</v>
      </c>
      <c r="L41" s="148">
        <f t="shared" si="3"/>
        <v>141038520.92929599</v>
      </c>
      <c r="M41" s="121">
        <f t="shared" si="4"/>
        <v>4170.9470873496157</v>
      </c>
      <c r="N41" s="121">
        <f t="shared" si="7"/>
        <v>24.960436909474655</v>
      </c>
      <c r="O41" s="121">
        <f t="shared" si="5"/>
        <v>427.01739185576628</v>
      </c>
      <c r="P41" s="480"/>
      <c r="Q41" s="471"/>
      <c r="R41" s="474"/>
      <c r="S41" s="480"/>
      <c r="T41" s="480"/>
      <c r="U41" s="482"/>
      <c r="AD41" s="15"/>
      <c r="AE41" s="119"/>
      <c r="AF41" s="119"/>
      <c r="AG41" s="119"/>
      <c r="AH41" s="119"/>
      <c r="AI41" s="119"/>
    </row>
    <row r="42" spans="1:35" s="155" customFormat="1">
      <c r="A42" s="344"/>
      <c r="B42" s="51" t="s">
        <v>5</v>
      </c>
      <c r="C42" s="229">
        <f>D42*$Q$39</f>
        <v>7631.1760000000013</v>
      </c>
      <c r="D42" s="175">
        <v>6.5786000000000011E-2</v>
      </c>
      <c r="E42" s="253">
        <f>'4. Mineralogy wt.%'!F20/100</f>
        <v>8.408308407031051E-2</v>
      </c>
      <c r="F42" s="231">
        <f>'4. Mineralogy wt.%'!F28</f>
        <v>2.8869132225714633</v>
      </c>
      <c r="G42" s="242">
        <f>(0.425+0.153)/2/10</f>
        <v>2.8899999999999999E-2</v>
      </c>
      <c r="H42" s="121">
        <f t="shared" si="1"/>
        <v>0.18419803725114403</v>
      </c>
      <c r="I42" s="480"/>
      <c r="J42" s="148">
        <f t="shared" si="2"/>
        <v>641.65281316333596</v>
      </c>
      <c r="K42" s="121">
        <f>(E42-$R$39)^2</f>
        <v>2.0886388152592726E-6</v>
      </c>
      <c r="L42" s="148">
        <f t="shared" si="3"/>
        <v>58234847.142976023</v>
      </c>
      <c r="M42" s="121">
        <f t="shared" si="4"/>
        <v>2643.3686819317263</v>
      </c>
      <c r="N42" s="121">
        <f t="shared" si="7"/>
        <v>4.60138470183524E-2</v>
      </c>
      <c r="O42" s="121">
        <f t="shared" si="5"/>
        <v>173.89665210956056</v>
      </c>
      <c r="P42" s="480"/>
      <c r="Q42" s="471"/>
      <c r="R42" s="474"/>
      <c r="S42" s="480"/>
      <c r="T42" s="480"/>
      <c r="U42" s="482"/>
      <c r="AC42" s="15"/>
      <c r="AD42" s="15"/>
      <c r="AE42" s="119"/>
      <c r="AF42" s="119"/>
      <c r="AG42" s="119"/>
      <c r="AH42" s="119"/>
      <c r="AI42" s="119"/>
    </row>
    <row r="43" spans="1:35" s="155" customFormat="1" ht="16" thickBot="1">
      <c r="A43" s="344"/>
      <c r="B43" s="65" t="s">
        <v>4</v>
      </c>
      <c r="C43" s="160">
        <f>D43*$Q$39</f>
        <v>8652.6720000000005</v>
      </c>
      <c r="D43" s="176">
        <v>7.4592000000000006E-2</v>
      </c>
      <c r="E43" s="254">
        <f>'4. Mineralogy wt.%'!G20/100</f>
        <v>0.14470553034914599</v>
      </c>
      <c r="F43" s="232">
        <f>'4. Mineralogy wt.%'!G28</f>
        <v>2.9987369250838265</v>
      </c>
      <c r="G43" s="243">
        <f>(0.153+0)/2/10</f>
        <v>7.6499999999999997E-3</v>
      </c>
      <c r="H43" s="121">
        <f t="shared" si="1"/>
        <v>3.8737763779679996E-3</v>
      </c>
      <c r="I43" s="481"/>
      <c r="J43" s="148">
        <f t="shared" si="2"/>
        <v>1252.0894906972057</v>
      </c>
      <c r="K43" s="121">
        <f>(E43-$R$39)^2</f>
        <v>3.5019450122469428E-3</v>
      </c>
      <c r="L43" s="148">
        <f t="shared" si="3"/>
        <v>74868732.739584014</v>
      </c>
      <c r="M43" s="121">
        <f t="shared" si="4"/>
        <v>2885.4388418077469</v>
      </c>
      <c r="N43" s="121">
        <f t="shared" si="7"/>
        <v>90.865271996676313</v>
      </c>
      <c r="O43" s="121">
        <f t="shared" si="5"/>
        <v>215.23065408812349</v>
      </c>
      <c r="P43" s="481"/>
      <c r="Q43" s="471"/>
      <c r="R43" s="474"/>
      <c r="S43" s="481"/>
      <c r="T43" s="480"/>
      <c r="U43" s="482"/>
      <c r="AC43" s="15"/>
      <c r="AD43" s="15"/>
      <c r="AE43" s="119"/>
      <c r="AF43" s="119"/>
      <c r="AG43" s="119"/>
      <c r="AH43" s="119"/>
      <c r="AI43" s="119"/>
    </row>
    <row r="44" spans="1:35" s="155" customFormat="1">
      <c r="A44" s="343" t="s">
        <v>28</v>
      </c>
      <c r="B44" s="239" t="s">
        <v>8</v>
      </c>
      <c r="C44" s="227">
        <f>D44*$Q$44</f>
        <v>9525.4803509208068</v>
      </c>
      <c r="D44" s="163">
        <v>0.56818572985791049</v>
      </c>
      <c r="E44" s="252">
        <f>'4. Mineralogy wt.%'!L5/100</f>
        <v>0.25883212916494697</v>
      </c>
      <c r="F44" s="230">
        <f>'4. Mineralogy wt.%'!L13</f>
        <v>3.0862147733965961</v>
      </c>
      <c r="G44" s="241">
        <f>(6.7+2)/2/10</f>
        <v>0.43499999999999994</v>
      </c>
      <c r="H44" s="164">
        <f t="shared" si="1"/>
        <v>784.06967344030022</v>
      </c>
      <c r="I44" s="479">
        <f>(1/($Q$44*(0.8^3)))*(SUM($H$44:$H$48))</f>
        <v>9.2273898413605573E-2</v>
      </c>
      <c r="J44" s="101">
        <f t="shared" si="2"/>
        <v>2465.5003605476986</v>
      </c>
      <c r="K44" s="164">
        <f>(E44-$R$44)^2</f>
        <v>4.2949072869141204E-4</v>
      </c>
      <c r="L44" s="101">
        <f t="shared" si="3"/>
        <v>90734775.915778384</v>
      </c>
      <c r="M44" s="164">
        <f t="shared" si="4"/>
        <v>3086.4606161020179</v>
      </c>
      <c r="N44" s="164">
        <f>K44*(L44/M44)</f>
        <v>12.626030224528082</v>
      </c>
      <c r="O44" s="164">
        <f t="shared" si="5"/>
        <v>1753.6828778376212</v>
      </c>
      <c r="P44" s="479">
        <f>SUM(O44:O48)</f>
        <v>2008.7543888243945</v>
      </c>
      <c r="Q44" s="470">
        <f>P29</f>
        <v>16764.73</v>
      </c>
      <c r="R44" s="473">
        <f>'4. Mineralogy wt.%'!K5/100</f>
        <v>0.27955628725861659</v>
      </c>
      <c r="S44" s="479">
        <f>((I44*P44)/(Q44*(R44^2)))*(SUM(N44:N48))</f>
        <v>12.052465114022661</v>
      </c>
      <c r="T44" s="479">
        <f>Q29</f>
        <v>1045.8200000000002</v>
      </c>
      <c r="U44" s="484">
        <f>SQRT(S44/T44)</f>
        <v>0.10735183443502425</v>
      </c>
      <c r="AC44" s="15"/>
      <c r="AD44" s="15"/>
      <c r="AE44" s="119"/>
      <c r="AF44" s="119"/>
      <c r="AG44" s="119"/>
      <c r="AH44" s="119"/>
      <c r="AI44" s="119"/>
    </row>
    <row r="45" spans="1:35" s="155" customFormat="1">
      <c r="A45" s="344"/>
      <c r="B45" s="51" t="s">
        <v>7</v>
      </c>
      <c r="C45" s="229">
        <f>D45*$Q$44</f>
        <v>2157.8285988984721</v>
      </c>
      <c r="D45" s="175">
        <v>0.12871239792698552</v>
      </c>
      <c r="E45" s="253">
        <f>'4. Mineralogy wt.%'!M5/100</f>
        <v>0.31670433428552497</v>
      </c>
      <c r="F45" s="231">
        <f>'4. Mineralogy wt.%'!M13</f>
        <v>3.177521920432465</v>
      </c>
      <c r="G45" s="242">
        <f>(2+1)/2/10</f>
        <v>0.15</v>
      </c>
      <c r="H45" s="121">
        <f t="shared" si="1"/>
        <v>7.2826715212823432</v>
      </c>
      <c r="I45" s="480"/>
      <c r="J45" s="148">
        <f t="shared" si="2"/>
        <v>683.3936699164077</v>
      </c>
      <c r="K45" s="121">
        <f>(E45-$R$44)^2</f>
        <v>1.3799773979133966E-3</v>
      </c>
      <c r="L45" s="148">
        <f t="shared" si="3"/>
        <v>4656224.2622241434</v>
      </c>
      <c r="M45" s="121">
        <f t="shared" si="4"/>
        <v>679.09164843929352</v>
      </c>
      <c r="N45" s="121">
        <f t="shared" ref="N45:N48" si="8">K45*(L45/M45)</f>
        <v>9.4618808171953184</v>
      </c>
      <c r="O45" s="121">
        <f t="shared" si="5"/>
        <v>87.40751448281091</v>
      </c>
      <c r="P45" s="480"/>
      <c r="Q45" s="471"/>
      <c r="R45" s="474"/>
      <c r="S45" s="480"/>
      <c r="T45" s="480"/>
      <c r="U45" s="482"/>
      <c r="AC45" s="15"/>
      <c r="AD45" s="15"/>
      <c r="AE45" s="119"/>
      <c r="AF45" s="119"/>
      <c r="AG45" s="119"/>
      <c r="AH45" s="119"/>
      <c r="AI45" s="119"/>
    </row>
    <row r="46" spans="1:35" s="155" customFormat="1">
      <c r="A46" s="344"/>
      <c r="B46" s="51" t="s">
        <v>6</v>
      </c>
      <c r="C46" s="229">
        <f>D46*$Q$44</f>
        <v>1793.1409781798013</v>
      </c>
      <c r="D46" s="175">
        <v>0.10695913254670975</v>
      </c>
      <c r="E46" s="253">
        <f>'4. Mineralogy wt.%'!N5/100</f>
        <v>0.24171781063887898</v>
      </c>
      <c r="F46" s="231">
        <f>'4. Mineralogy wt.%'!N13</f>
        <v>3.0180415161360079</v>
      </c>
      <c r="G46" s="242">
        <f>(1+0.425)/2/10</f>
        <v>7.1250000000000008E-2</v>
      </c>
      <c r="H46" s="121">
        <f t="shared" si="1"/>
        <v>0.64858819760166408</v>
      </c>
      <c r="I46" s="480"/>
      <c r="J46" s="148">
        <f t="shared" si="2"/>
        <v>433.43411141247947</v>
      </c>
      <c r="K46" s="121">
        <f>(E46-$R$44)^2</f>
        <v>1.4317503129024293E-3</v>
      </c>
      <c r="L46" s="148">
        <f t="shared" si="3"/>
        <v>3215354.5676276148</v>
      </c>
      <c r="M46" s="121">
        <f t="shared" si="4"/>
        <v>594.1405936905586</v>
      </c>
      <c r="N46" s="121">
        <f t="shared" si="8"/>
        <v>7.7483089982078219</v>
      </c>
      <c r="O46" s="121">
        <f t="shared" si="5"/>
        <v>63.548762511929276</v>
      </c>
      <c r="P46" s="480"/>
      <c r="Q46" s="471"/>
      <c r="R46" s="474"/>
      <c r="S46" s="480"/>
      <c r="T46" s="480"/>
      <c r="U46" s="482"/>
      <c r="AC46" s="15"/>
      <c r="AD46" s="15"/>
      <c r="AE46" s="119"/>
      <c r="AF46" s="119"/>
      <c r="AG46" s="119"/>
      <c r="AH46" s="119"/>
      <c r="AI46" s="119"/>
    </row>
    <row r="47" spans="1:35" s="155" customFormat="1">
      <c r="A47" s="344"/>
      <c r="B47" s="51" t="s">
        <v>5</v>
      </c>
      <c r="C47" s="229">
        <f>D47*$Q$44</f>
        <v>1454.4223221013174</v>
      </c>
      <c r="D47" s="175">
        <v>8.6754890899007467E-2</v>
      </c>
      <c r="E47" s="253">
        <f>'4. Mineralogy wt.%'!O5/100</f>
        <v>0.27710462290522497</v>
      </c>
      <c r="F47" s="231">
        <f>'4. Mineralogy wt.%'!O13</f>
        <v>2.9937613488786714</v>
      </c>
      <c r="G47" s="242">
        <f>(0.425+0.153)/2/10</f>
        <v>2.8899999999999999E-2</v>
      </c>
      <c r="H47" s="121">
        <f t="shared" si="1"/>
        <v>3.5106219154860771E-2</v>
      </c>
      <c r="I47" s="480"/>
      <c r="J47" s="148">
        <f t="shared" si="2"/>
        <v>403.02714911082722</v>
      </c>
      <c r="K47" s="121">
        <f>(E47-$R$44)^2</f>
        <v>6.0106581016911199E-6</v>
      </c>
      <c r="L47" s="148">
        <f t="shared" si="3"/>
        <v>2115344.2910265881</v>
      </c>
      <c r="M47" s="121">
        <f t="shared" si="4"/>
        <v>485.81772312815741</v>
      </c>
      <c r="N47" s="121">
        <f t="shared" si="8"/>
        <v>2.6171567432444077E-2</v>
      </c>
      <c r="O47" s="121">
        <f t="shared" si="5"/>
        <v>42.147063566787516</v>
      </c>
      <c r="P47" s="480"/>
      <c r="Q47" s="471"/>
      <c r="R47" s="474"/>
      <c r="S47" s="480"/>
      <c r="T47" s="480"/>
      <c r="U47" s="482"/>
      <c r="AC47" s="15"/>
      <c r="AD47" s="15"/>
      <c r="AE47" s="119"/>
      <c r="AF47" s="119"/>
      <c r="AG47" s="119"/>
      <c r="AH47" s="119"/>
      <c r="AI47" s="119"/>
    </row>
    <row r="48" spans="1:35" s="155" customFormat="1" ht="16" thickBot="1">
      <c r="A48" s="345"/>
      <c r="B48" s="65" t="s">
        <v>4</v>
      </c>
      <c r="C48" s="160">
        <f>D48*$Q$44</f>
        <v>1833.8577498996001</v>
      </c>
      <c r="D48" s="176">
        <v>0.10938784876938669</v>
      </c>
      <c r="E48" s="254">
        <f>'4. Mineralogy wt.%'!P5/100</f>
        <v>0.37609864862166903</v>
      </c>
      <c r="F48" s="232">
        <f>'4. Mineralogy wt.%'!P13</f>
        <v>3.2371740658791581</v>
      </c>
      <c r="G48" s="243">
        <f>(0.153+0)/2/10</f>
        <v>7.6499999999999997E-3</v>
      </c>
      <c r="H48" s="124">
        <f t="shared" si="1"/>
        <v>8.2101284228901987E-4</v>
      </c>
      <c r="I48" s="481"/>
      <c r="J48" s="160">
        <f t="shared" si="2"/>
        <v>689.71142150161427</v>
      </c>
      <c r="K48" s="124">
        <f>(E48-$R$44)^2</f>
        <v>9.3204275375542017E-3</v>
      </c>
      <c r="L48" s="160">
        <f t="shared" si="3"/>
        <v>3363034.2468668241</v>
      </c>
      <c r="M48" s="124">
        <f t="shared" si="4"/>
        <v>566.49958036827331</v>
      </c>
      <c r="N48" s="124">
        <f t="shared" si="8"/>
        <v>55.330874179745237</v>
      </c>
      <c r="O48" s="124">
        <f t="shared" si="5"/>
        <v>61.968170425245702</v>
      </c>
      <c r="P48" s="481"/>
      <c r="Q48" s="472"/>
      <c r="R48" s="475"/>
      <c r="S48" s="481"/>
      <c r="T48" s="481"/>
      <c r="U48" s="483"/>
      <c r="AC48" s="15"/>
      <c r="AD48" s="15"/>
      <c r="AE48" s="119"/>
      <c r="AF48" s="119"/>
      <c r="AG48" s="119"/>
      <c r="AH48" s="119"/>
      <c r="AI48" s="119"/>
    </row>
    <row r="49" spans="1:35" s="155" customFormat="1">
      <c r="A49" s="344" t="s">
        <v>22</v>
      </c>
      <c r="B49" s="239" t="s">
        <v>8</v>
      </c>
      <c r="C49" s="227">
        <f>D49*$Q$49</f>
        <v>21056.189938486281</v>
      </c>
      <c r="D49" s="163">
        <v>0.59601970047240926</v>
      </c>
      <c r="E49" s="252">
        <f>'4. Mineralogy wt.%'!L20/100</f>
        <v>2.3870128543767001E-2</v>
      </c>
      <c r="F49" s="230">
        <f>'4. Mineralogy wt.%'!L28</f>
        <v>3.2212803816178504</v>
      </c>
      <c r="G49" s="241">
        <f>(6.7+2)/2/10</f>
        <v>0.43499999999999994</v>
      </c>
      <c r="H49" s="121">
        <f t="shared" si="1"/>
        <v>1733.1955303828781</v>
      </c>
      <c r="I49" s="480">
        <f>(1/($Q$49*(0.8^3)))*(SUM($H$49:$H$53))</f>
        <v>9.6792608979668501E-2</v>
      </c>
      <c r="J49" s="148">
        <f t="shared" si="2"/>
        <v>502.61396047364093</v>
      </c>
      <c r="K49" s="121">
        <f>(E49-$R$49)^2</f>
        <v>9.091763181898668E-5</v>
      </c>
      <c r="L49" s="148">
        <f t="shared" si="3"/>
        <v>443363134.72561091</v>
      </c>
      <c r="M49" s="121">
        <f t="shared" si="4"/>
        <v>6536.5902510824144</v>
      </c>
      <c r="N49" s="121">
        <f>K49*(L49/M49)</f>
        <v>6.1667512719525144</v>
      </c>
      <c r="O49" s="121">
        <f t="shared" si="5"/>
        <v>3895.9365635610111</v>
      </c>
      <c r="P49" s="479">
        <f>SUM(O49:O53)</f>
        <v>4414.9659719940428</v>
      </c>
      <c r="Q49" s="471">
        <f>P30</f>
        <v>35328.01</v>
      </c>
      <c r="R49" s="474">
        <f>'4. Mineralogy wt.%'!K20/100</f>
        <v>3.3405202314797128E-2</v>
      </c>
      <c r="S49" s="479">
        <f>((I49*P49)/(Q49*(R49^2)))*(SUM(N49:N53))</f>
        <v>334.21475834362934</v>
      </c>
      <c r="T49" s="480">
        <f>Q30</f>
        <v>994.9</v>
      </c>
      <c r="U49" s="482">
        <f>SQRT(S49/T49)</f>
        <v>0.57959295294044966</v>
      </c>
      <c r="AC49" s="15"/>
      <c r="AD49" s="15"/>
      <c r="AE49" s="119"/>
      <c r="AF49" s="119"/>
      <c r="AG49" s="119"/>
      <c r="AH49" s="119"/>
      <c r="AI49" s="119"/>
    </row>
    <row r="50" spans="1:35" s="155" customFormat="1">
      <c r="A50" s="344"/>
      <c r="B50" s="51" t="s">
        <v>7</v>
      </c>
      <c r="C50" s="229">
        <f>D50*$Q$49</f>
        <v>4772.4239059201936</v>
      </c>
      <c r="D50" s="175">
        <v>0.13508895366368481</v>
      </c>
      <c r="E50" s="253">
        <f>'4. Mineralogy wt.%'!M20/100</f>
        <v>6.8588581981994204E-2</v>
      </c>
      <c r="F50" s="231">
        <f>'4. Mineralogy wt.%'!M28</f>
        <v>3.1979194791634891</v>
      </c>
      <c r="G50" s="242">
        <f>(2+1)/2/10</f>
        <v>0.15</v>
      </c>
      <c r="H50" s="121">
        <f t="shared" ref="H50:H53" si="9">C50*(G50^3)</f>
        <v>16.106930682480652</v>
      </c>
      <c r="I50" s="480"/>
      <c r="J50" s="148">
        <f t="shared" si="2"/>
        <v>327.33378832403622</v>
      </c>
      <c r="K50" s="121">
        <f>(E50-$R$49)^2</f>
        <v>1.2378702048061365E-3</v>
      </c>
      <c r="L50" s="148">
        <f t="shared" si="3"/>
        <v>22776029.937798556</v>
      </c>
      <c r="M50" s="121">
        <f t="shared" si="4"/>
        <v>1492.3527427803037</v>
      </c>
      <c r="N50" s="121">
        <f t="shared" ref="N50:N53" si="10">K50*(L50/M50)</f>
        <v>18.892161374158395</v>
      </c>
      <c r="O50" s="121">
        <f t="shared" si="5"/>
        <v>201.60037051932139</v>
      </c>
      <c r="P50" s="480"/>
      <c r="Q50" s="471"/>
      <c r="R50" s="474"/>
      <c r="S50" s="480"/>
      <c r="T50" s="480"/>
      <c r="U50" s="482"/>
      <c r="AC50" s="15"/>
      <c r="AD50" s="15"/>
      <c r="AE50" s="119"/>
      <c r="AF50" s="119"/>
      <c r="AG50" s="119"/>
      <c r="AH50" s="119"/>
      <c r="AI50" s="119"/>
    </row>
    <row r="51" spans="1:35" s="155" customFormat="1">
      <c r="A51" s="344"/>
      <c r="B51" s="51" t="s">
        <v>6</v>
      </c>
      <c r="C51" s="229">
        <f>D51*$Q$49</f>
        <v>3980.5708322444466</v>
      </c>
      <c r="D51" s="175">
        <v>0.11267464066740375</v>
      </c>
      <c r="E51" s="253">
        <f>'4. Mineralogy wt.%'!N20/100</f>
        <v>3.1695433589090598E-2</v>
      </c>
      <c r="F51" s="231">
        <f>'4. Mineralogy wt.%'!N28</f>
        <v>3.0666045065071672</v>
      </c>
      <c r="G51" s="242">
        <f>(1+0.425)/2/10</f>
        <v>7.1250000000000008E-2</v>
      </c>
      <c r="H51" s="121">
        <f t="shared" si="9"/>
        <v>1.4397926838590742</v>
      </c>
      <c r="I51" s="480"/>
      <c r="J51" s="148">
        <f t="shared" si="2"/>
        <v>126.16591846007495</v>
      </c>
      <c r="K51" s="121">
        <f>(E51-$R$49)^2</f>
        <v>2.9233090954041314E-6</v>
      </c>
      <c r="L51" s="148">
        <f t="shared" si="3"/>
        <v>15844944.150515245</v>
      </c>
      <c r="M51" s="121">
        <f t="shared" si="4"/>
        <v>1298.0385386501237</v>
      </c>
      <c r="N51" s="121">
        <f t="shared" si="10"/>
        <v>3.5684356028089254E-2</v>
      </c>
      <c r="O51" s="121">
        <f t="shared" si="5"/>
        <v>146.25602591484457</v>
      </c>
      <c r="P51" s="480"/>
      <c r="Q51" s="471"/>
      <c r="R51" s="474"/>
      <c r="S51" s="480"/>
      <c r="T51" s="480"/>
      <c r="U51" s="482"/>
      <c r="AC51" s="15"/>
      <c r="AD51" s="15"/>
      <c r="AE51" s="119"/>
      <c r="AF51" s="119"/>
      <c r="AG51" s="119"/>
      <c r="AH51" s="119"/>
      <c r="AI51" s="119"/>
    </row>
    <row r="52" spans="1:35" s="155" customFormat="1">
      <c r="A52" s="344"/>
      <c r="B52" s="51" t="s">
        <v>5</v>
      </c>
      <c r="C52" s="229">
        <f>D52*$Q$49</f>
        <v>1447.3511786109159</v>
      </c>
      <c r="D52" s="175">
        <v>4.0968941602171079E-2</v>
      </c>
      <c r="E52" s="253">
        <f>'4. Mineralogy wt.%'!O20/100</f>
        <v>3.1167982249546401E-2</v>
      </c>
      <c r="F52" s="231">
        <f>'4. Mineralogy wt.%'!O28</f>
        <v>2.9843009325335412</v>
      </c>
      <c r="G52" s="242">
        <f>(0.425+0.153)/2/10</f>
        <v>2.8899999999999999E-2</v>
      </c>
      <c r="H52" s="121">
        <f t="shared" si="9"/>
        <v>3.4935538940952304E-2</v>
      </c>
      <c r="I52" s="480"/>
      <c r="J52" s="148">
        <f t="shared" si="2"/>
        <v>45.111015843805092</v>
      </c>
      <c r="K52" s="121">
        <f>(E52-$R$49)^2</f>
        <v>5.0051536203604649E-6</v>
      </c>
      <c r="L52" s="148">
        <f t="shared" si="3"/>
        <v>2094825.4342264074</v>
      </c>
      <c r="M52" s="121">
        <f t="shared" si="4"/>
        <v>484.98834780116425</v>
      </c>
      <c r="N52" s="121">
        <f t="shared" si="10"/>
        <v>2.1618917554778246E-2</v>
      </c>
      <c r="O52" s="121">
        <f t="shared" si="5"/>
        <v>19.869459298799335</v>
      </c>
      <c r="P52" s="480"/>
      <c r="Q52" s="471"/>
      <c r="R52" s="474"/>
      <c r="S52" s="480"/>
      <c r="T52" s="480"/>
      <c r="U52" s="482"/>
      <c r="AC52" s="15"/>
      <c r="AD52" s="15"/>
      <c r="AE52" s="119"/>
      <c r="AF52" s="119"/>
      <c r="AG52" s="119"/>
      <c r="AH52" s="119"/>
      <c r="AI52" s="119"/>
    </row>
    <row r="53" spans="1:35" s="155" customFormat="1" ht="16" thickBot="1">
      <c r="A53" s="345"/>
      <c r="B53" s="65" t="s">
        <v>4</v>
      </c>
      <c r="C53" s="160">
        <f>D53*$Q$49</f>
        <v>4071.4741447381648</v>
      </c>
      <c r="D53" s="176">
        <v>0.11524776359433109</v>
      </c>
      <c r="E53" s="254">
        <f>'4. Mineralogy wt.%'!P20/100</f>
        <v>5.4681657558167097E-2</v>
      </c>
      <c r="F53" s="232">
        <f>'4. Mineralogy wt.%'!P28</f>
        <v>3.1012377524497623</v>
      </c>
      <c r="G53" s="243">
        <f>(0.153+0)/2/10</f>
        <v>7.6499999999999997E-3</v>
      </c>
      <c r="H53" s="124">
        <f t="shared" si="9"/>
        <v>1.8227872691111099E-3</v>
      </c>
      <c r="I53" s="481"/>
      <c r="J53" s="160">
        <f t="shared" si="2"/>
        <v>222.63495493950359</v>
      </c>
      <c r="K53" s="124">
        <f>(E53-$R$49)^2</f>
        <v>4.5268754772312549E-4</v>
      </c>
      <c r="L53" s="160">
        <f t="shared" si="3"/>
        <v>16576901.71127137</v>
      </c>
      <c r="M53" s="124">
        <f t="shared" si="4"/>
        <v>1312.8545663814336</v>
      </c>
      <c r="N53" s="124">
        <f t="shared" si="10"/>
        <v>5.7159088117476058</v>
      </c>
      <c r="O53" s="124">
        <f t="shared" si="5"/>
        <v>151.30355270006552</v>
      </c>
      <c r="P53" s="481"/>
      <c r="Q53" s="472"/>
      <c r="R53" s="475"/>
      <c r="S53" s="481"/>
      <c r="T53" s="481"/>
      <c r="U53" s="483"/>
      <c r="AC53" s="15"/>
      <c r="AD53" s="15"/>
      <c r="AE53" s="119"/>
      <c r="AF53" s="119"/>
      <c r="AG53" s="119"/>
      <c r="AH53" s="119"/>
      <c r="AI53" s="119"/>
    </row>
    <row r="54" spans="1:35" ht="16" thickBot="1">
      <c r="A54" s="156"/>
      <c r="B54"/>
      <c r="C54"/>
      <c r="D54" s="154"/>
      <c r="E54"/>
      <c r="F54"/>
      <c r="G54" s="153"/>
      <c r="H54" s="153"/>
      <c r="I54" s="153"/>
      <c r="J54" s="153"/>
      <c r="K54"/>
      <c r="L54" s="153"/>
      <c r="M54"/>
      <c r="N54" s="153"/>
      <c r="O54" s="153"/>
      <c r="P54" s="153"/>
      <c r="Q54"/>
      <c r="R54"/>
      <c r="T54"/>
      <c r="AE54" s="119"/>
      <c r="AF54" s="119"/>
      <c r="AG54" s="119"/>
      <c r="AH54" s="119"/>
      <c r="AI54" s="119"/>
    </row>
    <row r="55" spans="1:35" ht="18" thickBot="1">
      <c r="A55" s="496" t="s">
        <v>285</v>
      </c>
      <c r="B55" s="497"/>
      <c r="C55" s="497"/>
      <c r="D55" s="497"/>
      <c r="E55" s="497"/>
      <c r="F55" s="497"/>
      <c r="G55" s="498"/>
      <c r="H55" s="268"/>
      <c r="I55" s="476" t="s">
        <v>287</v>
      </c>
      <c r="J55" s="477"/>
      <c r="K55" s="477"/>
      <c r="L55" s="478"/>
      <c r="M55" s="268"/>
      <c r="N55" s="268"/>
      <c r="O55" s="268"/>
      <c r="P55" s="268"/>
    </row>
    <row r="56" spans="1:35" ht="74" customHeight="1">
      <c r="A56" s="343" t="s">
        <v>24</v>
      </c>
      <c r="B56" s="233" t="s">
        <v>91</v>
      </c>
      <c r="C56" s="233" t="s">
        <v>34</v>
      </c>
      <c r="D56" s="233" t="s">
        <v>47</v>
      </c>
      <c r="E56" s="233" t="s">
        <v>70</v>
      </c>
      <c r="F56" s="233" t="s">
        <v>73</v>
      </c>
      <c r="G56" s="237" t="s">
        <v>95</v>
      </c>
      <c r="I56" s="343" t="s">
        <v>24</v>
      </c>
      <c r="J56" s="233" t="s">
        <v>34</v>
      </c>
      <c r="K56" s="233" t="s">
        <v>70</v>
      </c>
      <c r="L56" s="237" t="s">
        <v>284</v>
      </c>
      <c r="M56" s="238"/>
    </row>
    <row r="57" spans="1:35" ht="20" thickBot="1">
      <c r="A57" s="345"/>
      <c r="B57" s="35" t="s">
        <v>78</v>
      </c>
      <c r="C57" s="215" t="s">
        <v>3</v>
      </c>
      <c r="D57" s="215" t="s">
        <v>82</v>
      </c>
      <c r="E57" s="215" t="s">
        <v>83</v>
      </c>
      <c r="F57" s="234" t="s">
        <v>84</v>
      </c>
      <c r="G57" s="38" t="s">
        <v>86</v>
      </c>
      <c r="I57" s="345"/>
      <c r="J57" s="215" t="s">
        <v>214</v>
      </c>
      <c r="K57" s="215" t="s">
        <v>83</v>
      </c>
      <c r="L57" s="275" t="s">
        <v>226</v>
      </c>
      <c r="M57" s="266"/>
    </row>
    <row r="58" spans="1:35" ht="17" thickBot="1">
      <c r="A58" s="250" t="s">
        <v>280</v>
      </c>
      <c r="B58" s="42">
        <f>6700/10000</f>
        <v>0.67</v>
      </c>
      <c r="C58" s="41">
        <f>O27</f>
        <v>30.735235596494718</v>
      </c>
      <c r="D58" s="45">
        <v>120000</v>
      </c>
      <c r="E58" s="45">
        <v>912.57962906757666</v>
      </c>
      <c r="F58" s="46">
        <f>(C58*((B58)^3)*((1/E58)-(1/D58)))+(C58*((B58)^3)*((1/D58)))</f>
        <v>1.0129550747427458E-2</v>
      </c>
      <c r="G58" s="273">
        <f>SQRT(F58)</f>
        <v>0.10064566929295794</v>
      </c>
      <c r="I58" s="250" t="s">
        <v>280</v>
      </c>
      <c r="J58" s="41">
        <f>S34</f>
        <v>344.79986634067632</v>
      </c>
      <c r="K58" s="45">
        <v>34302.218663959124</v>
      </c>
      <c r="L58" s="273">
        <f>SQRT(J58/K58)</f>
        <v>0.10025878537236745</v>
      </c>
      <c r="M58" s="272"/>
    </row>
    <row r="59" spans="1:35" ht="17" thickBot="1">
      <c r="A59" s="250" t="s">
        <v>281</v>
      </c>
      <c r="B59" s="42">
        <f>6700/10000</f>
        <v>0.67</v>
      </c>
      <c r="C59" s="41">
        <f>O28</f>
        <v>21.543903375991135</v>
      </c>
      <c r="D59" s="45">
        <v>116000</v>
      </c>
      <c r="E59" s="45">
        <v>639.82590200087532</v>
      </c>
      <c r="F59" s="46">
        <f>(C59*((B59)^3)*((1/E59)-(1/D59)))+(C59*((B59)^3)*((1/D59)))</f>
        <v>1.0127143947767777E-2</v>
      </c>
      <c r="G59" s="273">
        <f>SQRT(F59)</f>
        <v>0.1006337117857022</v>
      </c>
      <c r="I59" s="250" t="s">
        <v>281</v>
      </c>
      <c r="J59" s="41">
        <f>S39</f>
        <v>245.21734986192723</v>
      </c>
      <c r="K59" s="45">
        <v>24438.434175373124</v>
      </c>
      <c r="L59" s="273">
        <f t="shared" ref="L59:L61" si="11">SQRT(J59/K59)</f>
        <v>0.1001702849417216</v>
      </c>
      <c r="M59" s="272"/>
    </row>
    <row r="60" spans="1:35" ht="17" thickBot="1">
      <c r="A60" s="250" t="s">
        <v>282</v>
      </c>
      <c r="B60" s="42">
        <f>6700/10000</f>
        <v>0.67</v>
      </c>
      <c r="C60" s="41">
        <f>O29</f>
        <v>14.274383028126456</v>
      </c>
      <c r="D60" s="45">
        <v>16764.73</v>
      </c>
      <c r="E60" s="45">
        <v>428.38912972621961</v>
      </c>
      <c r="F60" s="46">
        <f>(C60*((B60)^3)*((1/E60)-(1/D60)))+(C60*((B60)^3)*((1/D60)))</f>
        <v>1.0021744168513695E-2</v>
      </c>
      <c r="G60" s="273">
        <f>SQRT(F60)</f>
        <v>0.10010866180562847</v>
      </c>
      <c r="I60" s="250" t="s">
        <v>282</v>
      </c>
      <c r="J60" s="41">
        <f>S44</f>
        <v>12.052465114022661</v>
      </c>
      <c r="K60" s="45">
        <v>1201.074242138003</v>
      </c>
      <c r="L60" s="273">
        <f t="shared" si="11"/>
        <v>0.10017353848788248</v>
      </c>
      <c r="M60" s="272"/>
    </row>
    <row r="61" spans="1:35" ht="17" thickBot="1">
      <c r="A61" s="269" t="s">
        <v>283</v>
      </c>
      <c r="B61" s="256">
        <f>6700/10000</f>
        <v>0.67</v>
      </c>
      <c r="C61" s="257">
        <f>O30</f>
        <v>22.81641037529193</v>
      </c>
      <c r="D61" s="270">
        <f>35328.01</f>
        <v>35328.01</v>
      </c>
      <c r="E61" s="270">
        <v>683.40509209781908</v>
      </c>
      <c r="F61" s="271">
        <f>(C61*((B61)^3)*((1/E61)-(1/D61)))+(C61*((B61)^3)*((1/D61)))</f>
        <v>1.0041382648523913E-2</v>
      </c>
      <c r="G61" s="274">
        <f>SQRT(F61)</f>
        <v>0.10020669961895719</v>
      </c>
      <c r="I61" s="269" t="s">
        <v>283</v>
      </c>
      <c r="J61" s="257">
        <f>S49</f>
        <v>334.21475834362934</v>
      </c>
      <c r="K61" s="270">
        <v>32953.674888533271</v>
      </c>
      <c r="L61" s="274">
        <f t="shared" si="11"/>
        <v>0.1007072844463863</v>
      </c>
      <c r="M61" s="272"/>
    </row>
    <row r="62" spans="1:35" ht="16" thickBot="1"/>
    <row r="63" spans="1:35" ht="18" thickBot="1">
      <c r="A63" s="496" t="s">
        <v>286</v>
      </c>
      <c r="B63" s="497"/>
      <c r="C63" s="497"/>
      <c r="D63" s="497"/>
      <c r="E63" s="497"/>
      <c r="F63" s="497"/>
      <c r="G63" s="498"/>
      <c r="I63" s="476" t="s">
        <v>288</v>
      </c>
      <c r="J63" s="477"/>
      <c r="K63" s="477"/>
      <c r="L63" s="478"/>
    </row>
    <row r="64" spans="1:35" ht="48">
      <c r="A64" s="343" t="s">
        <v>24</v>
      </c>
      <c r="B64" s="233" t="s">
        <v>91</v>
      </c>
      <c r="C64" s="233" t="s">
        <v>34</v>
      </c>
      <c r="D64" s="233" t="s">
        <v>47</v>
      </c>
      <c r="E64" s="233" t="s">
        <v>70</v>
      </c>
      <c r="F64" s="233" t="s">
        <v>73</v>
      </c>
      <c r="G64" s="237" t="s">
        <v>95</v>
      </c>
      <c r="I64" s="343" t="s">
        <v>24</v>
      </c>
      <c r="J64" s="233" t="s">
        <v>34</v>
      </c>
      <c r="K64" s="233" t="s">
        <v>70</v>
      </c>
      <c r="L64" s="237" t="s">
        <v>284</v>
      </c>
    </row>
    <row r="65" spans="1:17" ht="20" thickBot="1">
      <c r="A65" s="345"/>
      <c r="B65" s="35" t="s">
        <v>78</v>
      </c>
      <c r="C65" s="215" t="s">
        <v>3</v>
      </c>
      <c r="D65" s="215" t="s">
        <v>82</v>
      </c>
      <c r="E65" s="215" t="s">
        <v>83</v>
      </c>
      <c r="F65" s="234" t="s">
        <v>84</v>
      </c>
      <c r="G65" s="38" t="s">
        <v>86</v>
      </c>
      <c r="I65" s="345"/>
      <c r="J65" s="215" t="s">
        <v>214</v>
      </c>
      <c r="K65" s="215" t="s">
        <v>83</v>
      </c>
      <c r="L65" s="275" t="s">
        <v>226</v>
      </c>
    </row>
    <row r="66" spans="1:17" ht="17" thickBot="1">
      <c r="A66" s="250" t="s">
        <v>280</v>
      </c>
      <c r="B66" s="42">
        <f>6700/10000</f>
        <v>0.67</v>
      </c>
      <c r="C66" s="41">
        <f>C58</f>
        <v>30.735235596494718</v>
      </c>
      <c r="D66" s="45">
        <v>120000</v>
      </c>
      <c r="E66" s="45">
        <v>230.9504845255577</v>
      </c>
      <c r="F66" s="46">
        <f>(C66*((B66)^3)*((1/E66)-(1/D66)))+(C66*((B66)^3)*((1/D66)))</f>
        <v>4.0025989478647626E-2</v>
      </c>
      <c r="G66" s="273">
        <f>SQRT(F66)</f>
        <v>0.20006496314609318</v>
      </c>
      <c r="I66" s="250" t="s">
        <v>280</v>
      </c>
      <c r="J66" s="41">
        <f>J58</f>
        <v>344.79986634067632</v>
      </c>
      <c r="K66" s="45">
        <v>8645.2527066991188</v>
      </c>
      <c r="L66" s="273">
        <f>SQRT(J66/K66)</f>
        <v>0.19970764855989689</v>
      </c>
    </row>
    <row r="67" spans="1:17" ht="17" thickBot="1">
      <c r="A67" s="250" t="s">
        <v>281</v>
      </c>
      <c r="B67" s="42">
        <f>6700/10000</f>
        <v>0.67</v>
      </c>
      <c r="C67" s="41">
        <f>C59</f>
        <v>21.543903375991135</v>
      </c>
      <c r="D67" s="45">
        <v>116000</v>
      </c>
      <c r="E67" s="45">
        <v>161.88531688387735</v>
      </c>
      <c r="F67" s="46">
        <f>(C67*((B67)^3)*((1/E67)-(1/D67)))+(C67*((B67)^3)*((1/D67)))</f>
        <v>4.0025921657373897E-2</v>
      </c>
      <c r="G67" s="273">
        <f>SQRT(F67)</f>
        <v>0.20006479364789273</v>
      </c>
      <c r="I67" s="250" t="s">
        <v>281</v>
      </c>
      <c r="J67" s="41">
        <f>J59</f>
        <v>245.21734986192723</v>
      </c>
      <c r="K67" s="45">
        <v>6149.2167612633148</v>
      </c>
      <c r="L67" s="273">
        <f t="shared" ref="L67:L69" si="12">SQRT(J67/K67)</f>
        <v>0.19969431261329923</v>
      </c>
    </row>
    <row r="68" spans="1:17" ht="17" thickBot="1">
      <c r="A68" s="250" t="s">
        <v>282</v>
      </c>
      <c r="B68" s="42">
        <f>6700/10000</f>
        <v>0.67</v>
      </c>
      <c r="C68" s="41">
        <f>C60</f>
        <v>14.274383028126456</v>
      </c>
      <c r="D68" s="45">
        <v>16764.73</v>
      </c>
      <c r="E68" s="45">
        <v>107.102301105007</v>
      </c>
      <c r="F68" s="46">
        <f>(C68*((B68)^3)*((1/E68)-(1/D68)))+(C68*((B68)^3)*((1/D68)))</f>
        <v>4.0085098250869346E-2</v>
      </c>
      <c r="G68" s="273">
        <f>SQRT(F68)</f>
        <v>0.20021263259562155</v>
      </c>
      <c r="I68" s="250" t="s">
        <v>282</v>
      </c>
      <c r="J68" s="41">
        <f>J60</f>
        <v>12.052465114022661</v>
      </c>
      <c r="K68" s="45">
        <v>302.23330613585745</v>
      </c>
      <c r="L68" s="273">
        <f t="shared" si="12"/>
        <v>0.19969481125405183</v>
      </c>
    </row>
    <row r="69" spans="1:17" ht="17" thickBot="1">
      <c r="A69" s="269" t="s">
        <v>283</v>
      </c>
      <c r="B69" s="256">
        <f>6700/10000</f>
        <v>0.67</v>
      </c>
      <c r="C69" s="257">
        <f>C61</f>
        <v>22.81641037529193</v>
      </c>
      <c r="D69" s="270">
        <f>35328.01</f>
        <v>35328.01</v>
      </c>
      <c r="E69" s="270">
        <v>170.83150870824721</v>
      </c>
      <c r="F69" s="271">
        <f>(C69*((B69)^3)*((1/E69)-(1/D69)))+(C69*((B69)^3)*((1/D69)))</f>
        <v>4.0170177536883372E-2</v>
      </c>
      <c r="G69" s="274">
        <f>SQRT(F69)</f>
        <v>0.2004249922960791</v>
      </c>
      <c r="I69" s="269" t="s">
        <v>283</v>
      </c>
      <c r="J69" s="257">
        <f>J61</f>
        <v>334.21475834362934</v>
      </c>
      <c r="K69" s="270">
        <v>8374.7577826965171</v>
      </c>
      <c r="L69" s="274">
        <f t="shared" si="12"/>
        <v>0.1997683508033373</v>
      </c>
    </row>
    <row r="72" spans="1:17" ht="16" thickBot="1"/>
    <row r="73" spans="1:17" ht="16" thickBot="1">
      <c r="A73" s="467" t="s">
        <v>290</v>
      </c>
      <c r="B73" s="468"/>
      <c r="C73" s="468"/>
      <c r="D73" s="468"/>
      <c r="E73" s="468"/>
      <c r="F73" s="468"/>
      <c r="G73" s="468"/>
      <c r="H73" s="468"/>
      <c r="I73" s="468"/>
      <c r="J73" s="468"/>
      <c r="K73" s="468"/>
      <c r="L73" s="468"/>
      <c r="M73" s="468"/>
      <c r="N73" s="468"/>
      <c r="O73" s="468"/>
      <c r="P73" s="468"/>
      <c r="Q73" s="469"/>
    </row>
    <row r="74" spans="1:17" ht="97" thickBot="1">
      <c r="A74" s="244" t="s">
        <v>24</v>
      </c>
      <c r="B74" s="488" t="s">
        <v>43</v>
      </c>
      <c r="C74" s="294" t="s">
        <v>48</v>
      </c>
      <c r="D74" s="294" t="s">
        <v>49</v>
      </c>
      <c r="E74" s="294" t="s">
        <v>50</v>
      </c>
      <c r="F74" s="294" t="s">
        <v>12</v>
      </c>
      <c r="G74" s="315" t="s">
        <v>53</v>
      </c>
      <c r="I74" s="464" t="s">
        <v>289</v>
      </c>
      <c r="J74" s="465"/>
      <c r="K74" s="465"/>
      <c r="L74" s="465"/>
      <c r="M74" s="465"/>
      <c r="N74" s="465"/>
      <c r="O74" s="465"/>
      <c r="P74" s="465"/>
      <c r="Q74" s="466"/>
    </row>
    <row r="75" spans="1:17" ht="18" thickBot="1">
      <c r="A75" s="218"/>
      <c r="B75" s="488"/>
      <c r="C75" s="14" t="s">
        <v>11</v>
      </c>
      <c r="D75" s="14" t="s">
        <v>87</v>
      </c>
      <c r="E75" s="14" t="s">
        <v>10</v>
      </c>
      <c r="F75" s="14" t="s">
        <v>9</v>
      </c>
      <c r="G75" s="72" t="s">
        <v>88</v>
      </c>
      <c r="I75" s="247" t="s">
        <v>13</v>
      </c>
      <c r="J75" s="245" t="s">
        <v>10</v>
      </c>
      <c r="K75" s="248" t="s">
        <v>32</v>
      </c>
      <c r="L75" s="245" t="s">
        <v>10</v>
      </c>
      <c r="M75" s="248" t="s">
        <v>14</v>
      </c>
      <c r="N75" s="245" t="s">
        <v>10</v>
      </c>
      <c r="O75" s="248" t="s">
        <v>28</v>
      </c>
      <c r="P75" s="245" t="s">
        <v>10</v>
      </c>
      <c r="Q75" s="249" t="s">
        <v>22</v>
      </c>
    </row>
    <row r="76" spans="1:17" ht="16">
      <c r="A76" s="495" t="s">
        <v>45</v>
      </c>
      <c r="B76" s="285" t="s">
        <v>8</v>
      </c>
      <c r="C76" s="221">
        <f>'3. Fe-Sulfide Lib. and Assoc.'!AR3</f>
        <v>301</v>
      </c>
      <c r="D76" s="221">
        <f>'3. Fe-Sulfide Lib. and Assoc.'!AS3</f>
        <v>280</v>
      </c>
      <c r="E76" s="279">
        <f>D76/C76</f>
        <v>0.93023255813953487</v>
      </c>
      <c r="F76" s="279">
        <f>1-E76</f>
        <v>6.9767441860465129E-2</v>
      </c>
      <c r="G76" s="48">
        <f>SQRT((E76*F76)/C76)</f>
        <v>1.4683815521229516E-2</v>
      </c>
      <c r="I76" s="286" t="s">
        <v>8</v>
      </c>
      <c r="J76" s="279">
        <f>E76</f>
        <v>0.93023255813953487</v>
      </c>
      <c r="K76" s="287">
        <f t="shared" ref="K76:K81" si="13">G76</f>
        <v>1.4683815521229516E-2</v>
      </c>
      <c r="L76" s="41">
        <f>E82</f>
        <v>0.90558766859344897</v>
      </c>
      <c r="M76" s="287">
        <f t="shared" ref="M76:M81" si="14">G82</f>
        <v>1.2835001749636074E-2</v>
      </c>
      <c r="N76" s="41">
        <f>E88</f>
        <v>1</v>
      </c>
      <c r="O76" s="287">
        <f t="shared" ref="O76:O81" si="15">G88</f>
        <v>0</v>
      </c>
      <c r="P76" s="41">
        <f>E94</f>
        <v>0.88260869565217392</v>
      </c>
      <c r="Q76" s="288">
        <f t="shared" ref="Q76:Q81" si="16">G94</f>
        <v>1.5008011339697305E-2</v>
      </c>
    </row>
    <row r="77" spans="1:17" ht="16">
      <c r="A77" s="425"/>
      <c r="B77" s="281" t="s">
        <v>7</v>
      </c>
      <c r="C77" s="222">
        <f>'3. Fe-Sulfide Lib. and Assoc.'!AR4</f>
        <v>1125</v>
      </c>
      <c r="D77" s="222">
        <f>'3. Fe-Sulfide Lib. and Assoc.'!AS4</f>
        <v>875</v>
      </c>
      <c r="E77" s="282">
        <f t="shared" ref="E77:E80" si="17">D77/C77</f>
        <v>0.77777777777777779</v>
      </c>
      <c r="F77" s="282">
        <f t="shared" ref="F77:F80" si="18">1-E77</f>
        <v>0.22222222222222221</v>
      </c>
      <c r="G77" s="33">
        <f t="shared" ref="G77:G80" si="19">SQRT((E77*F77)/C77)</f>
        <v>1.2394963356060378E-2</v>
      </c>
      <c r="I77" s="289" t="s">
        <v>7</v>
      </c>
      <c r="J77" s="282">
        <f t="shared" ref="J77:J81" si="20">E77</f>
        <v>0.77777777777777779</v>
      </c>
      <c r="K77" s="290">
        <f t="shared" si="13"/>
        <v>1.2394963356060378E-2</v>
      </c>
      <c r="L77" s="16">
        <f t="shared" ref="L77:L81" si="21">E83</f>
        <v>0.71935662784248477</v>
      </c>
      <c r="M77" s="290">
        <f t="shared" si="14"/>
        <v>1.0581607695465211E-2</v>
      </c>
      <c r="N77" s="16">
        <f t="shared" ref="N77:N81" si="22">E89</f>
        <v>0.99846625766871167</v>
      </c>
      <c r="O77" s="290">
        <f t="shared" si="15"/>
        <v>1.0836875970915902E-3</v>
      </c>
      <c r="P77" s="16">
        <f t="shared" ref="P77:P81" si="23">E95</f>
        <v>0.79688929551692589</v>
      </c>
      <c r="Q77" s="291">
        <f t="shared" si="16"/>
        <v>1.2169012068308208E-2</v>
      </c>
    </row>
    <row r="78" spans="1:17" ht="16">
      <c r="A78" s="425"/>
      <c r="B78" s="281" t="s">
        <v>6</v>
      </c>
      <c r="C78" s="222">
        <f>'3. Fe-Sulfide Lib. and Assoc.'!AR5</f>
        <v>763</v>
      </c>
      <c r="D78" s="222">
        <f>'3. Fe-Sulfide Lib. and Assoc.'!AS5</f>
        <v>386</v>
      </c>
      <c r="E78" s="282">
        <f t="shared" si="17"/>
        <v>0.50589777195281782</v>
      </c>
      <c r="F78" s="282">
        <f t="shared" si="18"/>
        <v>0.49410222804718218</v>
      </c>
      <c r="G78" s="33">
        <f t="shared" si="19"/>
        <v>1.8099956057599013E-2</v>
      </c>
      <c r="I78" s="289" t="s">
        <v>6</v>
      </c>
      <c r="J78" s="282">
        <f t="shared" si="20"/>
        <v>0.50589777195281782</v>
      </c>
      <c r="K78" s="290">
        <f t="shared" si="13"/>
        <v>1.8099956057599013E-2</v>
      </c>
      <c r="L78" s="16">
        <f t="shared" si="21"/>
        <v>0.40756914119359533</v>
      </c>
      <c r="M78" s="290">
        <f t="shared" si="14"/>
        <v>9.3737014887301517E-3</v>
      </c>
      <c r="N78" s="16">
        <f t="shared" si="22"/>
        <v>0.97771173848439819</v>
      </c>
      <c r="O78" s="290">
        <f t="shared" si="15"/>
        <v>4.0236572810645249E-3</v>
      </c>
      <c r="P78" s="16">
        <f t="shared" si="23"/>
        <v>0.45632424877707894</v>
      </c>
      <c r="Q78" s="291">
        <f t="shared" si="16"/>
        <v>1.3167003120588132E-2</v>
      </c>
    </row>
    <row r="79" spans="1:17" ht="16">
      <c r="A79" s="425"/>
      <c r="B79" s="281" t="s">
        <v>5</v>
      </c>
      <c r="C79" s="222">
        <f>'3. Fe-Sulfide Lib. and Assoc.'!AR6</f>
        <v>4420</v>
      </c>
      <c r="D79" s="222">
        <f>'3. Fe-Sulfide Lib. and Assoc.'!AS6</f>
        <v>2861</v>
      </c>
      <c r="E79" s="282">
        <f t="shared" si="17"/>
        <v>0.6472850678733032</v>
      </c>
      <c r="F79" s="282">
        <f t="shared" si="18"/>
        <v>0.3527149321266968</v>
      </c>
      <c r="G79" s="33">
        <f t="shared" si="19"/>
        <v>7.1870155163340473E-3</v>
      </c>
      <c r="I79" s="289" t="s">
        <v>5</v>
      </c>
      <c r="J79" s="282">
        <f t="shared" si="20"/>
        <v>0.6472850678733032</v>
      </c>
      <c r="K79" s="290">
        <f t="shared" si="13"/>
        <v>7.1870155163340473E-3</v>
      </c>
      <c r="L79" s="16">
        <f t="shared" si="21"/>
        <v>0.28990999526290856</v>
      </c>
      <c r="M79" s="290">
        <f t="shared" si="14"/>
        <v>4.4163061821624466E-3</v>
      </c>
      <c r="N79" s="16">
        <f t="shared" si="22"/>
        <v>0.90408163265306118</v>
      </c>
      <c r="O79" s="290">
        <f t="shared" si="15"/>
        <v>5.9493794618082933E-3</v>
      </c>
      <c r="P79" s="16">
        <f t="shared" si="23"/>
        <v>0.34854059357370615</v>
      </c>
      <c r="Q79" s="291">
        <f t="shared" si="16"/>
        <v>7.46276914276091E-3</v>
      </c>
    </row>
    <row r="80" spans="1:17" ht="16">
      <c r="A80" s="425"/>
      <c r="B80" s="281" t="s">
        <v>4</v>
      </c>
      <c r="C80" s="222">
        <f>'3. Fe-Sulfide Lib. and Assoc.'!AR7</f>
        <v>183183</v>
      </c>
      <c r="D80" s="222">
        <f>'3. Fe-Sulfide Lib. and Assoc.'!AS7</f>
        <v>19799</v>
      </c>
      <c r="E80" s="282">
        <f t="shared" si="17"/>
        <v>0.10808317365694414</v>
      </c>
      <c r="F80" s="282">
        <f t="shared" si="18"/>
        <v>0.89191682634305591</v>
      </c>
      <c r="G80" s="33">
        <f t="shared" si="19"/>
        <v>7.2543522392695898E-4</v>
      </c>
      <c r="I80" s="289" t="s">
        <v>4</v>
      </c>
      <c r="J80" s="282">
        <f t="shared" si="20"/>
        <v>0.10808317365694414</v>
      </c>
      <c r="K80" s="290">
        <f t="shared" si="13"/>
        <v>7.2543522392695898E-4</v>
      </c>
      <c r="L80" s="16">
        <f t="shared" si="21"/>
        <v>6.8779062516702599E-2</v>
      </c>
      <c r="M80" s="290">
        <f t="shared" si="14"/>
        <v>3.0836864790397971E-4</v>
      </c>
      <c r="N80" s="16">
        <f t="shared" si="22"/>
        <v>0.26301000496700488</v>
      </c>
      <c r="O80" s="290">
        <f t="shared" si="15"/>
        <v>9.5756789181459037E-4</v>
      </c>
      <c r="P80" s="16">
        <f t="shared" si="23"/>
        <v>6.3532935705089472E-2</v>
      </c>
      <c r="Q80" s="291">
        <f t="shared" si="16"/>
        <v>5.1043612605392507E-4</v>
      </c>
    </row>
    <row r="81" spans="1:17" ht="16" thickBot="1">
      <c r="A81" s="426"/>
      <c r="B81" s="215" t="s">
        <v>29</v>
      </c>
      <c r="C81" s="203">
        <f>'3. Fe-Sulfide Lib. and Assoc.'!AR9</f>
        <v>82200</v>
      </c>
      <c r="D81" s="203">
        <f>'3. Fe-Sulfide Lib. and Assoc.'!AS9</f>
        <v>75829</v>
      </c>
      <c r="E81" s="283">
        <f t="shared" ref="E81" si="24">D81/C81</f>
        <v>0.92249391727493912</v>
      </c>
      <c r="F81" s="283">
        <f t="shared" ref="F81" si="25">1-E81</f>
        <v>7.7506082725060876E-2</v>
      </c>
      <c r="G81" s="284">
        <f t="shared" ref="G81" si="26">SQRT((E81*F81)/C81)</f>
        <v>9.3263936139032909E-4</v>
      </c>
      <c r="I81" s="246" t="s">
        <v>29</v>
      </c>
      <c r="J81" s="283">
        <f t="shared" si="20"/>
        <v>0.92249391727493912</v>
      </c>
      <c r="K81" s="292">
        <f t="shared" si="13"/>
        <v>9.3263936139032909E-4</v>
      </c>
      <c r="L81" s="314">
        <f t="shared" si="21"/>
        <v>3.7038538613907261E-2</v>
      </c>
      <c r="M81" s="292">
        <f t="shared" si="14"/>
        <v>4.5450432660273883E-4</v>
      </c>
      <c r="N81" s="314">
        <f t="shared" si="22"/>
        <v>0.24024235049125678</v>
      </c>
      <c r="O81" s="292">
        <f t="shared" si="15"/>
        <v>8.8436098889197021E-4</v>
      </c>
      <c r="P81" s="314">
        <f t="shared" si="23"/>
        <v>5.0388209031035379E-2</v>
      </c>
      <c r="Q81" s="293">
        <f t="shared" si="16"/>
        <v>4.5192771507281148E-4</v>
      </c>
    </row>
    <row r="82" spans="1:17" ht="16">
      <c r="A82" s="495" t="s">
        <v>66</v>
      </c>
      <c r="B82" s="285" t="s">
        <v>8</v>
      </c>
      <c r="C82" s="221">
        <f>'3. Fe-Sulfide Lib. and Assoc.'!AR10</f>
        <v>519</v>
      </c>
      <c r="D82" s="221">
        <f>'3. Fe-Sulfide Lib. and Assoc.'!AS10</f>
        <v>470</v>
      </c>
      <c r="E82" s="279">
        <f t="shared" ref="E82:E86" si="27">D82/C82</f>
        <v>0.90558766859344897</v>
      </c>
      <c r="F82" s="279">
        <f t="shared" ref="F82:F86" si="28">1-E82</f>
        <v>9.4412331406551031E-2</v>
      </c>
      <c r="G82" s="48">
        <f t="shared" ref="G82:G86" si="29">SQRT((E82*F82)/C82)</f>
        <v>1.2835001749636074E-2</v>
      </c>
    </row>
    <row r="83" spans="1:17" ht="16">
      <c r="A83" s="425"/>
      <c r="B83" s="281" t="s">
        <v>7</v>
      </c>
      <c r="C83" s="222">
        <f>'3. Fe-Sulfide Lib. and Assoc.'!AR11</f>
        <v>1803</v>
      </c>
      <c r="D83" s="222">
        <f>'3. Fe-Sulfide Lib. and Assoc.'!AS11</f>
        <v>1297</v>
      </c>
      <c r="E83" s="282">
        <f t="shared" si="27"/>
        <v>0.71935662784248477</v>
      </c>
      <c r="F83" s="282">
        <f t="shared" si="28"/>
        <v>0.28064337215751523</v>
      </c>
      <c r="G83" s="33">
        <f t="shared" si="29"/>
        <v>1.0581607695465211E-2</v>
      </c>
    </row>
    <row r="84" spans="1:17" ht="16">
      <c r="A84" s="425"/>
      <c r="B84" s="281" t="s">
        <v>6</v>
      </c>
      <c r="C84" s="222">
        <f>'3. Fe-Sulfide Lib. and Assoc.'!AR12</f>
        <v>2748</v>
      </c>
      <c r="D84" s="222">
        <f>'3. Fe-Sulfide Lib. and Assoc.'!AS12</f>
        <v>1120</v>
      </c>
      <c r="E84" s="282">
        <f t="shared" si="27"/>
        <v>0.40756914119359533</v>
      </c>
      <c r="F84" s="282">
        <f t="shared" si="28"/>
        <v>0.59243085880640467</v>
      </c>
      <c r="G84" s="33">
        <f t="shared" si="29"/>
        <v>9.3737014887301517E-3</v>
      </c>
    </row>
    <row r="85" spans="1:17" ht="16">
      <c r="A85" s="425"/>
      <c r="B85" s="281" t="s">
        <v>5</v>
      </c>
      <c r="C85" s="222">
        <f>'3. Fe-Sulfide Lib. and Assoc.'!AR13</f>
        <v>10555</v>
      </c>
      <c r="D85" s="222">
        <f>'3. Fe-Sulfide Lib. and Assoc.'!AS13</f>
        <v>3060</v>
      </c>
      <c r="E85" s="282">
        <f t="shared" si="27"/>
        <v>0.28990999526290856</v>
      </c>
      <c r="F85" s="282">
        <f t="shared" si="28"/>
        <v>0.7100900047370915</v>
      </c>
      <c r="G85" s="33">
        <f t="shared" si="29"/>
        <v>4.4163061821624466E-3</v>
      </c>
    </row>
    <row r="86" spans="1:17" ht="16">
      <c r="A86" s="425"/>
      <c r="B86" s="281" t="s">
        <v>4</v>
      </c>
      <c r="C86" s="222">
        <f>'3. Fe-Sulfide Lib. and Assoc.'!AR14</f>
        <v>673548</v>
      </c>
      <c r="D86" s="222">
        <f>'3. Fe-Sulfide Lib. and Assoc.'!AS14</f>
        <v>46326</v>
      </c>
      <c r="E86" s="282">
        <f t="shared" si="27"/>
        <v>6.8779062516702599E-2</v>
      </c>
      <c r="F86" s="282">
        <f t="shared" si="28"/>
        <v>0.93122093748329737</v>
      </c>
      <c r="G86" s="33">
        <f t="shared" si="29"/>
        <v>3.0836864790397971E-4</v>
      </c>
    </row>
    <row r="87" spans="1:17" ht="16" thickBot="1">
      <c r="A87" s="426"/>
      <c r="B87" s="215" t="s">
        <v>29</v>
      </c>
      <c r="C87" s="203">
        <f>'3. Fe-Sulfide Lib. and Assoc.'!AR16</f>
        <v>172658</v>
      </c>
      <c r="D87" s="203">
        <f>'3. Fe-Sulfide Lib. and Assoc.'!AS16</f>
        <v>6395</v>
      </c>
      <c r="E87" s="283">
        <f t="shared" ref="E87" si="30">D87/C87</f>
        <v>3.7038538613907261E-2</v>
      </c>
      <c r="F87" s="283">
        <f t="shared" ref="F87" si="31">1-E87</f>
        <v>0.96296146138609273</v>
      </c>
      <c r="G87" s="284">
        <f t="shared" ref="G87" si="32">SQRT((E87*F87)/C87)</f>
        <v>4.5450432660273883E-4</v>
      </c>
    </row>
    <row r="88" spans="1:17" ht="16">
      <c r="A88" s="495" t="s">
        <v>67</v>
      </c>
      <c r="B88" s="285" t="s">
        <v>8</v>
      </c>
      <c r="C88" s="221">
        <f>'3. Fe-Sulfide Lib. and Assoc.'!AR17</f>
        <v>465</v>
      </c>
      <c r="D88" s="221">
        <f>'3. Fe-Sulfide Lib. and Assoc.'!AS17</f>
        <v>465</v>
      </c>
      <c r="E88" s="279">
        <f t="shared" ref="E88:E92" si="33">D88/C88</f>
        <v>1</v>
      </c>
      <c r="F88" s="279">
        <f t="shared" ref="F88:F92" si="34">1-E88</f>
        <v>0</v>
      </c>
      <c r="G88" s="48">
        <f t="shared" ref="G88:G92" si="35">SQRT((E88*F88)/C88)</f>
        <v>0</v>
      </c>
    </row>
    <row r="89" spans="1:17" ht="16">
      <c r="A89" s="425"/>
      <c r="B89" s="281" t="s">
        <v>7</v>
      </c>
      <c r="C89" s="222">
        <f>'3. Fe-Sulfide Lib. and Assoc.'!AR18</f>
        <v>1304</v>
      </c>
      <c r="D89" s="222">
        <f>'3. Fe-Sulfide Lib. and Assoc.'!AS18</f>
        <v>1302</v>
      </c>
      <c r="E89" s="282">
        <f t="shared" si="33"/>
        <v>0.99846625766871167</v>
      </c>
      <c r="F89" s="282">
        <f t="shared" si="34"/>
        <v>1.5337423312883347E-3</v>
      </c>
      <c r="G89" s="33">
        <f t="shared" si="35"/>
        <v>1.0836875970915902E-3</v>
      </c>
    </row>
    <row r="90" spans="1:17" ht="16">
      <c r="A90" s="425"/>
      <c r="B90" s="281" t="s">
        <v>6</v>
      </c>
      <c r="C90" s="222">
        <f>'3. Fe-Sulfide Lib. and Assoc.'!AR19</f>
        <v>1346</v>
      </c>
      <c r="D90" s="222">
        <f>'3. Fe-Sulfide Lib. and Assoc.'!AS19</f>
        <v>1316</v>
      </c>
      <c r="E90" s="282">
        <f t="shared" si="33"/>
        <v>0.97771173848439819</v>
      </c>
      <c r="F90" s="282">
        <f t="shared" si="34"/>
        <v>2.2288261515601815E-2</v>
      </c>
      <c r="G90" s="33">
        <f t="shared" si="35"/>
        <v>4.0236572810645249E-3</v>
      </c>
    </row>
    <row r="91" spans="1:17" ht="16">
      <c r="A91" s="425"/>
      <c r="B91" s="281" t="s">
        <v>5</v>
      </c>
      <c r="C91" s="222">
        <f>'3. Fe-Sulfide Lib. and Assoc.'!AR20</f>
        <v>2450</v>
      </c>
      <c r="D91" s="222">
        <f>'3. Fe-Sulfide Lib. and Assoc.'!AS20</f>
        <v>2215</v>
      </c>
      <c r="E91" s="282">
        <f t="shared" si="33"/>
        <v>0.90408163265306118</v>
      </c>
      <c r="F91" s="282">
        <f t="shared" si="34"/>
        <v>9.5918367346938815E-2</v>
      </c>
      <c r="G91" s="33">
        <f t="shared" si="35"/>
        <v>5.9493794618082933E-3</v>
      </c>
    </row>
    <row r="92" spans="1:17" ht="16">
      <c r="A92" s="425"/>
      <c r="B92" s="281" t="s">
        <v>4</v>
      </c>
      <c r="C92" s="222">
        <f>'3. Fe-Sulfide Lib. and Assoc.'!AR21</f>
        <v>211395</v>
      </c>
      <c r="D92" s="222">
        <f>'3. Fe-Sulfide Lib. and Assoc.'!AS21</f>
        <v>55599</v>
      </c>
      <c r="E92" s="282">
        <f t="shared" si="33"/>
        <v>0.26301000496700488</v>
      </c>
      <c r="F92" s="282">
        <f t="shared" si="34"/>
        <v>0.73698999503299512</v>
      </c>
      <c r="G92" s="33">
        <f t="shared" si="35"/>
        <v>9.5756789181459037E-4</v>
      </c>
    </row>
    <row r="93" spans="1:17" ht="16" thickBot="1">
      <c r="A93" s="426"/>
      <c r="B93" s="215" t="s">
        <v>29</v>
      </c>
      <c r="C93" s="203">
        <f>'3. Fe-Sulfide Lib. and Assoc.'!AR23</f>
        <v>233381</v>
      </c>
      <c r="D93" s="203">
        <f>'3. Fe-Sulfide Lib. and Assoc.'!AS23</f>
        <v>56068</v>
      </c>
      <c r="E93" s="283">
        <f t="shared" ref="E93" si="36">D93/C93</f>
        <v>0.24024235049125678</v>
      </c>
      <c r="F93" s="283">
        <f t="shared" ref="F93" si="37">1-E93</f>
        <v>0.75975764950874325</v>
      </c>
      <c r="G93" s="284">
        <f t="shared" ref="G93" si="38">SQRT((E93*F93)/C93)</f>
        <v>8.8436098889197021E-4</v>
      </c>
    </row>
    <row r="94" spans="1:17" ht="16">
      <c r="A94" s="495" t="s">
        <v>68</v>
      </c>
      <c r="B94" s="285" t="s">
        <v>8</v>
      </c>
      <c r="C94" s="221">
        <f>'3. Fe-Sulfide Lib. and Assoc.'!AR24</f>
        <v>460</v>
      </c>
      <c r="D94" s="221">
        <f>'3. Fe-Sulfide Lib. and Assoc.'!AS24</f>
        <v>406</v>
      </c>
      <c r="E94" s="279">
        <f t="shared" ref="E94:E98" si="39">D94/C94</f>
        <v>0.88260869565217392</v>
      </c>
      <c r="F94" s="279">
        <f t="shared" ref="F94:F98" si="40">1-E94</f>
        <v>0.11739130434782608</v>
      </c>
      <c r="G94" s="48">
        <f t="shared" ref="G94:G98" si="41">SQRT((E94*F94)/C94)</f>
        <v>1.5008011339697305E-2</v>
      </c>
    </row>
    <row r="95" spans="1:17" ht="16">
      <c r="A95" s="425"/>
      <c r="B95" s="281" t="s">
        <v>7</v>
      </c>
      <c r="C95" s="222">
        <f>'3. Fe-Sulfide Lib. and Assoc.'!AR25</f>
        <v>1093</v>
      </c>
      <c r="D95" s="222">
        <f>'3. Fe-Sulfide Lib. and Assoc.'!AS25</f>
        <v>871</v>
      </c>
      <c r="E95" s="282">
        <f t="shared" si="39"/>
        <v>0.79688929551692589</v>
      </c>
      <c r="F95" s="282">
        <f t="shared" si="40"/>
        <v>0.20311070448307411</v>
      </c>
      <c r="G95" s="33">
        <f t="shared" si="41"/>
        <v>1.2169012068308208E-2</v>
      </c>
    </row>
    <row r="96" spans="1:17" ht="16">
      <c r="A96" s="425"/>
      <c r="B96" s="281" t="s">
        <v>6</v>
      </c>
      <c r="C96" s="222">
        <f>'3. Fe-Sulfide Lib. and Assoc.'!AR26</f>
        <v>1431</v>
      </c>
      <c r="D96" s="222">
        <f>'3. Fe-Sulfide Lib. and Assoc.'!AS26</f>
        <v>653</v>
      </c>
      <c r="E96" s="282">
        <f t="shared" si="39"/>
        <v>0.45632424877707894</v>
      </c>
      <c r="F96" s="282">
        <f t="shared" si="40"/>
        <v>0.54367575122292111</v>
      </c>
      <c r="G96" s="33">
        <f t="shared" si="41"/>
        <v>1.3167003120588132E-2</v>
      </c>
    </row>
    <row r="97" spans="1:7" ht="16">
      <c r="A97" s="425"/>
      <c r="B97" s="281" t="s">
        <v>5</v>
      </c>
      <c r="C97" s="222">
        <f>'3. Fe-Sulfide Lib. and Assoc.'!AR27</f>
        <v>4077</v>
      </c>
      <c r="D97" s="222">
        <f>'3. Fe-Sulfide Lib. and Assoc.'!AS27</f>
        <v>1421</v>
      </c>
      <c r="E97" s="282">
        <f t="shared" si="39"/>
        <v>0.34854059357370615</v>
      </c>
      <c r="F97" s="282">
        <f t="shared" si="40"/>
        <v>0.65145940642629385</v>
      </c>
      <c r="G97" s="33">
        <f t="shared" si="41"/>
        <v>7.46276914276091E-3</v>
      </c>
    </row>
    <row r="98" spans="1:7" ht="16">
      <c r="A98" s="425"/>
      <c r="B98" s="281" t="s">
        <v>4</v>
      </c>
      <c r="C98" s="222">
        <f>'3. Fe-Sulfide Lib. and Assoc.'!AR28</f>
        <v>228354</v>
      </c>
      <c r="D98" s="222">
        <f>'3. Fe-Sulfide Lib. and Assoc.'!AS28</f>
        <v>14508</v>
      </c>
      <c r="E98" s="282">
        <f t="shared" si="39"/>
        <v>6.3532935705089472E-2</v>
      </c>
      <c r="F98" s="282">
        <f t="shared" si="40"/>
        <v>0.93646706429491056</v>
      </c>
      <c r="G98" s="33">
        <f t="shared" si="41"/>
        <v>5.1043612605392507E-4</v>
      </c>
    </row>
    <row r="99" spans="1:7" ht="16" thickBot="1">
      <c r="A99" s="426"/>
      <c r="B99" s="215" t="s">
        <v>29</v>
      </c>
      <c r="C99" s="203">
        <f>'3. Fe-Sulfide Lib. and Assoc.'!AR30</f>
        <v>234281</v>
      </c>
      <c r="D99" s="203">
        <f>'3. Fe-Sulfide Lib. and Assoc.'!AS30</f>
        <v>11805</v>
      </c>
      <c r="E99" s="283">
        <f t="shared" ref="E99" si="42">D99/C99</f>
        <v>5.0388209031035379E-2</v>
      </c>
      <c r="F99" s="283">
        <f t="shared" ref="F99" si="43">1-E99</f>
        <v>0.94961179096896464</v>
      </c>
      <c r="G99" s="284">
        <f t="shared" ref="G99" si="44">SQRT((E99*F99)/C99)</f>
        <v>4.5192771507281148E-4</v>
      </c>
    </row>
  </sheetData>
  <mergeCells count="63">
    <mergeCell ref="A76:A81"/>
    <mergeCell ref="A82:A87"/>
    <mergeCell ref="A88:A93"/>
    <mergeCell ref="A94:A99"/>
    <mergeCell ref="K1:O1"/>
    <mergeCell ref="A24:Z24"/>
    <mergeCell ref="A56:A57"/>
    <mergeCell ref="A64:A65"/>
    <mergeCell ref="I56:I57"/>
    <mergeCell ref="A55:G55"/>
    <mergeCell ref="A63:G63"/>
    <mergeCell ref="I55:L55"/>
    <mergeCell ref="A1:I1"/>
    <mergeCell ref="K3:K4"/>
    <mergeCell ref="K5:K6"/>
    <mergeCell ref="K7:K8"/>
    <mergeCell ref="K9:K10"/>
    <mergeCell ref="A2:B2"/>
    <mergeCell ref="B74:B75"/>
    <mergeCell ref="D2:E2"/>
    <mergeCell ref="A3:B3"/>
    <mergeCell ref="D3:E3"/>
    <mergeCell ref="D4:E4"/>
    <mergeCell ref="A49:A53"/>
    <mergeCell ref="A34:A38"/>
    <mergeCell ref="A39:A43"/>
    <mergeCell ref="A44:A48"/>
    <mergeCell ref="A32:U32"/>
    <mergeCell ref="D5:E5"/>
    <mergeCell ref="D6:E6"/>
    <mergeCell ref="Q34:Q38"/>
    <mergeCell ref="P39:P43"/>
    <mergeCell ref="A25:A26"/>
    <mergeCell ref="U34:U38"/>
    <mergeCell ref="Q39:Q43"/>
    <mergeCell ref="I34:I38"/>
    <mergeCell ref="I39:I43"/>
    <mergeCell ref="R39:R43"/>
    <mergeCell ref="P34:P38"/>
    <mergeCell ref="R34:R38"/>
    <mergeCell ref="S34:S38"/>
    <mergeCell ref="T49:T53"/>
    <mergeCell ref="U49:U53"/>
    <mergeCell ref="T34:T38"/>
    <mergeCell ref="S39:S43"/>
    <mergeCell ref="T39:T43"/>
    <mergeCell ref="U39:U43"/>
    <mergeCell ref="S44:S48"/>
    <mergeCell ref="T44:T48"/>
    <mergeCell ref="U44:U48"/>
    <mergeCell ref="S49:S53"/>
    <mergeCell ref="I74:Q74"/>
    <mergeCell ref="A73:Q73"/>
    <mergeCell ref="Q44:Q48"/>
    <mergeCell ref="R44:R48"/>
    <mergeCell ref="I63:L63"/>
    <mergeCell ref="I64:I65"/>
    <mergeCell ref="I44:I48"/>
    <mergeCell ref="I49:I53"/>
    <mergeCell ref="P44:P48"/>
    <mergeCell ref="P49:P53"/>
    <mergeCell ref="Q49:Q53"/>
    <mergeCell ref="R49:R5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350912-D4E5-9440-B6C1-1098EB0C45CB}">
  <dimension ref="A1:AS81"/>
  <sheetViews>
    <sheetView zoomScale="75" zoomScaleNormal="70" workbookViewId="0">
      <selection sqref="A1:AI1"/>
    </sheetView>
  </sheetViews>
  <sheetFormatPr baseColWidth="10" defaultColWidth="9.1640625" defaultRowHeight="15"/>
  <cols>
    <col min="1" max="1" width="24" style="3" bestFit="1" customWidth="1"/>
    <col min="2" max="2" width="15.6640625" style="119" bestFit="1" customWidth="1"/>
    <col min="3" max="3" width="6.6640625" style="119" bestFit="1" customWidth="1"/>
    <col min="4" max="4" width="8.83203125" style="119" bestFit="1" customWidth="1"/>
    <col min="5" max="5" width="8.6640625" style="119" bestFit="1" customWidth="1"/>
    <col min="6" max="6" width="10.1640625" style="119" bestFit="1" customWidth="1"/>
    <col min="7" max="7" width="7.1640625" style="119" bestFit="1" customWidth="1"/>
    <col min="8" max="8" width="6.6640625" style="119" customWidth="1"/>
    <col min="9" max="9" width="14.83203125" style="119" bestFit="1" customWidth="1"/>
    <col min="10" max="10" width="6.6640625" style="119" bestFit="1" customWidth="1"/>
    <col min="11" max="11" width="8.83203125" style="119" bestFit="1" customWidth="1"/>
    <col min="12" max="12" width="8.6640625" style="119" bestFit="1" customWidth="1"/>
    <col min="13" max="13" width="10.1640625" style="119" bestFit="1" customWidth="1"/>
    <col min="14" max="14" width="7.1640625" style="119" bestFit="1" customWidth="1"/>
    <col min="15" max="15" width="6.1640625" style="119" bestFit="1" customWidth="1"/>
    <col min="16" max="16" width="7.1640625" style="119" bestFit="1" customWidth="1"/>
    <col min="17" max="17" width="4.6640625" style="119" bestFit="1" customWidth="1"/>
    <col min="18" max="19" width="2.33203125" style="119" customWidth="1"/>
    <col min="20" max="21" width="4.5" style="119" bestFit="1" customWidth="1"/>
    <col min="22" max="22" width="5.6640625" style="119" bestFit="1" customWidth="1"/>
    <col min="23" max="23" width="4.6640625" style="119" bestFit="1" customWidth="1"/>
    <col min="24" max="25" width="2.33203125" style="119" customWidth="1"/>
    <col min="26" max="28" width="5.6640625" style="119" bestFit="1" customWidth="1"/>
    <col min="29" max="29" width="4.6640625" style="119" customWidth="1"/>
    <col min="30" max="31" width="2.33203125" style="119" customWidth="1"/>
    <col min="32" max="34" width="5.6640625" style="119" bestFit="1" customWidth="1"/>
    <col min="35" max="35" width="8" style="119" bestFit="1" customWidth="1"/>
    <col min="36" max="38" width="9.1640625" style="119"/>
    <col min="39" max="39" width="14.83203125" style="119" bestFit="1" customWidth="1"/>
    <col min="40" max="16384" width="9.1640625" style="119"/>
  </cols>
  <sheetData>
    <row r="1" spans="1:45" ht="16" thickBot="1">
      <c r="A1" s="398" t="s">
        <v>291</v>
      </c>
      <c r="B1" s="399"/>
      <c r="C1" s="399"/>
      <c r="D1" s="399"/>
      <c r="E1" s="399"/>
      <c r="F1" s="399"/>
      <c r="G1" s="399"/>
      <c r="H1" s="399"/>
      <c r="I1" s="399"/>
      <c r="J1" s="399"/>
      <c r="K1" s="399"/>
      <c r="L1" s="399"/>
      <c r="M1" s="399"/>
      <c r="N1" s="399"/>
      <c r="O1" s="399"/>
      <c r="P1" s="399"/>
      <c r="Q1" s="399"/>
      <c r="R1" s="399"/>
      <c r="S1" s="399"/>
      <c r="T1" s="399"/>
      <c r="U1" s="399"/>
      <c r="V1" s="399"/>
      <c r="W1" s="399"/>
      <c r="X1" s="399"/>
      <c r="Y1" s="399"/>
      <c r="Z1" s="399"/>
      <c r="AA1" s="399"/>
      <c r="AB1" s="399"/>
      <c r="AC1" s="399"/>
      <c r="AD1" s="399"/>
      <c r="AE1" s="399"/>
      <c r="AF1" s="399"/>
      <c r="AG1" s="399"/>
      <c r="AH1" s="399"/>
      <c r="AI1" s="412"/>
      <c r="AL1" s="496" t="s">
        <v>289</v>
      </c>
      <c r="AM1" s="497"/>
      <c r="AN1" s="497"/>
      <c r="AO1" s="497"/>
      <c r="AP1" s="497"/>
      <c r="AQ1" s="497"/>
      <c r="AR1" s="497"/>
      <c r="AS1" s="498"/>
    </row>
    <row r="2" spans="1:45" s="3" customFormat="1" ht="18" thickBot="1">
      <c r="A2" s="216"/>
      <c r="B2" s="504" t="s">
        <v>292</v>
      </c>
      <c r="C2" s="505"/>
      <c r="D2" s="505"/>
      <c r="E2" s="506"/>
      <c r="F2" s="239"/>
      <c r="G2" s="239"/>
      <c r="H2" s="504" t="s">
        <v>7</v>
      </c>
      <c r="I2" s="505"/>
      <c r="J2" s="505"/>
      <c r="K2" s="506"/>
      <c r="L2" s="239"/>
      <c r="M2" s="239"/>
      <c r="N2" s="504" t="s">
        <v>293</v>
      </c>
      <c r="O2" s="505"/>
      <c r="P2" s="505"/>
      <c r="Q2" s="506"/>
      <c r="R2" s="239"/>
      <c r="S2" s="239"/>
      <c r="T2" s="504" t="s">
        <v>294</v>
      </c>
      <c r="U2" s="505"/>
      <c r="V2" s="505"/>
      <c r="W2" s="506"/>
      <c r="X2" s="239"/>
      <c r="Y2" s="239"/>
      <c r="Z2" s="504" t="s">
        <v>4</v>
      </c>
      <c r="AA2" s="505"/>
      <c r="AB2" s="505"/>
      <c r="AC2" s="506"/>
      <c r="AD2" s="239"/>
      <c r="AE2" s="239"/>
      <c r="AF2" s="507" t="s">
        <v>295</v>
      </c>
      <c r="AG2" s="508"/>
      <c r="AH2" s="508"/>
      <c r="AI2" s="509"/>
      <c r="AL2" s="217"/>
      <c r="AM2" s="65" t="s">
        <v>58</v>
      </c>
      <c r="AN2" s="65" t="s">
        <v>299</v>
      </c>
      <c r="AO2" s="65" t="s">
        <v>300</v>
      </c>
      <c r="AP2" s="65" t="s">
        <v>301</v>
      </c>
      <c r="AQ2" s="65" t="s">
        <v>302</v>
      </c>
      <c r="AR2" s="65" t="s">
        <v>11</v>
      </c>
      <c r="AS2" s="299" t="s">
        <v>87</v>
      </c>
    </row>
    <row r="3" spans="1:45" s="297" customFormat="1" ht="17" thickBot="1">
      <c r="A3" s="220"/>
      <c r="B3" s="295" t="s">
        <v>149</v>
      </c>
      <c r="C3" s="280" t="s">
        <v>150</v>
      </c>
      <c r="D3" s="280" t="s">
        <v>3</v>
      </c>
      <c r="E3" s="296" t="s">
        <v>151</v>
      </c>
      <c r="H3" s="295" t="s">
        <v>149</v>
      </c>
      <c r="I3" s="280" t="s">
        <v>150</v>
      </c>
      <c r="J3" s="280" t="s">
        <v>3</v>
      </c>
      <c r="K3" s="296" t="s">
        <v>151</v>
      </c>
      <c r="N3" s="295" t="s">
        <v>149</v>
      </c>
      <c r="O3" s="280" t="s">
        <v>150</v>
      </c>
      <c r="P3" s="280" t="s">
        <v>3</v>
      </c>
      <c r="Q3" s="296" t="s">
        <v>151</v>
      </c>
      <c r="R3" s="3"/>
      <c r="S3" s="3"/>
      <c r="T3" s="295" t="s">
        <v>149</v>
      </c>
      <c r="U3" s="280" t="s">
        <v>150</v>
      </c>
      <c r="V3" s="280" t="s">
        <v>3</v>
      </c>
      <c r="W3" s="296" t="s">
        <v>151</v>
      </c>
      <c r="X3" s="3"/>
      <c r="Y3" s="3"/>
      <c r="Z3" s="295" t="s">
        <v>149</v>
      </c>
      <c r="AA3" s="280" t="s">
        <v>150</v>
      </c>
      <c r="AB3" s="280" t="s">
        <v>3</v>
      </c>
      <c r="AC3" s="296" t="s">
        <v>151</v>
      </c>
      <c r="AD3" s="3"/>
      <c r="AE3" s="3"/>
      <c r="AF3" s="298" t="s">
        <v>149</v>
      </c>
      <c r="AG3" s="65" t="s">
        <v>150</v>
      </c>
      <c r="AH3" s="65" t="s">
        <v>3</v>
      </c>
      <c r="AI3" s="299" t="s">
        <v>151</v>
      </c>
      <c r="AL3" s="325" t="s">
        <v>32</v>
      </c>
      <c r="AM3" s="312" t="s">
        <v>8</v>
      </c>
      <c r="AN3" s="251">
        <v>0.7344539237043739</v>
      </c>
      <c r="AO3" s="251">
        <v>0.2655460762956256</v>
      </c>
      <c r="AP3" s="251">
        <v>0</v>
      </c>
      <c r="AQ3" s="313">
        <f>AN3+AO3</f>
        <v>0.99999999999999956</v>
      </c>
      <c r="AR3" s="227">
        <v>301</v>
      </c>
      <c r="AS3" s="228">
        <v>280</v>
      </c>
    </row>
    <row r="4" spans="1:45">
      <c r="A4" s="226"/>
      <c r="B4" s="502" t="s">
        <v>296</v>
      </c>
      <c r="C4" s="503"/>
      <c r="D4" s="503"/>
      <c r="E4" s="503"/>
      <c r="F4" s="503"/>
      <c r="G4" s="503"/>
      <c r="H4" s="503"/>
      <c r="I4" s="503"/>
      <c r="J4" s="503"/>
      <c r="K4" s="503"/>
      <c r="L4" s="503"/>
      <c r="M4" s="503"/>
      <c r="N4" s="503"/>
      <c r="O4" s="503"/>
      <c r="P4" s="503"/>
      <c r="Q4" s="503"/>
      <c r="R4" s="503"/>
      <c r="S4" s="503"/>
      <c r="T4" s="503"/>
      <c r="U4" s="503"/>
      <c r="V4" s="503"/>
      <c r="W4" s="503"/>
      <c r="X4" s="503"/>
      <c r="Y4" s="503"/>
      <c r="Z4" s="503"/>
      <c r="AA4" s="503"/>
      <c r="AB4" s="503"/>
      <c r="AC4" s="503"/>
      <c r="AD4" s="503"/>
      <c r="AE4" s="503"/>
      <c r="AF4" s="503"/>
      <c r="AG4" s="503"/>
      <c r="AH4" s="503"/>
      <c r="AI4" s="317"/>
      <c r="AL4" s="326"/>
      <c r="AM4" s="145" t="s">
        <v>7</v>
      </c>
      <c r="AN4" s="59">
        <v>0.55675049408115596</v>
      </c>
      <c r="AO4" s="59">
        <v>0.38778277596212768</v>
      </c>
      <c r="AP4" s="59">
        <v>5.5466729956717399E-2</v>
      </c>
      <c r="AQ4" s="310">
        <f t="shared" ref="AQ4:AQ8" si="0">AN4+AO4</f>
        <v>0.94453327004328358</v>
      </c>
      <c r="AR4" s="229">
        <v>1125</v>
      </c>
      <c r="AS4" s="224">
        <v>875</v>
      </c>
    </row>
    <row r="5" spans="1:45">
      <c r="A5" s="218" t="s">
        <v>15</v>
      </c>
      <c r="B5" s="300">
        <v>6.7212687774646541E-3</v>
      </c>
      <c r="C5" s="108">
        <v>1.433269806492867E-2</v>
      </c>
      <c r="D5" s="108">
        <v>0.13418090359248216</v>
      </c>
      <c r="E5" s="301">
        <v>1.5791078802666461E-2</v>
      </c>
      <c r="F5" s="108"/>
      <c r="G5" s="108"/>
      <c r="H5" s="300">
        <v>9.5780975634550455E-3</v>
      </c>
      <c r="I5" s="108">
        <v>5.6550184339499536E-2</v>
      </c>
      <c r="J5" s="108">
        <v>0.21071095987073457</v>
      </c>
      <c r="K5" s="301">
        <v>6.1137733177224825E-2</v>
      </c>
      <c r="L5" s="108"/>
      <c r="M5" s="108"/>
      <c r="N5" s="300">
        <v>1.3203065278054562E-2</v>
      </c>
      <c r="O5" s="108">
        <v>3.8968362121728113E-2</v>
      </c>
      <c r="P5" s="108">
        <v>0.18388207876993515</v>
      </c>
      <c r="Q5" s="301">
        <v>3.0977822341699216E-2</v>
      </c>
      <c r="R5" s="108"/>
      <c r="S5" s="108"/>
      <c r="T5" s="300">
        <v>2.8745884437853975E-2</v>
      </c>
      <c r="U5" s="108">
        <v>5.3578856407595708E-2</v>
      </c>
      <c r="V5" s="108">
        <v>0.17226647988338806</v>
      </c>
      <c r="W5" s="301">
        <v>4.7968546807483282E-2</v>
      </c>
      <c r="X5" s="108"/>
      <c r="Y5" s="108"/>
      <c r="Z5" s="300">
        <v>0.13921434587604045</v>
      </c>
      <c r="AA5" s="108">
        <v>7.0582919019167675E-2</v>
      </c>
      <c r="AB5" s="108">
        <v>0.31266888591231062</v>
      </c>
      <c r="AC5" s="301">
        <v>5.1261451517504199E-2</v>
      </c>
      <c r="AD5" s="108"/>
      <c r="AE5" s="108"/>
      <c r="AF5" s="300">
        <v>1.5938215224062958E-2</v>
      </c>
      <c r="AG5" s="108">
        <v>3.6130482456118641E-2</v>
      </c>
      <c r="AH5" s="108">
        <v>0.16342272982669401</v>
      </c>
      <c r="AI5" s="235">
        <v>2.672005020642737E-2</v>
      </c>
      <c r="AL5" s="326"/>
      <c r="AM5" s="311" t="s">
        <v>6</v>
      </c>
      <c r="AN5" s="59">
        <v>0.39879792284151322</v>
      </c>
      <c r="AO5" s="59">
        <v>0.43247119364017883</v>
      </c>
      <c r="AP5" s="59">
        <v>0.16873088351831</v>
      </c>
      <c r="AQ5" s="310">
        <f t="shared" si="0"/>
        <v>0.83126911648169211</v>
      </c>
      <c r="AR5" s="229">
        <v>763</v>
      </c>
      <c r="AS5" s="224">
        <v>386</v>
      </c>
    </row>
    <row r="6" spans="1:45">
      <c r="A6" s="218" t="s">
        <v>16</v>
      </c>
      <c r="B6" s="300">
        <v>7.3947399089666022E-2</v>
      </c>
      <c r="C6" s="108">
        <v>0.2568371849917554</v>
      </c>
      <c r="D6" s="108">
        <v>3.1498204726837544</v>
      </c>
      <c r="E6" s="301">
        <v>0.10705863817698499</v>
      </c>
      <c r="F6" s="108"/>
      <c r="G6" s="108"/>
      <c r="H6" s="300">
        <v>0.13283940882574602</v>
      </c>
      <c r="I6" s="108">
        <v>0.81262439817890586</v>
      </c>
      <c r="J6" s="108">
        <v>3.0564471183931663</v>
      </c>
      <c r="K6" s="301">
        <v>0.28269409720446598</v>
      </c>
      <c r="L6" s="108"/>
      <c r="M6" s="108"/>
      <c r="N6" s="300">
        <v>7.6265074435078489E-2</v>
      </c>
      <c r="O6" s="108">
        <v>0.29790412113496312</v>
      </c>
      <c r="P6" s="108">
        <v>2.1029736380915747</v>
      </c>
      <c r="Q6" s="301">
        <v>0.14858112772359353</v>
      </c>
      <c r="R6" s="108"/>
      <c r="S6" s="108"/>
      <c r="T6" s="300">
        <v>0.10171620647240642</v>
      </c>
      <c r="U6" s="108">
        <v>0.30538987957770264</v>
      </c>
      <c r="V6" s="108">
        <v>1.4171205573778944</v>
      </c>
      <c r="W6" s="301">
        <v>0.10295978409050366</v>
      </c>
      <c r="X6" s="108"/>
      <c r="Y6" s="108"/>
      <c r="Z6" s="300">
        <v>0.11305109293877999</v>
      </c>
      <c r="AA6" s="108">
        <v>0.20125315571636296</v>
      </c>
      <c r="AB6" s="108">
        <v>1.3987207796618071</v>
      </c>
      <c r="AC6" s="301">
        <v>0.11422567814029072</v>
      </c>
      <c r="AD6" s="108"/>
      <c r="AE6" s="108"/>
      <c r="AF6" s="300">
        <v>9.3842559758294822E-2</v>
      </c>
      <c r="AG6" s="108">
        <v>0.39442974834873556</v>
      </c>
      <c r="AH6" s="108">
        <v>2.7133010632294217</v>
      </c>
      <c r="AI6" s="235">
        <v>0.13412576605497029</v>
      </c>
      <c r="AL6" s="326"/>
      <c r="AM6" s="311" t="s">
        <v>5</v>
      </c>
      <c r="AN6" s="59">
        <v>0.27450586680754518</v>
      </c>
      <c r="AO6" s="59">
        <v>0.3763927302907944</v>
      </c>
      <c r="AP6" s="59">
        <v>0.34910140290165842</v>
      </c>
      <c r="AQ6" s="310">
        <f t="shared" si="0"/>
        <v>0.65089859709833964</v>
      </c>
      <c r="AR6" s="229">
        <v>4420</v>
      </c>
      <c r="AS6" s="224">
        <v>2861</v>
      </c>
    </row>
    <row r="7" spans="1:45">
      <c r="A7" s="218" t="s">
        <v>17</v>
      </c>
      <c r="B7" s="300">
        <v>0.11325337890027964</v>
      </c>
      <c r="C7" s="108">
        <v>1.8713236439343642E-2</v>
      </c>
      <c r="D7" s="108">
        <v>0.11708356833885256</v>
      </c>
      <c r="E7" s="301">
        <v>2.3339664572349636E-2</v>
      </c>
      <c r="F7" s="108"/>
      <c r="G7" s="108"/>
      <c r="H7" s="300">
        <v>6.7180082631698737E-2</v>
      </c>
      <c r="I7" s="108">
        <v>4.9809682490983234E-2</v>
      </c>
      <c r="J7" s="108">
        <v>0.1019670446561842</v>
      </c>
      <c r="K7" s="301">
        <v>6.561493653112041E-2</v>
      </c>
      <c r="L7" s="108"/>
      <c r="M7" s="108"/>
      <c r="N7" s="300">
        <v>6.271456007075929E-2</v>
      </c>
      <c r="O7" s="108">
        <v>1.4790911170290959E-2</v>
      </c>
      <c r="P7" s="108">
        <v>5.7963765345277009E-2</v>
      </c>
      <c r="Q7" s="301">
        <v>3.1477464637533085E-2</v>
      </c>
      <c r="R7" s="108"/>
      <c r="S7" s="108"/>
      <c r="T7" s="300">
        <v>8.3961395496085015E-2</v>
      </c>
      <c r="U7" s="108">
        <v>1.9011852273663019E-2</v>
      </c>
      <c r="V7" s="108">
        <v>2.0389508300285526E-2</v>
      </c>
      <c r="W7" s="301">
        <v>1.9639727601078696E-2</v>
      </c>
      <c r="X7" s="108"/>
      <c r="Y7" s="108"/>
      <c r="Z7" s="300">
        <v>5.1034493383792075E-2</v>
      </c>
      <c r="AA7" s="108">
        <v>1.1020381408197197E-2</v>
      </c>
      <c r="AB7" s="108">
        <v>3.4980453301960548E-2</v>
      </c>
      <c r="AC7" s="301">
        <v>1.6317954020041527E-2</v>
      </c>
      <c r="AD7" s="108"/>
      <c r="AE7" s="108"/>
      <c r="AF7" s="300">
        <v>9.1906340668993933E-2</v>
      </c>
      <c r="AG7" s="108">
        <v>2.5136675018566253E-2</v>
      </c>
      <c r="AH7" s="108">
        <v>9.3096972516888407E-2</v>
      </c>
      <c r="AI7" s="235">
        <v>2.9906582208516941E-2</v>
      </c>
      <c r="AL7" s="326"/>
      <c r="AM7" s="311" t="s">
        <v>4</v>
      </c>
      <c r="AN7" s="59">
        <v>0.10231190630868379</v>
      </c>
      <c r="AO7" s="59">
        <v>0.37842884955152051</v>
      </c>
      <c r="AP7" s="59">
        <v>0.51925924413959701</v>
      </c>
      <c r="AQ7" s="310">
        <f t="shared" si="0"/>
        <v>0.48074075586020432</v>
      </c>
      <c r="AR7" s="229">
        <v>183183</v>
      </c>
      <c r="AS7" s="224">
        <v>19799</v>
      </c>
    </row>
    <row r="8" spans="1:45">
      <c r="A8" s="218" t="s">
        <v>18</v>
      </c>
      <c r="B8" s="300">
        <v>2.3067528869634266</v>
      </c>
      <c r="C8" s="108">
        <v>1.463893872349048</v>
      </c>
      <c r="D8" s="108">
        <v>10.52104502313011</v>
      </c>
      <c r="E8" s="301">
        <v>1.7490495198989033</v>
      </c>
      <c r="F8" s="108"/>
      <c r="G8" s="108"/>
      <c r="H8" s="300">
        <v>2.4430285172436035</v>
      </c>
      <c r="I8" s="108">
        <v>3.5806071053228314</v>
      </c>
      <c r="J8" s="108">
        <v>10.600883305444983</v>
      </c>
      <c r="K8" s="301">
        <v>2.5702190010921626</v>
      </c>
      <c r="L8" s="108"/>
      <c r="M8" s="108"/>
      <c r="N8" s="300">
        <v>2.1326424914920827</v>
      </c>
      <c r="O8" s="108">
        <v>1.2211034933472891</v>
      </c>
      <c r="P8" s="108">
        <v>6.9811455628926886</v>
      </c>
      <c r="Q8" s="301">
        <v>2.3408241559816272</v>
      </c>
      <c r="R8" s="108"/>
      <c r="S8" s="108"/>
      <c r="T8" s="300">
        <v>1.5819991831466018</v>
      </c>
      <c r="U8" s="108">
        <v>0.92749993453256296</v>
      </c>
      <c r="V8" s="108">
        <v>6.7787655522242076</v>
      </c>
      <c r="W8" s="301">
        <v>1.3004277007130431</v>
      </c>
      <c r="X8" s="108"/>
      <c r="Y8" s="108"/>
      <c r="Z8" s="300">
        <v>1.2521216050776589</v>
      </c>
      <c r="AA8" s="108">
        <v>0.54104824913577598</v>
      </c>
      <c r="AB8" s="108">
        <v>3.6867076802322218</v>
      </c>
      <c r="AC8" s="301">
        <v>1.1275871055667042</v>
      </c>
      <c r="AD8" s="108"/>
      <c r="AE8" s="108"/>
      <c r="AF8" s="300">
        <v>2.1890878786732952</v>
      </c>
      <c r="AG8" s="108">
        <v>1.8313020441372736</v>
      </c>
      <c r="AH8" s="108">
        <v>9.2669241039122436</v>
      </c>
      <c r="AI8" s="235">
        <v>1.7272962189137915</v>
      </c>
      <c r="AL8" s="326"/>
      <c r="AM8" s="311" t="s">
        <v>166</v>
      </c>
      <c r="AN8" s="59">
        <v>0.55292446103425963</v>
      </c>
      <c r="AO8" s="59">
        <v>0.32258551871386532</v>
      </c>
      <c r="AP8" s="59">
        <v>0.12449002025184798</v>
      </c>
      <c r="AQ8" s="310">
        <f t="shared" si="0"/>
        <v>0.87550997974812494</v>
      </c>
      <c r="AR8" s="229">
        <f>SUM(AR3:AR7)</f>
        <v>189792</v>
      </c>
      <c r="AS8" s="224">
        <f>SUM(AS3:AS7)</f>
        <v>24201</v>
      </c>
    </row>
    <row r="9" spans="1:45" ht="16" thickBot="1">
      <c r="A9" s="218" t="s">
        <v>19</v>
      </c>
      <c r="B9" s="300">
        <v>0.49684963056774234</v>
      </c>
      <c r="C9" s="108">
        <v>1.5696091005509443</v>
      </c>
      <c r="D9" s="108">
        <v>2.3244752029959441</v>
      </c>
      <c r="E9" s="301">
        <v>0.2785568805890799</v>
      </c>
      <c r="F9" s="108"/>
      <c r="G9" s="108"/>
      <c r="H9" s="300">
        <v>0.71865079657165898</v>
      </c>
      <c r="I9" s="108">
        <v>4.3551520450068626</v>
      </c>
      <c r="J9" s="108">
        <v>2.2665099672075955</v>
      </c>
      <c r="K9" s="301">
        <v>0.86505654316384994</v>
      </c>
      <c r="L9" s="108"/>
      <c r="M9" s="108"/>
      <c r="N9" s="300">
        <v>0.51926265942243621</v>
      </c>
      <c r="O9" s="108">
        <v>1.5534249270131246</v>
      </c>
      <c r="P9" s="108">
        <v>1.7375349213605029</v>
      </c>
      <c r="Q9" s="301">
        <v>0.30184640197062956</v>
      </c>
      <c r="R9" s="108"/>
      <c r="S9" s="108"/>
      <c r="T9" s="300">
        <v>0.62219881542296118</v>
      </c>
      <c r="U9" s="108">
        <v>1.4430764031357635</v>
      </c>
      <c r="V9" s="108">
        <v>0.66529473668590167</v>
      </c>
      <c r="W9" s="301">
        <v>0.21837790043704508</v>
      </c>
      <c r="X9" s="108"/>
      <c r="Y9" s="108"/>
      <c r="Z9" s="300">
        <v>1.8981278504421135</v>
      </c>
      <c r="AA9" s="108">
        <v>0.98842325630187577</v>
      </c>
      <c r="AB9" s="108">
        <v>0.36522245793468766</v>
      </c>
      <c r="AC9" s="301">
        <v>0.39130124084422857</v>
      </c>
      <c r="AD9" s="108"/>
      <c r="AE9" s="108"/>
      <c r="AF9" s="300">
        <v>0.62789022423121787</v>
      </c>
      <c r="AG9" s="108">
        <v>2.2104967192349783</v>
      </c>
      <c r="AH9" s="108">
        <v>1.9653493716137764</v>
      </c>
      <c r="AI9" s="235">
        <v>0.37144357295721969</v>
      </c>
      <c r="AL9" s="327"/>
      <c r="AM9" s="308" t="s">
        <v>303</v>
      </c>
      <c r="AN9" s="193">
        <v>7.861509395382453E-2</v>
      </c>
      <c r="AO9" s="193">
        <v>0.19125157705135429</v>
      </c>
      <c r="AP9" s="193">
        <v>0.73013332899482097</v>
      </c>
      <c r="AQ9" s="309">
        <f t="shared" ref="AQ9" si="1">AN9+AO9</f>
        <v>0.2698666710051788</v>
      </c>
      <c r="AR9" s="160">
        <v>82200</v>
      </c>
      <c r="AS9" s="225">
        <v>75829</v>
      </c>
    </row>
    <row r="10" spans="1:45">
      <c r="A10" s="240" t="s">
        <v>20</v>
      </c>
      <c r="B10" s="300">
        <v>2.4018319550894391</v>
      </c>
      <c r="C10" s="108">
        <v>1.9051239309683716</v>
      </c>
      <c r="D10" s="108">
        <v>7.5072690776998448</v>
      </c>
      <c r="E10" s="301">
        <v>0.19941394407215246</v>
      </c>
      <c r="F10" s="108"/>
      <c r="G10" s="108"/>
      <c r="H10" s="300">
        <v>2.4070639614900142</v>
      </c>
      <c r="I10" s="108">
        <v>6.2770704616844375</v>
      </c>
      <c r="J10" s="108">
        <v>6.5731981242873996</v>
      </c>
      <c r="K10" s="301">
        <v>2.9625611124733426</v>
      </c>
      <c r="L10" s="108"/>
      <c r="M10" s="108"/>
      <c r="N10" s="300">
        <v>2.3668231756344147</v>
      </c>
      <c r="O10" s="108">
        <v>1.6899564147388835</v>
      </c>
      <c r="P10" s="108">
        <v>6.4045223697476121</v>
      </c>
      <c r="Q10" s="301">
        <v>0.29372721466332963</v>
      </c>
      <c r="R10" s="108"/>
      <c r="S10" s="108"/>
      <c r="T10" s="300">
        <v>2.5938283009840015</v>
      </c>
      <c r="U10" s="108">
        <v>1.5449530458749365</v>
      </c>
      <c r="V10" s="108">
        <v>7.0084210383966887</v>
      </c>
      <c r="W10" s="301">
        <v>1.1535066677700245</v>
      </c>
      <c r="X10" s="108"/>
      <c r="Y10" s="108"/>
      <c r="Z10" s="300">
        <v>1.7469623890268313</v>
      </c>
      <c r="AA10" s="108">
        <v>1.0433939683260971</v>
      </c>
      <c r="AB10" s="108">
        <v>3.5404860697472476</v>
      </c>
      <c r="AC10" s="301">
        <v>1.1559374903287991</v>
      </c>
      <c r="AD10" s="108"/>
      <c r="AE10" s="108"/>
      <c r="AF10" s="300">
        <v>2.3719965165394443</v>
      </c>
      <c r="AG10" s="108">
        <v>2.6671104400368804</v>
      </c>
      <c r="AH10" s="108">
        <v>6.6542356359527703</v>
      </c>
      <c r="AI10" s="235">
        <v>0.81341603938797546</v>
      </c>
      <c r="AL10" s="325" t="s">
        <v>14</v>
      </c>
      <c r="AM10" s="312" t="s">
        <v>8</v>
      </c>
      <c r="AN10" s="251">
        <v>0.68430515499102296</v>
      </c>
      <c r="AO10" s="251">
        <v>0.3156948450089781</v>
      </c>
      <c r="AP10" s="251">
        <v>0</v>
      </c>
      <c r="AQ10" s="313">
        <f t="shared" ref="AQ10:AQ15" si="2">AN10+AO10</f>
        <v>1.0000000000000011</v>
      </c>
      <c r="AR10" s="227">
        <v>519</v>
      </c>
      <c r="AS10" s="228">
        <v>470</v>
      </c>
    </row>
    <row r="11" spans="1:45">
      <c r="A11" s="218" t="s">
        <v>21</v>
      </c>
      <c r="B11" s="300">
        <v>0.17849001365435133</v>
      </c>
      <c r="C11" s="108">
        <v>0.1122397158713388</v>
      </c>
      <c r="D11" s="108">
        <v>0.22993162835723532</v>
      </c>
      <c r="E11" s="301">
        <v>1.3803128264563548E-2</v>
      </c>
      <c r="F11" s="108"/>
      <c r="G11" s="108"/>
      <c r="H11" s="300">
        <v>0.19980605195742349</v>
      </c>
      <c r="I11" s="108">
        <v>0.29579423046930187</v>
      </c>
      <c r="J11" s="108">
        <v>0.24247590526786256</v>
      </c>
      <c r="K11" s="301">
        <v>5.1574774557253664E-2</v>
      </c>
      <c r="L11" s="108"/>
      <c r="M11" s="108"/>
      <c r="N11" s="300">
        <v>0.18327939300457344</v>
      </c>
      <c r="O11" s="108">
        <v>0.13548853886119122</v>
      </c>
      <c r="P11" s="108">
        <v>0.21773016165358167</v>
      </c>
      <c r="Q11" s="301">
        <v>2.2109171590648236E-2</v>
      </c>
      <c r="R11" s="108"/>
      <c r="S11" s="108"/>
      <c r="T11" s="300">
        <v>0.2335440520731526</v>
      </c>
      <c r="U11" s="108">
        <v>0.17221089420613406</v>
      </c>
      <c r="V11" s="108">
        <v>0.29699059407147521</v>
      </c>
      <c r="W11" s="301">
        <v>2.1345804948243109E-2</v>
      </c>
      <c r="X11" s="108"/>
      <c r="Y11" s="108"/>
      <c r="Z11" s="300">
        <v>0.51825851034363546</v>
      </c>
      <c r="AA11" s="108">
        <v>0.14339615332332761</v>
      </c>
      <c r="AB11" s="108">
        <v>8.8860298435312124E-2</v>
      </c>
      <c r="AC11" s="301">
        <v>1.1537947286898028E-2</v>
      </c>
      <c r="AD11" s="108"/>
      <c r="AE11" s="108"/>
      <c r="AF11" s="300">
        <v>0.20374434843373379</v>
      </c>
      <c r="AG11" s="108">
        <v>0.17224960369525572</v>
      </c>
      <c r="AH11" s="108">
        <v>0.22156364353123159</v>
      </c>
      <c r="AI11" s="235">
        <v>2.0858168997186101E-2</v>
      </c>
      <c r="AL11" s="326"/>
      <c r="AM11" s="145" t="s">
        <v>7</v>
      </c>
      <c r="AN11" s="59">
        <v>0.57316694593151551</v>
      </c>
      <c r="AO11" s="59">
        <v>0.40921076950609586</v>
      </c>
      <c r="AP11" s="59">
        <v>1.7622284562388051E-2</v>
      </c>
      <c r="AQ11" s="310">
        <f t="shared" si="2"/>
        <v>0.98237771543761143</v>
      </c>
      <c r="AR11" s="229">
        <v>1803</v>
      </c>
      <c r="AS11" s="224">
        <v>1297</v>
      </c>
    </row>
    <row r="12" spans="1:45">
      <c r="A12" s="218" t="s">
        <v>297</v>
      </c>
      <c r="B12" s="300">
        <v>0</v>
      </c>
      <c r="C12" s="108">
        <v>0</v>
      </c>
      <c r="D12" s="108">
        <v>1.8994070396964715</v>
      </c>
      <c r="E12" s="301">
        <v>0</v>
      </c>
      <c r="F12" s="108"/>
      <c r="G12" s="108"/>
      <c r="H12" s="300">
        <v>0.35106043499334916</v>
      </c>
      <c r="I12" s="108">
        <v>0.26814277641041928</v>
      </c>
      <c r="J12" s="108">
        <v>8.6182410034245738</v>
      </c>
      <c r="K12" s="301">
        <v>0</v>
      </c>
      <c r="L12" s="108"/>
      <c r="M12" s="108"/>
      <c r="N12" s="300">
        <v>1.0867927871586809</v>
      </c>
      <c r="O12" s="108">
        <v>0.88428721170527924</v>
      </c>
      <c r="P12" s="108">
        <v>6.4860285660267252</v>
      </c>
      <c r="Q12" s="301">
        <v>0</v>
      </c>
      <c r="R12" s="108"/>
      <c r="S12" s="108"/>
      <c r="T12" s="300">
        <v>2.813623837315018</v>
      </c>
      <c r="U12" s="108">
        <v>3.942587541022692</v>
      </c>
      <c r="V12" s="108">
        <v>11.351213823582659</v>
      </c>
      <c r="W12" s="301">
        <v>0.25257209258721863</v>
      </c>
      <c r="X12" s="108"/>
      <c r="Y12" s="108"/>
      <c r="Z12" s="300">
        <v>6.176976469088947</v>
      </c>
      <c r="AA12" s="108">
        <v>11.471434951683795</v>
      </c>
      <c r="AB12" s="108">
        <v>28.182218236941356</v>
      </c>
      <c r="AC12" s="301">
        <v>2.5999968881122428</v>
      </c>
      <c r="AD12" s="108"/>
      <c r="AE12" s="108"/>
      <c r="AF12" s="300">
        <v>0.79547662818867149</v>
      </c>
      <c r="AG12" s="108">
        <v>1.2159739318248748</v>
      </c>
      <c r="AH12" s="108">
        <v>6.8777352052786336</v>
      </c>
      <c r="AI12" s="235">
        <v>0.21675383275362603</v>
      </c>
      <c r="AL12" s="326"/>
      <c r="AM12" s="311" t="s">
        <v>6</v>
      </c>
      <c r="AN12" s="59">
        <v>0.46136167410931905</v>
      </c>
      <c r="AO12" s="59">
        <v>0.387113526266538</v>
      </c>
      <c r="AP12" s="59">
        <v>0.151524799624142</v>
      </c>
      <c r="AQ12" s="310">
        <f t="shared" si="2"/>
        <v>0.84847520037585711</v>
      </c>
      <c r="AR12" s="229">
        <v>2748</v>
      </c>
      <c r="AS12" s="224">
        <v>1120</v>
      </c>
    </row>
    <row r="13" spans="1:45" ht="16" thickBot="1">
      <c r="A13" s="217" t="s">
        <v>33</v>
      </c>
      <c r="B13" s="302">
        <v>5.5778465330423694</v>
      </c>
      <c r="C13" s="232">
        <v>5.3407497392357302</v>
      </c>
      <c r="D13" s="232">
        <v>25.883212916494696</v>
      </c>
      <c r="E13" s="303">
        <v>2.3870128543767</v>
      </c>
      <c r="F13" s="232"/>
      <c r="G13" s="232"/>
      <c r="H13" s="302">
        <v>6.32920735127695</v>
      </c>
      <c r="I13" s="232">
        <v>15.695750883903242</v>
      </c>
      <c r="J13" s="232">
        <v>31.670433428552499</v>
      </c>
      <c r="K13" s="303">
        <v>6.8588581981994201</v>
      </c>
      <c r="L13" s="232"/>
      <c r="M13" s="232"/>
      <c r="N13" s="302">
        <v>6.4409832064960799</v>
      </c>
      <c r="O13" s="232">
        <v>5.8359239800927503</v>
      </c>
      <c r="P13" s="232">
        <v>24.171781063887895</v>
      </c>
      <c r="Q13" s="303">
        <v>3.1695433589090602</v>
      </c>
      <c r="R13" s="232"/>
      <c r="S13" s="232"/>
      <c r="T13" s="302">
        <v>8.059617675348079</v>
      </c>
      <c r="U13" s="232">
        <v>8.4083084070310505</v>
      </c>
      <c r="V13" s="232">
        <v>27.7104622905225</v>
      </c>
      <c r="W13" s="303">
        <v>3.1167982249546395</v>
      </c>
      <c r="X13" s="232"/>
      <c r="Y13" s="232"/>
      <c r="Z13" s="302">
        <v>11.895746756177799</v>
      </c>
      <c r="AA13" s="232">
        <v>14.4705530349146</v>
      </c>
      <c r="AB13" s="232">
        <v>37.609864862166901</v>
      </c>
      <c r="AC13" s="303">
        <v>5.4681657558167096</v>
      </c>
      <c r="AD13" s="232"/>
      <c r="AE13" s="232"/>
      <c r="AF13" s="302">
        <v>6.3898827117177097</v>
      </c>
      <c r="AG13" s="232">
        <v>8.5528296447526841</v>
      </c>
      <c r="AH13" s="232">
        <v>27.955628725861661</v>
      </c>
      <c r="AI13" s="236">
        <v>3.3405202314797129</v>
      </c>
      <c r="AL13" s="326"/>
      <c r="AM13" s="311" t="s">
        <v>5</v>
      </c>
      <c r="AN13" s="59">
        <v>0.19482719729216819</v>
      </c>
      <c r="AO13" s="59">
        <v>0.33628092218096312</v>
      </c>
      <c r="AP13" s="59">
        <v>0.46889188052687147</v>
      </c>
      <c r="AQ13" s="310">
        <f t="shared" si="2"/>
        <v>0.5311081194731313</v>
      </c>
      <c r="AR13" s="229">
        <v>10555</v>
      </c>
      <c r="AS13" s="224">
        <v>3060</v>
      </c>
    </row>
    <row r="14" spans="1:45">
      <c r="A14" s="218"/>
      <c r="B14" s="502" t="s">
        <v>298</v>
      </c>
      <c r="C14" s="503"/>
      <c r="D14" s="503"/>
      <c r="E14" s="503"/>
      <c r="F14" s="503"/>
      <c r="G14" s="503"/>
      <c r="H14" s="503"/>
      <c r="I14" s="503"/>
      <c r="J14" s="503"/>
      <c r="K14" s="503"/>
      <c r="L14" s="503"/>
      <c r="M14" s="503"/>
      <c r="N14" s="503"/>
      <c r="O14" s="503"/>
      <c r="P14" s="503"/>
      <c r="Q14" s="503"/>
      <c r="R14" s="503"/>
      <c r="S14" s="503"/>
      <c r="T14" s="503"/>
      <c r="U14" s="503"/>
      <c r="V14" s="503"/>
      <c r="W14" s="503"/>
      <c r="X14" s="503"/>
      <c r="Y14" s="503"/>
      <c r="Z14" s="503"/>
      <c r="AA14" s="503"/>
      <c r="AB14" s="503"/>
      <c r="AC14" s="503"/>
      <c r="AD14" s="503"/>
      <c r="AE14" s="503"/>
      <c r="AF14" s="503"/>
      <c r="AG14" s="503"/>
      <c r="AH14" s="503"/>
      <c r="AI14" s="317"/>
      <c r="AL14" s="326"/>
      <c r="AM14" s="311" t="s">
        <v>4</v>
      </c>
      <c r="AN14" s="59">
        <v>3.3028490655816395E-2</v>
      </c>
      <c r="AO14" s="59">
        <v>0.17422814120860686</v>
      </c>
      <c r="AP14" s="59">
        <v>0.79274336813565294</v>
      </c>
      <c r="AQ14" s="310">
        <f t="shared" si="2"/>
        <v>0.20725663186442325</v>
      </c>
      <c r="AR14" s="229">
        <v>673548</v>
      </c>
      <c r="AS14" s="224">
        <v>46326</v>
      </c>
    </row>
    <row r="15" spans="1:45">
      <c r="A15" s="218" t="s">
        <v>15</v>
      </c>
      <c r="B15" s="304">
        <v>1.2049934930351371E-3</v>
      </c>
      <c r="C15" s="59">
        <v>2.6836490689001471E-3</v>
      </c>
      <c r="D15" s="59">
        <v>5.1840899360284668E-3</v>
      </c>
      <c r="E15" s="305">
        <v>6.6154142294260285E-3</v>
      </c>
      <c r="F15" s="59"/>
      <c r="G15" s="59"/>
      <c r="H15" s="304">
        <v>1.5133170761932164E-3</v>
      </c>
      <c r="I15" s="59">
        <v>3.6028976732482743E-3</v>
      </c>
      <c r="J15" s="59">
        <v>6.6532389064422456E-3</v>
      </c>
      <c r="K15" s="305">
        <v>8.9136896274185449E-3</v>
      </c>
      <c r="L15" s="59"/>
      <c r="M15" s="59"/>
      <c r="N15" s="304">
        <v>2.0498524611488752E-3</v>
      </c>
      <c r="O15" s="59">
        <v>6.6773251767252781E-3</v>
      </c>
      <c r="P15" s="59">
        <v>7.607303668849247E-3</v>
      </c>
      <c r="Q15" s="305">
        <v>9.7735915978639943E-3</v>
      </c>
      <c r="R15" s="59"/>
      <c r="S15" s="59"/>
      <c r="T15" s="304">
        <v>3.5666560866502266E-3</v>
      </c>
      <c r="U15" s="59">
        <v>6.3721326352388459E-3</v>
      </c>
      <c r="V15" s="59">
        <v>6.2166584619667798E-3</v>
      </c>
      <c r="W15" s="305">
        <v>1.5390327940841084E-2</v>
      </c>
      <c r="X15" s="59"/>
      <c r="Y15" s="59"/>
      <c r="Z15" s="304">
        <v>1.1702867312953051E-2</v>
      </c>
      <c r="AA15" s="59">
        <v>4.8776932608494625E-3</v>
      </c>
      <c r="AB15" s="59">
        <v>8.3134807066758531E-3</v>
      </c>
      <c r="AC15" s="305">
        <v>9.3745240738131088E-3</v>
      </c>
      <c r="AD15" s="59"/>
      <c r="AE15" s="59"/>
      <c r="AF15" s="304">
        <v>2.4942891666595991E-3</v>
      </c>
      <c r="AG15" s="59">
        <v>4.2243893491185512E-3</v>
      </c>
      <c r="AH15" s="59">
        <v>5.8457898203345422E-3</v>
      </c>
      <c r="AI15" s="189">
        <v>7.9987691601530846E-3</v>
      </c>
      <c r="AL15" s="326"/>
      <c r="AM15" s="311" t="s">
        <v>166</v>
      </c>
      <c r="AN15" s="59">
        <v>0.54256193190439606</v>
      </c>
      <c r="AO15" s="59">
        <v>0.31526594701625837</v>
      </c>
      <c r="AP15" s="59">
        <v>0.1421721210793549</v>
      </c>
      <c r="AQ15" s="310">
        <f t="shared" si="2"/>
        <v>0.85782787892065437</v>
      </c>
      <c r="AR15" s="229">
        <v>689173</v>
      </c>
      <c r="AS15" s="224">
        <v>52273</v>
      </c>
    </row>
    <row r="16" spans="1:45" ht="16" thickBot="1">
      <c r="A16" s="218" t="s">
        <v>16</v>
      </c>
      <c r="B16" s="304">
        <v>1.3257338410372559E-2</v>
      </c>
      <c r="C16" s="59">
        <v>4.8090099242978052E-2</v>
      </c>
      <c r="D16" s="59">
        <v>0.12169356574262294</v>
      </c>
      <c r="E16" s="305">
        <v>4.4850465711019513E-2</v>
      </c>
      <c r="F16" s="59"/>
      <c r="G16" s="59"/>
      <c r="H16" s="304">
        <v>2.0988316775392892E-2</v>
      </c>
      <c r="I16" s="59">
        <v>5.1773528019757993E-2</v>
      </c>
      <c r="J16" s="59">
        <v>9.6507903034810522E-2</v>
      </c>
      <c r="K16" s="305">
        <v>4.1215912187640577E-2</v>
      </c>
      <c r="L16" s="59"/>
      <c r="M16" s="59"/>
      <c r="N16" s="304">
        <v>1.1840595137425764E-2</v>
      </c>
      <c r="O16" s="59">
        <v>5.1046607555403509E-2</v>
      </c>
      <c r="P16" s="59">
        <v>8.700118673643667E-2</v>
      </c>
      <c r="Q16" s="305">
        <v>4.6877770990561347E-2</v>
      </c>
      <c r="R16" s="59"/>
      <c r="S16" s="59"/>
      <c r="T16" s="304">
        <v>1.2620475383531577E-2</v>
      </c>
      <c r="U16" s="59">
        <v>3.6320014061607779E-2</v>
      </c>
      <c r="V16" s="59">
        <v>5.1140271227541965E-2</v>
      </c>
      <c r="W16" s="305">
        <v>3.3033830443740739E-2</v>
      </c>
      <c r="X16" s="59"/>
      <c r="Y16" s="59"/>
      <c r="Z16" s="304">
        <v>9.5034885372008576E-3</v>
      </c>
      <c r="AA16" s="59">
        <v>1.390777223446669E-2</v>
      </c>
      <c r="AB16" s="59">
        <v>3.7190263373395684E-2</v>
      </c>
      <c r="AC16" s="305">
        <v>2.0889212807564263E-2</v>
      </c>
      <c r="AD16" s="59"/>
      <c r="AE16" s="59"/>
      <c r="AF16" s="304">
        <v>1.4686116160818901E-2</v>
      </c>
      <c r="AG16" s="59">
        <v>4.611687181104155E-2</v>
      </c>
      <c r="AH16" s="59">
        <v>9.7057415157304455E-2</v>
      </c>
      <c r="AI16" s="189">
        <v>4.0151161124852133E-2</v>
      </c>
      <c r="AL16" s="327"/>
      <c r="AM16" s="308" t="s">
        <v>303</v>
      </c>
      <c r="AN16" s="193">
        <v>6.9286405270104594E-3</v>
      </c>
      <c r="AO16" s="193">
        <v>4.8216555507490585E-2</v>
      </c>
      <c r="AP16" s="193">
        <v>0.94485480396546506</v>
      </c>
      <c r="AQ16" s="309">
        <f t="shared" ref="AQ16" si="3">AN16+AO16</f>
        <v>5.5145196034501048E-2</v>
      </c>
      <c r="AR16" s="160">
        <v>172658</v>
      </c>
      <c r="AS16" s="225">
        <v>6395</v>
      </c>
    </row>
    <row r="17" spans="1:45">
      <c r="A17" s="218" t="s">
        <v>17</v>
      </c>
      <c r="B17" s="304">
        <v>2.0304140357642102E-2</v>
      </c>
      <c r="C17" s="59">
        <v>3.5038594491457178E-3</v>
      </c>
      <c r="D17" s="59">
        <v>4.5235330218312371E-3</v>
      </c>
      <c r="E17" s="305">
        <v>9.77777079396756E-3</v>
      </c>
      <c r="F17" s="59"/>
      <c r="G17" s="59"/>
      <c r="H17" s="304">
        <v>1.0614296372853832E-2</v>
      </c>
      <c r="I17" s="59">
        <v>3.1734501177682101E-3</v>
      </c>
      <c r="J17" s="59">
        <v>3.2196289604377736E-3</v>
      </c>
      <c r="K17" s="305">
        <v>9.5664518255160272E-3</v>
      </c>
      <c r="L17" s="59"/>
      <c r="M17" s="59"/>
      <c r="N17" s="304">
        <v>9.7367991904571752E-3</v>
      </c>
      <c r="O17" s="59">
        <v>2.5344591911657982E-3</v>
      </c>
      <c r="P17" s="59">
        <v>2.3979931471360869E-3</v>
      </c>
      <c r="Q17" s="305">
        <v>9.9312301720230946E-3</v>
      </c>
      <c r="R17" s="59"/>
      <c r="S17" s="59"/>
      <c r="T17" s="304">
        <v>1.0417540741777045E-2</v>
      </c>
      <c r="U17" s="59">
        <v>2.2610793221815289E-3</v>
      </c>
      <c r="V17" s="59">
        <v>7.3580541841985515E-4</v>
      </c>
      <c r="W17" s="305">
        <v>6.3012508938927302E-3</v>
      </c>
      <c r="X17" s="59"/>
      <c r="Y17" s="59"/>
      <c r="Z17" s="304">
        <v>4.290146253936384E-3</v>
      </c>
      <c r="AA17" s="59">
        <v>7.6157292548579062E-4</v>
      </c>
      <c r="AB17" s="59">
        <v>9.300871840448602E-4</v>
      </c>
      <c r="AC17" s="305">
        <v>2.9841732582234649E-3</v>
      </c>
      <c r="AD17" s="59"/>
      <c r="AE17" s="59"/>
      <c r="AF17" s="304">
        <v>1.4383102916812048E-2</v>
      </c>
      <c r="AG17" s="59">
        <v>2.9389893243095353E-3</v>
      </c>
      <c r="AH17" s="59">
        <v>3.330169155908295E-3</v>
      </c>
      <c r="AI17" s="189">
        <v>8.9526720798423533E-3</v>
      </c>
      <c r="AL17" s="325" t="s">
        <v>28</v>
      </c>
      <c r="AM17" s="312" t="s">
        <v>8</v>
      </c>
      <c r="AN17" s="251">
        <v>0.46047954099743299</v>
      </c>
      <c r="AO17" s="251">
        <v>0.46613671619504143</v>
      </c>
      <c r="AP17" s="251">
        <v>7.3383742807525604E-2</v>
      </c>
      <c r="AQ17" s="313">
        <f t="shared" ref="AQ17:AQ30" si="4">AN17+AO17</f>
        <v>0.92661625719247442</v>
      </c>
      <c r="AR17" s="227">
        <v>465</v>
      </c>
      <c r="AS17" s="228">
        <v>465</v>
      </c>
    </row>
    <row r="18" spans="1:45">
      <c r="A18" s="218" t="s">
        <v>18</v>
      </c>
      <c r="B18" s="304">
        <v>0.41355617679664558</v>
      </c>
      <c r="C18" s="59">
        <v>0.27409894562079473</v>
      </c>
      <c r="D18" s="59">
        <v>0.40648141546698491</v>
      </c>
      <c r="E18" s="305">
        <v>0.73273569377388947</v>
      </c>
      <c r="F18" s="59"/>
      <c r="G18" s="59"/>
      <c r="H18" s="304">
        <v>0.38599280789097706</v>
      </c>
      <c r="I18" s="59">
        <v>0.22812588781559465</v>
      </c>
      <c r="J18" s="59">
        <v>0.33472492030651368</v>
      </c>
      <c r="K18" s="305">
        <v>0.37472986418743776</v>
      </c>
      <c r="L18" s="59"/>
      <c r="M18" s="59"/>
      <c r="N18" s="304">
        <v>0.33110511596136399</v>
      </c>
      <c r="O18" s="59">
        <v>0.20923910207066854</v>
      </c>
      <c r="P18" s="59">
        <v>0.28881386706428369</v>
      </c>
      <c r="Q18" s="305">
        <v>0.73853671993536829</v>
      </c>
      <c r="R18" s="59"/>
      <c r="S18" s="59"/>
      <c r="T18" s="304">
        <v>0.19628712513069405</v>
      </c>
      <c r="U18" s="59">
        <v>0.11030755410410314</v>
      </c>
      <c r="V18" s="59">
        <v>0.2446283819141723</v>
      </c>
      <c r="W18" s="305">
        <v>0.41723191777419888</v>
      </c>
      <c r="X18" s="59"/>
      <c r="Y18" s="59"/>
      <c r="Z18" s="304">
        <v>0.10525792375559749</v>
      </c>
      <c r="AA18" s="59">
        <v>3.7389604103611862E-2</v>
      </c>
      <c r="AB18" s="59">
        <v>9.8025018003742206E-2</v>
      </c>
      <c r="AC18" s="305">
        <v>0.20620938645966319</v>
      </c>
      <c r="AD18" s="59"/>
      <c r="AE18" s="59"/>
      <c r="AF18" s="304">
        <v>0.34258655087032569</v>
      </c>
      <c r="AG18" s="59">
        <v>0.21411651116666525</v>
      </c>
      <c r="AH18" s="59">
        <v>0.33148687853832604</v>
      </c>
      <c r="AI18" s="189">
        <v>0.51707401818329068</v>
      </c>
      <c r="AL18" s="326"/>
      <c r="AM18" s="145" t="s">
        <v>7</v>
      </c>
      <c r="AN18" s="59">
        <v>0.3185531024570486</v>
      </c>
      <c r="AO18" s="59">
        <v>0.40932428757403289</v>
      </c>
      <c r="AP18" s="59">
        <v>0.27212260996891802</v>
      </c>
      <c r="AQ18" s="310">
        <f t="shared" si="4"/>
        <v>0.72787739003108154</v>
      </c>
      <c r="AR18" s="229">
        <v>1304</v>
      </c>
      <c r="AS18" s="224">
        <v>1302</v>
      </c>
    </row>
    <row r="19" spans="1:45">
      <c r="A19" s="218" t="s">
        <v>19</v>
      </c>
      <c r="B19" s="304">
        <v>8.9075528992143438E-2</v>
      </c>
      <c r="C19" s="59">
        <v>0.29389302573379106</v>
      </c>
      <c r="D19" s="59">
        <v>8.9806285274368583E-2</v>
      </c>
      <c r="E19" s="305">
        <v>0.1166968498214548</v>
      </c>
      <c r="F19" s="59"/>
      <c r="G19" s="59"/>
      <c r="H19" s="304">
        <v>0.11354514976139429</v>
      </c>
      <c r="I19" s="59">
        <v>0.27747331600893865</v>
      </c>
      <c r="J19" s="59">
        <v>7.1565486223002614E-2</v>
      </c>
      <c r="K19" s="305">
        <v>0.12612252916833061</v>
      </c>
      <c r="L19" s="59"/>
      <c r="M19" s="59"/>
      <c r="N19" s="304">
        <v>8.0618539557552604E-2</v>
      </c>
      <c r="O19" s="59">
        <v>0.26618320120551603</v>
      </c>
      <c r="P19" s="59">
        <v>7.1882784175814896E-2</v>
      </c>
      <c r="Q19" s="305">
        <v>9.5233403613864259E-2</v>
      </c>
      <c r="R19" s="59"/>
      <c r="S19" s="59"/>
      <c r="T19" s="304">
        <v>7.7199544753354526E-2</v>
      </c>
      <c r="U19" s="59">
        <v>0.17162505622760685</v>
      </c>
      <c r="V19" s="59">
        <v>2.4008792408831265E-2</v>
      </c>
      <c r="W19" s="305">
        <v>7.0064818020173017E-2</v>
      </c>
      <c r="X19" s="59"/>
      <c r="Y19" s="59"/>
      <c r="Z19" s="304">
        <v>0.15956357253960218</v>
      </c>
      <c r="AA19" s="59">
        <v>6.8305838340594505E-2</v>
      </c>
      <c r="AB19" s="59">
        <v>9.7108154808096085E-3</v>
      </c>
      <c r="AC19" s="305">
        <v>7.1559871868914285E-2</v>
      </c>
      <c r="AD19" s="59"/>
      <c r="AE19" s="59"/>
      <c r="AF19" s="304">
        <v>9.8263184562026151E-2</v>
      </c>
      <c r="AG19" s="59">
        <v>0.25845209258799606</v>
      </c>
      <c r="AH19" s="59">
        <v>7.0302456470801467E-2</v>
      </c>
      <c r="AI19" s="189">
        <v>0.11119333134309008</v>
      </c>
      <c r="AL19" s="326"/>
      <c r="AM19" s="311" t="s">
        <v>6</v>
      </c>
      <c r="AN19" s="59">
        <v>0.38677103869151142</v>
      </c>
      <c r="AO19" s="59">
        <v>0.34489835923643952</v>
      </c>
      <c r="AP19" s="59">
        <v>0.26833060207204623</v>
      </c>
      <c r="AQ19" s="310">
        <f t="shared" si="4"/>
        <v>0.73166939792795094</v>
      </c>
      <c r="AR19" s="229">
        <v>1346</v>
      </c>
      <c r="AS19" s="224">
        <v>1316</v>
      </c>
    </row>
    <row r="20" spans="1:45">
      <c r="A20" s="240" t="s">
        <v>20</v>
      </c>
      <c r="B20" s="304">
        <v>0.43060201474912019</v>
      </c>
      <c r="C20" s="59">
        <v>0.35671469812045487</v>
      </c>
      <c r="D20" s="59">
        <v>0.29004394090950192</v>
      </c>
      <c r="E20" s="305">
        <v>8.3541210809366884E-2</v>
      </c>
      <c r="F20" s="59"/>
      <c r="G20" s="59"/>
      <c r="H20" s="304">
        <v>0.38031049196142652</v>
      </c>
      <c r="I20" s="59">
        <v>0.39992164173055772</v>
      </c>
      <c r="J20" s="59">
        <v>0.20754998945992728</v>
      </c>
      <c r="K20" s="305">
        <v>0.43193211273139759</v>
      </c>
      <c r="L20" s="59"/>
      <c r="M20" s="59"/>
      <c r="N20" s="304">
        <v>0.36746302540384601</v>
      </c>
      <c r="O20" s="59">
        <v>0.28957820912396892</v>
      </c>
      <c r="P20" s="59">
        <v>0.26495864548913306</v>
      </c>
      <c r="Q20" s="305">
        <v>9.2671776783779025E-2</v>
      </c>
      <c r="R20" s="59"/>
      <c r="S20" s="59"/>
      <c r="T20" s="304">
        <v>0.32183019163771676</v>
      </c>
      <c r="U20" s="59">
        <v>0.18374124390858956</v>
      </c>
      <c r="V20" s="59">
        <v>0.25291606343188655</v>
      </c>
      <c r="W20" s="305">
        <v>0.37009346916796709</v>
      </c>
      <c r="X20" s="59"/>
      <c r="Y20" s="59"/>
      <c r="Z20" s="304">
        <v>0.14685605072414509</v>
      </c>
      <c r="AA20" s="59">
        <v>7.2104636623672405E-2</v>
      </c>
      <c r="AB20" s="59">
        <v>9.4137165414511989E-2</v>
      </c>
      <c r="AC20" s="305">
        <v>0.21139401070627414</v>
      </c>
      <c r="AD20" s="59"/>
      <c r="AE20" s="59"/>
      <c r="AF20" s="304">
        <v>0.37121127625546191</v>
      </c>
      <c r="AG20" s="59">
        <v>0.31183953741826259</v>
      </c>
      <c r="AH20" s="59">
        <v>0.23802847366465982</v>
      </c>
      <c r="AI20" s="189">
        <v>0.24349980931792342</v>
      </c>
      <c r="AL20" s="326"/>
      <c r="AM20" s="311" t="s">
        <v>5</v>
      </c>
      <c r="AN20" s="59">
        <v>0.26324570420580412</v>
      </c>
      <c r="AO20" s="59">
        <v>0.32711790270287722</v>
      </c>
      <c r="AP20" s="59">
        <v>0.40963639309131944</v>
      </c>
      <c r="AQ20" s="310">
        <f t="shared" si="4"/>
        <v>0.59036360690868128</v>
      </c>
      <c r="AR20" s="229">
        <v>2450</v>
      </c>
      <c r="AS20" s="224">
        <v>2215</v>
      </c>
    </row>
    <row r="21" spans="1:45">
      <c r="A21" s="218" t="s">
        <v>21</v>
      </c>
      <c r="B21" s="304">
        <v>3.1999807201041099E-2</v>
      </c>
      <c r="C21" s="59">
        <v>2.1015722763935478E-2</v>
      </c>
      <c r="D21" s="59">
        <v>8.8834268411363219E-3</v>
      </c>
      <c r="E21" s="305">
        <v>5.7825948608759541E-3</v>
      </c>
      <c r="F21" s="59"/>
      <c r="G21" s="59"/>
      <c r="H21" s="304">
        <v>3.156889020504465E-2</v>
      </c>
      <c r="I21" s="59">
        <v>1.8845497272300192E-2</v>
      </c>
      <c r="J21" s="59">
        <v>7.6562231399478816E-3</v>
      </c>
      <c r="K21" s="305">
        <v>7.5194402722588748E-3</v>
      </c>
      <c r="L21" s="59"/>
      <c r="M21" s="59"/>
      <c r="N21" s="304">
        <v>2.8455188769895605E-2</v>
      </c>
      <c r="O21" s="59">
        <v>2.3216296052409838E-2</v>
      </c>
      <c r="P21" s="59">
        <v>9.0076176463002016E-3</v>
      </c>
      <c r="Q21" s="305">
        <v>6.9755069065400299E-3</v>
      </c>
      <c r="R21" s="59"/>
      <c r="S21" s="59"/>
      <c r="T21" s="304">
        <v>2.8977063364617514E-2</v>
      </c>
      <c r="U21" s="59">
        <v>2.048103921380082E-2</v>
      </c>
      <c r="V21" s="59">
        <v>1.0717634045861861E-2</v>
      </c>
      <c r="W21" s="305">
        <v>6.8486322846753305E-3</v>
      </c>
      <c r="X21" s="59"/>
      <c r="Y21" s="59"/>
      <c r="Z21" s="304">
        <v>4.3566706736967907E-2</v>
      </c>
      <c r="AA21" s="59">
        <v>9.909514375666284E-3</v>
      </c>
      <c r="AB21" s="59">
        <v>2.3626859272419202E-3</v>
      </c>
      <c r="AC21" s="305">
        <v>2.1100214957135571E-3</v>
      </c>
      <c r="AD21" s="59"/>
      <c r="AE21" s="59"/>
      <c r="AF21" s="304">
        <v>3.1885459816047811E-2</v>
      </c>
      <c r="AG21" s="59">
        <v>2.0139487263251404E-2</v>
      </c>
      <c r="AH21" s="59">
        <v>7.925546790734983E-3</v>
      </c>
      <c r="AI21" s="189">
        <v>6.2439882269315853E-3</v>
      </c>
      <c r="AL21" s="326"/>
      <c r="AM21" s="311" t="s">
        <v>4</v>
      </c>
      <c r="AN21" s="59">
        <v>6.6122406905140499E-2</v>
      </c>
      <c r="AO21" s="59">
        <v>0.18454710918546141</v>
      </c>
      <c r="AP21" s="59">
        <v>0.7493304839095779</v>
      </c>
      <c r="AQ21" s="310">
        <f t="shared" si="4"/>
        <v>0.2506695160906019</v>
      </c>
      <c r="AR21" s="229">
        <v>211395</v>
      </c>
      <c r="AS21" s="224">
        <v>55599</v>
      </c>
    </row>
    <row r="22" spans="1:45" ht="16" thickBot="1">
      <c r="A22" s="217" t="s">
        <v>297</v>
      </c>
      <c r="B22" s="306">
        <v>0</v>
      </c>
      <c r="C22" s="193">
        <v>0</v>
      </c>
      <c r="D22" s="193">
        <v>7.3383742807525604E-2</v>
      </c>
      <c r="E22" s="307">
        <v>0</v>
      </c>
      <c r="F22" s="193"/>
      <c r="G22" s="193"/>
      <c r="H22" s="306">
        <v>5.5466729956717392E-2</v>
      </c>
      <c r="I22" s="193">
        <v>1.7083781361834225E-2</v>
      </c>
      <c r="J22" s="193">
        <v>0.27212260996891796</v>
      </c>
      <c r="K22" s="307">
        <v>0</v>
      </c>
      <c r="L22" s="193"/>
      <c r="M22" s="193"/>
      <c r="N22" s="306">
        <v>0.16873088351831</v>
      </c>
      <c r="O22" s="193">
        <v>0.151524799624142</v>
      </c>
      <c r="P22" s="193">
        <v>0.26833060207204623</v>
      </c>
      <c r="Q22" s="307">
        <v>0</v>
      </c>
      <c r="R22" s="193"/>
      <c r="S22" s="193"/>
      <c r="T22" s="306">
        <v>0.34910140290165848</v>
      </c>
      <c r="U22" s="193">
        <v>0.46889188052687142</v>
      </c>
      <c r="V22" s="193">
        <v>0.40963639309131944</v>
      </c>
      <c r="W22" s="307">
        <v>8.1035753474511321E-2</v>
      </c>
      <c r="X22" s="193"/>
      <c r="Y22" s="193"/>
      <c r="Z22" s="306">
        <v>0.51925924413959701</v>
      </c>
      <c r="AA22" s="193">
        <v>0.79274336813565294</v>
      </c>
      <c r="AB22" s="193">
        <v>0.7493304839095779</v>
      </c>
      <c r="AC22" s="307">
        <v>0.47547879932983389</v>
      </c>
      <c r="AD22" s="193"/>
      <c r="AE22" s="193"/>
      <c r="AF22" s="306">
        <v>0.12449002025184797</v>
      </c>
      <c r="AG22" s="193">
        <v>0.14217212107935492</v>
      </c>
      <c r="AH22" s="193">
        <v>0.24602327040193028</v>
      </c>
      <c r="AI22" s="195">
        <v>6.4886250563916809E-2</v>
      </c>
      <c r="AL22" s="326"/>
      <c r="AM22" s="311" t="s">
        <v>166</v>
      </c>
      <c r="AN22" s="59">
        <v>0.35963689809473798</v>
      </c>
      <c r="AO22" s="59">
        <v>0.39433983150336088</v>
      </c>
      <c r="AP22" s="59">
        <v>0.24602327040193028</v>
      </c>
      <c r="AQ22" s="310">
        <f t="shared" si="4"/>
        <v>0.7539767295980988</v>
      </c>
      <c r="AR22" s="229">
        <v>216960</v>
      </c>
      <c r="AS22" s="224">
        <v>60897</v>
      </c>
    </row>
    <row r="23" spans="1:45" ht="16" thickBot="1">
      <c r="B23" s="108"/>
      <c r="AF23" s="108"/>
      <c r="AG23" s="108"/>
      <c r="AH23" s="108"/>
      <c r="AI23" s="108"/>
      <c r="AL23" s="327"/>
      <c r="AM23" s="308" t="s">
        <v>303</v>
      </c>
      <c r="AN23" s="193">
        <v>9.9432215931903697E-2</v>
      </c>
      <c r="AO23" s="193">
        <v>0.19179336567303099</v>
      </c>
      <c r="AP23" s="193">
        <v>0.70877441839561994</v>
      </c>
      <c r="AQ23" s="309">
        <f t="shared" si="4"/>
        <v>0.29122558160493467</v>
      </c>
      <c r="AR23" s="160">
        <v>233381</v>
      </c>
      <c r="AS23" s="225">
        <v>56068</v>
      </c>
    </row>
    <row r="24" spans="1:45">
      <c r="AL24" s="325" t="s">
        <v>22</v>
      </c>
      <c r="AM24" s="312" t="s">
        <v>8</v>
      </c>
      <c r="AN24" s="251">
        <v>0.88696090282921802</v>
      </c>
      <c r="AO24" s="251">
        <v>0.113039097170782</v>
      </c>
      <c r="AP24" s="251">
        <v>0</v>
      </c>
      <c r="AQ24" s="313">
        <f t="shared" si="4"/>
        <v>1</v>
      </c>
      <c r="AR24" s="227">
        <v>460</v>
      </c>
      <c r="AS24" s="228">
        <v>406</v>
      </c>
    </row>
    <row r="25" spans="1:45">
      <c r="AL25" s="326"/>
      <c r="AM25" s="145" t="s">
        <v>7</v>
      </c>
      <c r="AN25" s="59">
        <v>0.44212618076205806</v>
      </c>
      <c r="AO25" s="59">
        <v>0.55787381923794355</v>
      </c>
      <c r="AP25" s="59">
        <v>0</v>
      </c>
      <c r="AQ25" s="310">
        <f t="shared" si="4"/>
        <v>1.0000000000000016</v>
      </c>
      <c r="AR25" s="229">
        <v>1093</v>
      </c>
      <c r="AS25" s="224">
        <v>871</v>
      </c>
    </row>
    <row r="26" spans="1:45">
      <c r="AL26" s="326"/>
      <c r="AM26" s="311" t="s">
        <v>6</v>
      </c>
      <c r="AN26" s="59">
        <v>0.65156545634252394</v>
      </c>
      <c r="AO26" s="59">
        <v>0.34843454365747384</v>
      </c>
      <c r="AP26" s="59">
        <v>0</v>
      </c>
      <c r="AQ26" s="310">
        <f t="shared" si="4"/>
        <v>0.99999999999999778</v>
      </c>
      <c r="AR26" s="229">
        <v>1431</v>
      </c>
      <c r="AS26" s="224">
        <v>653</v>
      </c>
    </row>
    <row r="27" spans="1:45">
      <c r="AK27" s="108"/>
      <c r="AL27" s="326"/>
      <c r="AM27" s="311" t="s">
        <v>5</v>
      </c>
      <c r="AN27" s="59">
        <v>0.50673258519374387</v>
      </c>
      <c r="AO27" s="59">
        <v>0.41223166133174582</v>
      </c>
      <c r="AP27" s="59">
        <v>8.1035753474511307E-2</v>
      </c>
      <c r="AQ27" s="310">
        <f t="shared" si="4"/>
        <v>0.91896424652548969</v>
      </c>
      <c r="AR27" s="229">
        <v>4077</v>
      </c>
      <c r="AS27" s="224">
        <v>1421</v>
      </c>
    </row>
    <row r="28" spans="1:45">
      <c r="AK28" s="108"/>
      <c r="AL28" s="326"/>
      <c r="AM28" s="311" t="s">
        <v>4</v>
      </c>
      <c r="AN28" s="59">
        <v>0.15517155681436759</v>
      </c>
      <c r="AO28" s="59">
        <v>0.36934964385566921</v>
      </c>
      <c r="AP28" s="59">
        <v>0.475478799329834</v>
      </c>
      <c r="AQ28" s="310">
        <f t="shared" si="4"/>
        <v>0.52452120067003682</v>
      </c>
      <c r="AR28" s="229">
        <v>228354</v>
      </c>
      <c r="AS28" s="224">
        <v>14508</v>
      </c>
    </row>
    <row r="29" spans="1:45">
      <c r="AK29" s="108"/>
      <c r="AL29" s="326"/>
      <c r="AM29" s="311" t="s">
        <v>166</v>
      </c>
      <c r="AN29" s="59">
        <v>0.62793932295488408</v>
      </c>
      <c r="AO29" s="59">
        <v>0.3071744264811832</v>
      </c>
      <c r="AP29" s="59">
        <v>6.4886250563916795E-2</v>
      </c>
      <c r="AQ29" s="310">
        <f t="shared" si="4"/>
        <v>0.93511374943606729</v>
      </c>
      <c r="AR29" s="229">
        <v>235415</v>
      </c>
      <c r="AS29" s="224">
        <v>17859</v>
      </c>
    </row>
    <row r="30" spans="1:45" ht="16" thickBot="1">
      <c r="AK30" s="108"/>
      <c r="AL30" s="327"/>
      <c r="AM30" s="308" t="s">
        <v>303</v>
      </c>
      <c r="AN30" s="193">
        <v>0.1713238509900023</v>
      </c>
      <c r="AO30" s="193">
        <v>0.35263501330425517</v>
      </c>
      <c r="AP30" s="193">
        <v>0.47604113570561801</v>
      </c>
      <c r="AQ30" s="309">
        <f t="shared" si="4"/>
        <v>0.52395886429425742</v>
      </c>
      <c r="AR30" s="160">
        <v>234281</v>
      </c>
      <c r="AS30" s="225">
        <v>11805</v>
      </c>
    </row>
    <row r="31" spans="1:45">
      <c r="AK31" s="108"/>
    </row>
    <row r="32" spans="1:45">
      <c r="AK32" s="108"/>
    </row>
    <row r="33" spans="37:37">
      <c r="AK33" s="108"/>
    </row>
    <row r="34" spans="37:37">
      <c r="AK34" s="108"/>
    </row>
    <row r="57" spans="36:36">
      <c r="AJ57" s="3"/>
    </row>
    <row r="58" spans="36:36">
      <c r="AJ58" s="3"/>
    </row>
    <row r="59" spans="36:36">
      <c r="AJ59" s="3"/>
    </row>
    <row r="60" spans="36:36">
      <c r="AJ60" s="3"/>
    </row>
    <row r="61" spans="36:36">
      <c r="AJ61" s="3"/>
    </row>
    <row r="62" spans="36:36">
      <c r="AJ62" s="3"/>
    </row>
    <row r="63" spans="36:36">
      <c r="AJ63" s="3"/>
    </row>
    <row r="64" spans="36:36">
      <c r="AJ64" s="3"/>
    </row>
    <row r="65" spans="36:36">
      <c r="AJ65" s="3"/>
    </row>
    <row r="66" spans="36:36">
      <c r="AJ66" s="3"/>
    </row>
    <row r="67" spans="36:36">
      <c r="AJ67" s="3"/>
    </row>
    <row r="68" spans="36:36">
      <c r="AJ68" s="3"/>
    </row>
    <row r="69" spans="36:36">
      <c r="AJ69" s="3"/>
    </row>
    <row r="70" spans="36:36">
      <c r="AJ70" s="3"/>
    </row>
    <row r="71" spans="36:36">
      <c r="AJ71" s="3"/>
    </row>
    <row r="72" spans="36:36">
      <c r="AJ72" s="3"/>
    </row>
    <row r="73" spans="36:36">
      <c r="AJ73" s="3"/>
    </row>
    <row r="74" spans="36:36">
      <c r="AJ74" s="3"/>
    </row>
    <row r="75" spans="36:36">
      <c r="AJ75" s="3"/>
    </row>
    <row r="76" spans="36:36">
      <c r="AJ76" s="3"/>
    </row>
    <row r="77" spans="36:36">
      <c r="AJ77" s="3"/>
    </row>
    <row r="78" spans="36:36">
      <c r="AJ78" s="3"/>
    </row>
    <row r="79" spans="36:36">
      <c r="AJ79" s="3"/>
    </row>
    <row r="80" spans="36:36">
      <c r="AJ80" s="3"/>
    </row>
    <row r="81" spans="36:36">
      <c r="AJ81" s="3"/>
    </row>
  </sheetData>
  <mergeCells count="14">
    <mergeCell ref="AL3:AL9"/>
    <mergeCell ref="AL1:AS1"/>
    <mergeCell ref="AL10:AL16"/>
    <mergeCell ref="AL17:AL23"/>
    <mergeCell ref="AL24:AL30"/>
    <mergeCell ref="B4:AI4"/>
    <mergeCell ref="B14:AI14"/>
    <mergeCell ref="A1:AI1"/>
    <mergeCell ref="B2:E2"/>
    <mergeCell ref="H2:K2"/>
    <mergeCell ref="N2:Q2"/>
    <mergeCell ref="T2:W2"/>
    <mergeCell ref="Z2:AC2"/>
    <mergeCell ref="AF2:AI2"/>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30"/>
  <sheetViews>
    <sheetView zoomScale="75" workbookViewId="0">
      <selection sqref="A1:G1"/>
    </sheetView>
  </sheetViews>
  <sheetFormatPr baseColWidth="10" defaultColWidth="8.83203125" defaultRowHeight="15"/>
  <cols>
    <col min="1" max="1" width="23.6640625" style="6" customWidth="1"/>
    <col min="2" max="2" width="9.6640625" style="6" bestFit="1" customWidth="1"/>
    <col min="3" max="5" width="13" style="6" bestFit="1" customWidth="1"/>
    <col min="6" max="6" width="9.1640625" style="6" bestFit="1" customWidth="1"/>
    <col min="7" max="7" width="13.33203125" style="6" bestFit="1" customWidth="1"/>
    <col min="8" max="8" width="19.1640625" style="6" bestFit="1" customWidth="1"/>
    <col min="9" max="9" width="23.6640625" style="6" customWidth="1"/>
    <col min="10" max="10" width="23.6640625" style="6" bestFit="1" customWidth="1"/>
    <col min="11" max="12" width="13" style="6" bestFit="1" customWidth="1"/>
    <col min="13" max="13" width="10.1640625" style="6" bestFit="1" customWidth="1"/>
    <col min="14" max="14" width="9.1640625" style="6" bestFit="1" customWidth="1"/>
    <col min="15" max="15" width="5.6640625" style="6" bestFit="1" customWidth="1"/>
    <col min="16" max="16" width="8.83203125" style="6"/>
    <col min="17" max="17" width="19.1640625" style="6" bestFit="1" customWidth="1"/>
    <col min="18" max="18" width="6.6640625" style="6" bestFit="1" customWidth="1"/>
    <col min="19" max="20" width="11.1640625" style="6" bestFit="1" customWidth="1"/>
    <col min="21" max="21" width="10.1640625" style="6" bestFit="1" customWidth="1"/>
    <col min="22" max="22" width="9.1640625" style="6" bestFit="1" customWidth="1"/>
    <col min="23" max="23" width="7.1640625" style="6" bestFit="1" customWidth="1"/>
    <col min="24" max="24" width="8.83203125" style="6"/>
    <col min="25" max="25" width="23.6640625" style="6" bestFit="1" customWidth="1"/>
    <col min="26" max="26" width="6.6640625" style="6" bestFit="1" customWidth="1"/>
    <col min="27" max="28" width="11.1640625" style="6" bestFit="1" customWidth="1"/>
    <col min="29" max="29" width="10.1640625" style="6" bestFit="1" customWidth="1"/>
    <col min="30" max="30" width="9.1640625" style="6" bestFit="1" customWidth="1"/>
    <col min="31" max="31" width="7.1640625" style="6" bestFit="1" customWidth="1"/>
    <col min="32" max="16384" width="8.83203125" style="6"/>
  </cols>
  <sheetData>
    <row r="1" spans="1:24" s="7" customFormat="1">
      <c r="A1" s="510" t="s">
        <v>65</v>
      </c>
      <c r="B1" s="511"/>
      <c r="C1" s="511"/>
      <c r="D1" s="511"/>
      <c r="E1" s="511"/>
      <c r="F1" s="511"/>
      <c r="G1" s="511"/>
      <c r="H1" s="89" t="s">
        <v>46</v>
      </c>
      <c r="J1" s="510" t="s">
        <v>67</v>
      </c>
      <c r="K1" s="511"/>
      <c r="L1" s="511"/>
      <c r="M1" s="511"/>
      <c r="N1" s="511"/>
      <c r="O1" s="511"/>
      <c r="P1" s="511"/>
      <c r="Q1" s="89" t="s">
        <v>75</v>
      </c>
      <c r="X1" s="10"/>
    </row>
    <row r="2" spans="1:24">
      <c r="A2" s="71" t="s">
        <v>13</v>
      </c>
      <c r="B2" s="80" t="s">
        <v>96</v>
      </c>
      <c r="C2" s="81" t="s">
        <v>8</v>
      </c>
      <c r="D2" s="81" t="s">
        <v>7</v>
      </c>
      <c r="E2" s="81" t="s">
        <v>6</v>
      </c>
      <c r="F2" s="81" t="s">
        <v>5</v>
      </c>
      <c r="G2" s="85" t="s">
        <v>4</v>
      </c>
      <c r="H2" s="72" t="s">
        <v>29</v>
      </c>
      <c r="J2" s="71" t="s">
        <v>13</v>
      </c>
      <c r="K2" s="80" t="s">
        <v>96</v>
      </c>
      <c r="L2" s="81" t="s">
        <v>8</v>
      </c>
      <c r="M2" s="81" t="s">
        <v>7</v>
      </c>
      <c r="N2" s="81" t="s">
        <v>6</v>
      </c>
      <c r="O2" s="81" t="s">
        <v>5</v>
      </c>
      <c r="P2" s="85" t="s">
        <v>4</v>
      </c>
      <c r="Q2" s="72" t="s">
        <v>29</v>
      </c>
      <c r="X2" s="10"/>
    </row>
    <row r="3" spans="1:24">
      <c r="A3" s="73" t="s">
        <v>26</v>
      </c>
      <c r="B3" s="82">
        <v>100</v>
      </c>
      <c r="C3" s="11">
        <v>63.19</v>
      </c>
      <c r="D3" s="11">
        <v>12.59</v>
      </c>
      <c r="E3" s="11">
        <v>10.14</v>
      </c>
      <c r="F3" s="11">
        <v>6.50999999999999</v>
      </c>
      <c r="G3" s="86">
        <v>7.3899999999991302</v>
      </c>
      <c r="H3" s="74">
        <v>99.999999999999901</v>
      </c>
      <c r="J3" s="73" t="s">
        <v>26</v>
      </c>
      <c r="K3" s="82">
        <v>100</v>
      </c>
      <c r="L3" s="11">
        <v>56.82</v>
      </c>
      <c r="M3" s="11">
        <v>13.51</v>
      </c>
      <c r="N3" s="11">
        <v>11.27</v>
      </c>
      <c r="O3" s="11">
        <v>4.0999999999999996</v>
      </c>
      <c r="P3" s="86">
        <v>11.520000000000801</v>
      </c>
      <c r="Q3" s="74">
        <v>99.999999999977007</v>
      </c>
      <c r="X3" s="10"/>
    </row>
    <row r="4" spans="1:24">
      <c r="A4" s="73" t="s">
        <v>27</v>
      </c>
      <c r="B4" s="82">
        <v>31.468237578342698</v>
      </c>
      <c r="C4" s="11">
        <v>19.838043730215801</v>
      </c>
      <c r="D4" s="11">
        <v>3.9348753625819799</v>
      </c>
      <c r="E4" s="11">
        <v>3.31063470530892</v>
      </c>
      <c r="F4" s="11">
        <v>2.0835710289025902</v>
      </c>
      <c r="G4" s="86">
        <v>2.3011127513171101</v>
      </c>
      <c r="H4" s="74">
        <v>30.484170072377601</v>
      </c>
      <c r="J4" s="73" t="s">
        <v>27</v>
      </c>
      <c r="K4" s="82">
        <v>31.325027457425001</v>
      </c>
      <c r="L4" s="11">
        <v>18.410902731006502</v>
      </c>
      <c r="M4" s="11">
        <v>4.25174092840287</v>
      </c>
      <c r="N4" s="11">
        <v>3.7342097316238898</v>
      </c>
      <c r="O4" s="11">
        <v>1.36951464135098</v>
      </c>
      <c r="P4" s="86">
        <v>3.5586594250291501</v>
      </c>
      <c r="Q4" s="74">
        <v>32.114554567816299</v>
      </c>
      <c r="X4" s="10"/>
    </row>
    <row r="5" spans="1:24">
      <c r="A5" s="75" t="s">
        <v>25</v>
      </c>
      <c r="B5" s="83">
        <v>6.3898827117177142</v>
      </c>
      <c r="C5" s="12">
        <v>5.5778465330423703</v>
      </c>
      <c r="D5" s="12">
        <v>6.32920735127695</v>
      </c>
      <c r="E5" s="12">
        <v>6.4409832064960799</v>
      </c>
      <c r="F5" s="12">
        <v>8.0596176753480808</v>
      </c>
      <c r="G5" s="87">
        <v>11.8957467561778</v>
      </c>
      <c r="H5" s="76">
        <v>6.7925359875684004</v>
      </c>
      <c r="J5" s="75" t="s">
        <v>25</v>
      </c>
      <c r="K5" s="83">
        <v>27.955628725861661</v>
      </c>
      <c r="L5" s="12">
        <v>25.883212916494699</v>
      </c>
      <c r="M5" s="12">
        <v>31.670433428552499</v>
      </c>
      <c r="N5" s="12">
        <v>24.171781063887899</v>
      </c>
      <c r="O5" s="12">
        <v>27.7104622905225</v>
      </c>
      <c r="P5" s="87">
        <v>37.609864862166901</v>
      </c>
      <c r="Q5" s="76">
        <v>29.4097177688665</v>
      </c>
      <c r="X5" s="10"/>
    </row>
    <row r="6" spans="1:24">
      <c r="A6" s="73" t="s">
        <v>15</v>
      </c>
      <c r="B6" s="82">
        <v>2.5355397747411596E-2</v>
      </c>
      <c r="C6" s="11">
        <v>9.6208939644423005E-3</v>
      </c>
      <c r="D6" s="11">
        <v>1.40117978828728E-2</v>
      </c>
      <c r="E6" s="11">
        <v>2.0178865921991099E-2</v>
      </c>
      <c r="F6" s="11">
        <v>7.1367062895628997E-2</v>
      </c>
      <c r="G6" s="86">
        <v>0.14579292263723101</v>
      </c>
      <c r="H6" s="74">
        <v>6.6273889269143099E-2</v>
      </c>
      <c r="J6" s="73" t="s">
        <v>15</v>
      </c>
      <c r="K6" s="82">
        <v>0.20082825040107374</v>
      </c>
      <c r="L6" s="11">
        <v>0.138412727720754</v>
      </c>
      <c r="M6" s="11">
        <v>0.26493817896383698</v>
      </c>
      <c r="N6" s="11">
        <v>0.19195823581687699</v>
      </c>
      <c r="O6" s="11">
        <v>5.2810715546212701E-2</v>
      </c>
      <c r="P6" s="86">
        <v>0.49485271403664899</v>
      </c>
      <c r="Q6" s="74">
        <v>0.48597893433621903</v>
      </c>
      <c r="X6" s="10"/>
    </row>
    <row r="7" spans="1:24">
      <c r="A7" s="73" t="s">
        <v>16</v>
      </c>
      <c r="B7" s="82">
        <v>1.1914309779959309</v>
      </c>
      <c r="C7" s="11">
        <v>1.0031947983057601</v>
      </c>
      <c r="D7" s="11">
        <v>1.0709351538493601</v>
      </c>
      <c r="E7" s="11">
        <v>1.4297801433748401</v>
      </c>
      <c r="F7" s="11">
        <v>1.20806760554854</v>
      </c>
      <c r="G7" s="86">
        <v>2.66457328358941</v>
      </c>
      <c r="H7" s="74">
        <v>1.28007754506774</v>
      </c>
      <c r="J7" s="73" t="s">
        <v>16</v>
      </c>
      <c r="K7" s="82">
        <v>15.884231183668973</v>
      </c>
      <c r="L7" s="11">
        <v>14.9104532147774</v>
      </c>
      <c r="M7" s="11">
        <v>14.5416057781483</v>
      </c>
      <c r="N7" s="11">
        <v>16.439620658369599</v>
      </c>
      <c r="O7" s="11">
        <v>17.1247955917603</v>
      </c>
      <c r="P7" s="86">
        <v>21.276885694777501</v>
      </c>
      <c r="Q7" s="74">
        <v>14.378928879716</v>
      </c>
      <c r="X7" s="10"/>
    </row>
    <row r="8" spans="1:24">
      <c r="A8" s="73" t="s">
        <v>17</v>
      </c>
      <c r="B8" s="82">
        <v>2.0224802513033655</v>
      </c>
      <c r="C8" s="11">
        <v>2.18910896355671</v>
      </c>
      <c r="D8" s="11">
        <v>1.6700624167762299</v>
      </c>
      <c r="E8" s="11">
        <v>1.7918827774425801</v>
      </c>
      <c r="F8" s="11">
        <v>2.0560525417561202</v>
      </c>
      <c r="G8" s="86">
        <v>1.4849125900786799</v>
      </c>
      <c r="H8" s="74">
        <v>1.2316392469359201</v>
      </c>
      <c r="J8" s="73" t="s">
        <v>17</v>
      </c>
      <c r="K8" s="82">
        <v>0.36502514901502126</v>
      </c>
      <c r="L8" s="11">
        <v>0.40768441608064998</v>
      </c>
      <c r="M8" s="11">
        <v>0.35203230667640401</v>
      </c>
      <c r="N8" s="11">
        <v>0.27366844656070299</v>
      </c>
      <c r="O8" s="11">
        <v>0.131976906914411</v>
      </c>
      <c r="P8" s="86">
        <v>0.34217111903227099</v>
      </c>
      <c r="Q8" s="74">
        <v>0.34098405004127902</v>
      </c>
      <c r="X8" s="10"/>
    </row>
    <row r="9" spans="1:24">
      <c r="A9" s="73" t="s">
        <v>18</v>
      </c>
      <c r="B9" s="82">
        <v>26.399428557595616</v>
      </c>
      <c r="C9" s="11">
        <v>27.537334968759701</v>
      </c>
      <c r="D9" s="11">
        <v>25.4018597017715</v>
      </c>
      <c r="E9" s="11">
        <v>23.8645218067496</v>
      </c>
      <c r="F9" s="11">
        <v>24.105208476150999</v>
      </c>
      <c r="G9" s="86">
        <v>23.868225980889399</v>
      </c>
      <c r="H9" s="74">
        <v>24.673333996202299</v>
      </c>
      <c r="J9" s="73" t="s">
        <v>18</v>
      </c>
      <c r="K9" s="82">
        <v>15.052479903287812</v>
      </c>
      <c r="L9" s="11">
        <v>16.4842968102054</v>
      </c>
      <c r="M9" s="11">
        <v>15.3477419372635</v>
      </c>
      <c r="N9" s="11">
        <v>12.909504600163</v>
      </c>
      <c r="O9" s="11">
        <v>9.6979742010255503</v>
      </c>
      <c r="P9" s="86">
        <v>11.646228020947101</v>
      </c>
      <c r="Q9" s="74">
        <v>13.7994163696562</v>
      </c>
      <c r="X9" s="10"/>
    </row>
    <row r="10" spans="1:24">
      <c r="A10" s="73" t="s">
        <v>19</v>
      </c>
      <c r="B10" s="82">
        <v>31.235664748367022</v>
      </c>
      <c r="C10" s="11">
        <v>30.4057563862062</v>
      </c>
      <c r="D10" s="11">
        <v>32.405313274376397</v>
      </c>
      <c r="E10" s="11">
        <v>32.265432941343697</v>
      </c>
      <c r="F10" s="11">
        <v>31.587564116024001</v>
      </c>
      <c r="G10" s="86">
        <v>34.616357590406302</v>
      </c>
      <c r="H10" s="74">
        <v>34.442907079550899</v>
      </c>
      <c r="J10" s="73" t="s">
        <v>19</v>
      </c>
      <c r="K10" s="82">
        <v>9.8184767477631354</v>
      </c>
      <c r="L10" s="11">
        <v>10.1153370595769</v>
      </c>
      <c r="M10" s="11">
        <v>9.9983628575975292</v>
      </c>
      <c r="N10" s="11">
        <v>11.815958735855</v>
      </c>
      <c r="O10" s="11">
        <v>11.3796731568846</v>
      </c>
      <c r="P10" s="86">
        <v>5.6335469262089504</v>
      </c>
      <c r="Q10" s="74">
        <v>7.5278500799544696</v>
      </c>
      <c r="X10" s="10"/>
    </row>
    <row r="11" spans="1:24">
      <c r="A11" s="73" t="s">
        <v>20</v>
      </c>
      <c r="B11" s="82">
        <v>32.136287813669988</v>
      </c>
      <c r="C11" s="11">
        <v>32.6515846851551</v>
      </c>
      <c r="D11" s="11">
        <v>32.550060449639503</v>
      </c>
      <c r="E11" s="11">
        <v>33.741329121280103</v>
      </c>
      <c r="F11" s="11">
        <v>32.283183308663901</v>
      </c>
      <c r="G11" s="86">
        <v>24.693471124963398</v>
      </c>
      <c r="H11" s="74">
        <v>30.881196981414899</v>
      </c>
      <c r="J11" s="73" t="s">
        <v>20</v>
      </c>
      <c r="K11" s="82">
        <v>30.13472781125628</v>
      </c>
      <c r="L11" s="11">
        <v>31.4904391772486</v>
      </c>
      <c r="M11" s="11">
        <v>27.259360989213</v>
      </c>
      <c r="N11" s="11">
        <v>33.504655140968801</v>
      </c>
      <c r="O11" s="11">
        <v>33.038012378668903</v>
      </c>
      <c r="P11" s="86">
        <v>22.489948142670599</v>
      </c>
      <c r="Q11" s="74">
        <v>33.536199661906601</v>
      </c>
      <c r="X11" s="10"/>
    </row>
    <row r="12" spans="1:24">
      <c r="A12" s="73" t="s">
        <v>21</v>
      </c>
      <c r="B12" s="82">
        <v>0.59946954160295762</v>
      </c>
      <c r="C12" s="11">
        <v>0.62555277100978302</v>
      </c>
      <c r="D12" s="11">
        <v>0.55854985442723804</v>
      </c>
      <c r="E12" s="11">
        <v>0.44589113739113301</v>
      </c>
      <c r="F12" s="11">
        <v>0.628939213612558</v>
      </c>
      <c r="G12" s="86">
        <v>0.63091975124594801</v>
      </c>
      <c r="H12" s="74">
        <v>0.63203527398589598</v>
      </c>
      <c r="J12" s="73" t="s">
        <v>21</v>
      </c>
      <c r="K12" s="82">
        <v>0.58860222874604251</v>
      </c>
      <c r="L12" s="11">
        <v>0.57016367789565803</v>
      </c>
      <c r="M12" s="11">
        <v>0.56552452358504302</v>
      </c>
      <c r="N12" s="11">
        <v>0.69285311837833596</v>
      </c>
      <c r="O12" s="11">
        <v>0.86429475867764705</v>
      </c>
      <c r="P12" s="86">
        <v>0.50650252016695796</v>
      </c>
      <c r="Q12" s="74">
        <v>0.52092425549979104</v>
      </c>
      <c r="X12" s="10"/>
    </row>
    <row r="13" spans="1:24" s="14" customFormat="1" ht="17" thickBot="1">
      <c r="A13" s="79" t="s">
        <v>192</v>
      </c>
      <c r="B13" s="84">
        <f>B3/B4</f>
        <v>3.1778074558844294</v>
      </c>
      <c r="C13" s="77">
        <f>(C3/C4)</f>
        <v>3.1852939160404103</v>
      </c>
      <c r="D13" s="77">
        <f t="shared" ref="D13:G13" si="0">(D3/D4)</f>
        <v>3.1995930848845782</v>
      </c>
      <c r="E13" s="77">
        <f t="shared" si="0"/>
        <v>3.0628567941185234</v>
      </c>
      <c r="F13" s="77">
        <f t="shared" si="0"/>
        <v>3.1244435201370528</v>
      </c>
      <c r="G13" s="88">
        <f t="shared" si="0"/>
        <v>3.2114897437203997</v>
      </c>
      <c r="H13" s="78">
        <f>(H3/H4)</f>
        <v>3.280391093560135</v>
      </c>
      <c r="J13" s="79" t="s">
        <v>192</v>
      </c>
      <c r="K13" s="84">
        <f>(K3/K4)</f>
        <v>3.1923355896786902</v>
      </c>
      <c r="L13" s="77">
        <f>(L3/L4)</f>
        <v>3.0862147733965961</v>
      </c>
      <c r="M13" s="77">
        <f t="shared" ref="M13:Q13" si="1">(M3/M4)</f>
        <v>3.177521920432465</v>
      </c>
      <c r="N13" s="77">
        <f t="shared" si="1"/>
        <v>3.0180415161360079</v>
      </c>
      <c r="O13" s="77">
        <f t="shared" si="1"/>
        <v>2.9937613488786714</v>
      </c>
      <c r="P13" s="88">
        <f t="shared" si="1"/>
        <v>3.2371740658791581</v>
      </c>
      <c r="Q13" s="78">
        <f t="shared" si="1"/>
        <v>3.1138529350860846</v>
      </c>
      <c r="X13" s="13"/>
    </row>
    <row r="14" spans="1:24">
      <c r="A14" s="10"/>
      <c r="B14" s="10"/>
      <c r="G14" s="10"/>
      <c r="H14" s="10"/>
      <c r="I14" s="10"/>
      <c r="N14" s="10"/>
      <c r="O14" s="10"/>
      <c r="P14" s="10"/>
      <c r="U14" s="10"/>
      <c r="V14" s="10"/>
      <c r="W14" s="10"/>
    </row>
    <row r="15" spans="1:24" ht="16" thickBot="1">
      <c r="A15" s="9"/>
      <c r="G15" s="10"/>
      <c r="H15" s="9"/>
      <c r="N15" s="10"/>
      <c r="O15" s="10"/>
      <c r="P15" s="10"/>
      <c r="T15" s="8"/>
      <c r="U15" s="10"/>
      <c r="V15" s="10"/>
      <c r="W15" s="10"/>
      <c r="X15" s="8"/>
    </row>
    <row r="16" spans="1:24">
      <c r="A16" s="510" t="s">
        <v>66</v>
      </c>
      <c r="B16" s="511"/>
      <c r="C16" s="511"/>
      <c r="D16" s="511"/>
      <c r="E16" s="511"/>
      <c r="F16" s="511"/>
      <c r="G16" s="511"/>
      <c r="H16" s="89" t="s">
        <v>69</v>
      </c>
      <c r="J16" s="510" t="s">
        <v>68</v>
      </c>
      <c r="K16" s="511"/>
      <c r="L16" s="511"/>
      <c r="M16" s="511"/>
      <c r="N16" s="511"/>
      <c r="O16" s="511"/>
      <c r="P16" s="511"/>
      <c r="Q16" s="89" t="s">
        <v>76</v>
      </c>
      <c r="S16" s="8"/>
      <c r="T16" s="8"/>
      <c r="U16" s="10"/>
      <c r="V16" s="9"/>
      <c r="W16" s="9"/>
      <c r="X16" s="8"/>
    </row>
    <row r="17" spans="1:24">
      <c r="A17" s="71" t="s">
        <v>13</v>
      </c>
      <c r="B17" s="80" t="s">
        <v>96</v>
      </c>
      <c r="C17" s="81" t="s">
        <v>8</v>
      </c>
      <c r="D17" s="81" t="s">
        <v>64</v>
      </c>
      <c r="E17" s="81" t="s">
        <v>6</v>
      </c>
      <c r="F17" s="81" t="s">
        <v>5</v>
      </c>
      <c r="G17" s="85" t="s">
        <v>4</v>
      </c>
      <c r="H17" s="72" t="s">
        <v>29</v>
      </c>
      <c r="J17" s="71" t="s">
        <v>13</v>
      </c>
      <c r="K17" s="80" t="s">
        <v>96</v>
      </c>
      <c r="L17" s="81" t="s">
        <v>8</v>
      </c>
      <c r="M17" s="81" t="s">
        <v>7</v>
      </c>
      <c r="N17" s="81" t="s">
        <v>6</v>
      </c>
      <c r="O17" s="81" t="s">
        <v>5</v>
      </c>
      <c r="P17" s="85" t="s">
        <v>4</v>
      </c>
      <c r="Q17" s="72" t="s">
        <v>29</v>
      </c>
      <c r="S17" s="8"/>
      <c r="T17" s="8"/>
      <c r="U17" s="10"/>
      <c r="V17" s="9"/>
      <c r="W17" s="8"/>
      <c r="X17" s="8"/>
    </row>
    <row r="18" spans="1:24">
      <c r="A18" s="73" t="s">
        <v>26</v>
      </c>
      <c r="B18" s="82">
        <v>100</v>
      </c>
      <c r="C18" s="11">
        <v>63.19</v>
      </c>
      <c r="D18" s="11">
        <v>12.660000000000011</v>
      </c>
      <c r="E18" s="11">
        <v>10.1899999999999</v>
      </c>
      <c r="F18" s="11">
        <v>6.5399999999999698</v>
      </c>
      <c r="G18" s="86">
        <v>7.4199999999947002</v>
      </c>
      <c r="H18" s="74">
        <v>99.999999999977703</v>
      </c>
      <c r="J18" s="73" t="s">
        <v>26</v>
      </c>
      <c r="K18" s="82">
        <v>100</v>
      </c>
      <c r="L18" s="11">
        <v>59.6</v>
      </c>
      <c r="M18" s="11">
        <v>12.59</v>
      </c>
      <c r="N18" s="11">
        <v>10.14</v>
      </c>
      <c r="O18" s="11">
        <v>6.50999999999999</v>
      </c>
      <c r="P18" s="86">
        <v>7.3899999999956103</v>
      </c>
      <c r="Q18" s="74">
        <v>99.999999999896303</v>
      </c>
      <c r="R18" s="8"/>
      <c r="S18" s="8"/>
      <c r="T18" s="8"/>
      <c r="U18" s="8"/>
      <c r="V18" s="8"/>
      <c r="W18" s="8"/>
      <c r="X18" s="8"/>
    </row>
    <row r="19" spans="1:24">
      <c r="A19" s="73" t="s">
        <v>27</v>
      </c>
      <c r="B19" s="82">
        <v>34.2741713706925</v>
      </c>
      <c r="C19" s="11">
        <v>21.6373281035895</v>
      </c>
      <c r="D19" s="11">
        <v>4.3182516142561695</v>
      </c>
      <c r="E19" s="11">
        <v>3.5788211230761702</v>
      </c>
      <c r="F19" s="11">
        <v>2.2653954226495898</v>
      </c>
      <c r="G19" s="86">
        <v>2.4743751070418698</v>
      </c>
      <c r="H19" s="74">
        <v>35.697641786835703</v>
      </c>
      <c r="J19" s="73" t="s">
        <v>27</v>
      </c>
      <c r="K19" s="82">
        <v>30.309818095275698</v>
      </c>
      <c r="L19" s="11">
        <v>18.501959761126599</v>
      </c>
      <c r="M19" s="11">
        <v>3.9369346483024299</v>
      </c>
      <c r="N19" s="11">
        <v>3.30658876241898</v>
      </c>
      <c r="O19" s="11">
        <v>2.1814153958237998</v>
      </c>
      <c r="P19" s="86">
        <v>2.3829195275847601</v>
      </c>
      <c r="Q19" s="74">
        <v>31.488102244976499</v>
      </c>
      <c r="R19" s="8"/>
      <c r="S19" s="8"/>
      <c r="T19" s="8"/>
      <c r="U19" s="8"/>
      <c r="V19" s="8"/>
      <c r="W19" s="8"/>
      <c r="X19" s="8"/>
    </row>
    <row r="20" spans="1:24">
      <c r="A20" s="75" t="s">
        <v>25</v>
      </c>
      <c r="B20" s="83">
        <v>8.5528296447526841</v>
      </c>
      <c r="C20" s="12">
        <v>8.4518907093459799</v>
      </c>
      <c r="D20" s="12">
        <v>7.8497697230399401</v>
      </c>
      <c r="E20" s="12">
        <v>5.8359239800927503</v>
      </c>
      <c r="F20" s="12">
        <v>8.4083084070310505</v>
      </c>
      <c r="G20" s="87">
        <v>14.4705530349146</v>
      </c>
      <c r="H20" s="76">
        <v>8.7666067323413994</v>
      </c>
      <c r="J20" s="75" t="s">
        <v>25</v>
      </c>
      <c r="K20" s="83">
        <v>3.3405202314797129</v>
      </c>
      <c r="L20" s="12">
        <v>2.3870128543767</v>
      </c>
      <c r="M20" s="12">
        <v>6.8588581981994201</v>
      </c>
      <c r="N20" s="12">
        <v>3.1695433589090598</v>
      </c>
      <c r="O20" s="12">
        <v>3.11679822495464</v>
      </c>
      <c r="P20" s="87">
        <v>5.4681657558167096</v>
      </c>
      <c r="Q20" s="76">
        <v>4.2846964842211799</v>
      </c>
    </row>
    <row r="21" spans="1:24">
      <c r="A21" s="73" t="s">
        <v>15</v>
      </c>
      <c r="B21" s="82">
        <v>2.3464493601245719E-2</v>
      </c>
      <c r="C21" s="11">
        <v>1.53498421281269E-2</v>
      </c>
      <c r="D21" s="11">
        <v>2.2918436205569128E-2</v>
      </c>
      <c r="E21" s="11">
        <v>2.3908850341175601E-2</v>
      </c>
      <c r="F21" s="11">
        <v>2.3254704059664202E-2</v>
      </c>
      <c r="G21" s="86">
        <v>9.30766151157678E-2</v>
      </c>
      <c r="H21" s="74">
        <v>3.39023480337673E-2</v>
      </c>
      <c r="J21" s="73" t="s">
        <v>15</v>
      </c>
      <c r="K21" s="82">
        <v>0.26458414340857594</v>
      </c>
      <c r="L21" s="11">
        <v>0.26556345976002999</v>
      </c>
      <c r="M21" s="11">
        <v>0.34177799944616999</v>
      </c>
      <c r="N21" s="11">
        <v>0.215906529910563</v>
      </c>
      <c r="O21" s="11">
        <v>0.170426719800365</v>
      </c>
      <c r="P21" s="86">
        <v>0.27491133238068599</v>
      </c>
      <c r="Q21" s="74">
        <v>0.25133628353625498</v>
      </c>
    </row>
    <row r="22" spans="1:24">
      <c r="A22" s="73" t="s">
        <v>16</v>
      </c>
      <c r="B22" s="82">
        <v>4.0472176107817166</v>
      </c>
      <c r="C22" s="11">
        <v>3.7556262277155099</v>
      </c>
      <c r="D22" s="11">
        <v>3.7365838021266962</v>
      </c>
      <c r="E22" s="11">
        <v>4.1066616122362598</v>
      </c>
      <c r="F22" s="11">
        <v>4.3195566271254799</v>
      </c>
      <c r="G22" s="86">
        <v>6.7387879573984604</v>
      </c>
      <c r="H22" s="74">
        <v>1.8803196250209899</v>
      </c>
      <c r="J22" s="73" t="s">
        <v>16</v>
      </c>
      <c r="K22" s="82">
        <v>5.6659379551527591</v>
      </c>
      <c r="L22" s="11">
        <v>6.11021585576181</v>
      </c>
      <c r="M22" s="11">
        <v>4.4487887438049203</v>
      </c>
      <c r="N22" s="11">
        <v>5.0513301583863504</v>
      </c>
      <c r="O22" s="11">
        <v>4.6620886868295104</v>
      </c>
      <c r="P22" s="86">
        <v>5.8840878185601602</v>
      </c>
      <c r="Q22" s="74">
        <v>3.2253791168373702</v>
      </c>
    </row>
    <row r="23" spans="1:24">
      <c r="A23" s="73" t="s">
        <v>17</v>
      </c>
      <c r="B23" s="82">
        <v>0.72808785337536164</v>
      </c>
      <c r="C23" s="11">
        <v>0.76508895604391902</v>
      </c>
      <c r="D23" s="11">
        <v>0.80531447262790612</v>
      </c>
      <c r="E23" s="11">
        <v>0.65220370843656295</v>
      </c>
      <c r="F23" s="11">
        <v>0.65358046802545899</v>
      </c>
      <c r="G23" s="86">
        <v>0.45109985603333602</v>
      </c>
      <c r="H23" s="74">
        <v>1.2360553191741299</v>
      </c>
      <c r="J23" s="73" t="s">
        <v>17</v>
      </c>
      <c r="K23" s="82">
        <v>0.92229584051837477</v>
      </c>
      <c r="L23" s="11">
        <v>0.90766844503604105</v>
      </c>
      <c r="M23" s="11">
        <v>1.3963940719845001</v>
      </c>
      <c r="N23" s="11">
        <v>0.696053005903291</v>
      </c>
      <c r="O23" s="11">
        <v>0.55396466215903595</v>
      </c>
      <c r="P23" s="86">
        <v>0.86746963628417195</v>
      </c>
      <c r="Q23" s="74">
        <v>0.86628408045404504</v>
      </c>
    </row>
    <row r="24" spans="1:24">
      <c r="A24" s="73" t="s">
        <v>18</v>
      </c>
      <c r="B24" s="82">
        <v>18.474838889192515</v>
      </c>
      <c r="C24" s="11">
        <v>18.733634368970598</v>
      </c>
      <c r="D24" s="11">
        <v>18.463705215416294</v>
      </c>
      <c r="E24" s="11">
        <v>16.915516544824701</v>
      </c>
      <c r="F24" s="11">
        <v>16.7889702770645</v>
      </c>
      <c r="G24" s="86">
        <v>19.9172568615862</v>
      </c>
      <c r="H24" s="74">
        <v>17.623227698423499</v>
      </c>
      <c r="J24" s="73" t="s">
        <v>18</v>
      </c>
      <c r="K24" s="82">
        <v>49.525780213415899</v>
      </c>
      <c r="L24" s="11">
        <v>54.612354725069601</v>
      </c>
      <c r="M24" s="11">
        <v>39.3593933778752</v>
      </c>
      <c r="N24" s="11">
        <v>45.047646526287501</v>
      </c>
      <c r="O24" s="11">
        <v>40.427814850941999</v>
      </c>
      <c r="P24" s="86">
        <v>39.981937109811597</v>
      </c>
      <c r="Q24" s="74">
        <v>47.421181324876898</v>
      </c>
    </row>
    <row r="25" spans="1:24">
      <c r="A25" s="73" t="s">
        <v>19</v>
      </c>
      <c r="B25" s="82">
        <v>36.751796937334866</v>
      </c>
      <c r="C25" s="11">
        <v>36.635341698286801</v>
      </c>
      <c r="D25" s="11">
        <v>37.471021223724186</v>
      </c>
      <c r="E25" s="11">
        <v>38.782899014942799</v>
      </c>
      <c r="F25" s="11">
        <v>38.763072800318</v>
      </c>
      <c r="G25" s="86">
        <v>31.954324265447099</v>
      </c>
      <c r="H25" s="74">
        <v>40.293329129452303</v>
      </c>
      <c r="J25" s="73" t="s">
        <v>19</v>
      </c>
      <c r="K25" s="82">
        <v>9.987798136252124</v>
      </c>
      <c r="L25" s="11">
        <v>9.9388825971246195</v>
      </c>
      <c r="M25" s="11">
        <v>14.9977112993367</v>
      </c>
      <c r="N25" s="11">
        <v>6.5127800050009297</v>
      </c>
      <c r="O25" s="11">
        <v>6.4264391809233601</v>
      </c>
      <c r="P25" s="86">
        <v>9.7525735163265903</v>
      </c>
      <c r="Q25" s="74">
        <v>9.1805779923611706</v>
      </c>
    </row>
    <row r="26" spans="1:24">
      <c r="A26" s="73" t="s">
        <v>20</v>
      </c>
      <c r="B26" s="82">
        <v>30.731823662450282</v>
      </c>
      <c r="C26" s="11">
        <v>30.960171376260799</v>
      </c>
      <c r="D26" s="11">
        <v>31.039638014438474</v>
      </c>
      <c r="E26" s="11">
        <v>33.080169127525203</v>
      </c>
      <c r="F26" s="11">
        <v>30.448359154881299</v>
      </c>
      <c r="G26" s="86">
        <v>25.286809627175799</v>
      </c>
      <c r="H26" s="74">
        <v>27.510026438377999</v>
      </c>
      <c r="J26" s="73" t="s">
        <v>20</v>
      </c>
      <c r="K26" s="82">
        <v>29.847497588021188</v>
      </c>
      <c r="L26" s="11">
        <v>25.3425902298663</v>
      </c>
      <c r="M26" s="11">
        <v>31.9770178953307</v>
      </c>
      <c r="N26" s="11">
        <v>38.964115953704798</v>
      </c>
      <c r="O26" s="11">
        <v>44.298398636303403</v>
      </c>
      <c r="P26" s="86">
        <v>37.312171718174397</v>
      </c>
      <c r="Q26" s="74">
        <v>34.301023510666397</v>
      </c>
    </row>
    <row r="27" spans="1:24">
      <c r="A27" s="73" t="s">
        <v>21</v>
      </c>
      <c r="B27" s="82">
        <v>0.68994090851133882</v>
      </c>
      <c r="C27" s="11">
        <v>0.68289682124832496</v>
      </c>
      <c r="D27" s="11">
        <v>0.61104911242095183</v>
      </c>
      <c r="E27" s="11">
        <v>0.60271716160006905</v>
      </c>
      <c r="F27" s="11">
        <v>0.59489756149398398</v>
      </c>
      <c r="G27" s="86">
        <v>1.0880917822573899</v>
      </c>
      <c r="H27" s="74">
        <v>2.65653270915361</v>
      </c>
      <c r="J27" s="73" t="s">
        <v>21</v>
      </c>
      <c r="K27" s="82">
        <v>0.4455858917513662</v>
      </c>
      <c r="L27" s="11">
        <v>0.43571183300503802</v>
      </c>
      <c r="M27" s="11">
        <v>0.62005841402231898</v>
      </c>
      <c r="N27" s="11">
        <v>0.34262446189741302</v>
      </c>
      <c r="O27" s="11">
        <v>0.34406903808752998</v>
      </c>
      <c r="P27" s="86">
        <v>0.45868311258632499</v>
      </c>
      <c r="Q27" s="74">
        <v>0.46952120694301702</v>
      </c>
    </row>
    <row r="28" spans="1:24" ht="17" thickBot="1">
      <c r="A28" s="79" t="s">
        <v>192</v>
      </c>
      <c r="B28" s="84">
        <f>B18/B19</f>
        <v>2.9176489467374549</v>
      </c>
      <c r="C28" s="77">
        <f>(C18/C19)</f>
        <v>2.9204160373903636</v>
      </c>
      <c r="D28" s="77">
        <f>(D18/D19)</f>
        <v>2.9317420870531485</v>
      </c>
      <c r="E28" s="77">
        <f t="shared" ref="E28:H28" si="2">(E18/E19)</f>
        <v>2.8473063194734642</v>
      </c>
      <c r="F28" s="77">
        <f t="shared" si="2"/>
        <v>2.8869132225714633</v>
      </c>
      <c r="G28" s="88">
        <f t="shared" si="2"/>
        <v>2.9987369250838265</v>
      </c>
      <c r="H28" s="78">
        <f t="shared" si="2"/>
        <v>2.8013054923099969</v>
      </c>
      <c r="J28" s="79" t="s">
        <v>192</v>
      </c>
      <c r="K28" s="84">
        <f>(K18/K19)</f>
        <v>3.2992609749639739</v>
      </c>
      <c r="L28" s="77">
        <f>(L18/L19)</f>
        <v>3.2212803816178504</v>
      </c>
      <c r="M28" s="77">
        <f t="shared" ref="M28:Q28" si="3">(M18/M19)</f>
        <v>3.1979194791634891</v>
      </c>
      <c r="N28" s="77">
        <f t="shared" si="3"/>
        <v>3.0666045065071672</v>
      </c>
      <c r="O28" s="77">
        <f t="shared" si="3"/>
        <v>2.9843009325335412</v>
      </c>
      <c r="P28" s="88">
        <f t="shared" si="3"/>
        <v>3.1012377524497623</v>
      </c>
      <c r="Q28" s="78">
        <f t="shared" si="3"/>
        <v>3.175802695948434</v>
      </c>
    </row>
    <row r="30" spans="1:24">
      <c r="I30" s="19"/>
    </row>
  </sheetData>
  <mergeCells count="4">
    <mergeCell ref="A1:G1"/>
    <mergeCell ref="J1:P1"/>
    <mergeCell ref="A16:G16"/>
    <mergeCell ref="J16:P1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898E8D-78D3-9740-B0EC-FA20DFD93E25}">
  <dimension ref="A1:AA151"/>
  <sheetViews>
    <sheetView zoomScale="61" workbookViewId="0"/>
  </sheetViews>
  <sheetFormatPr baseColWidth="10" defaultRowHeight="15"/>
  <cols>
    <col min="1" max="1" width="18.33203125" style="3" bestFit="1" customWidth="1"/>
    <col min="2" max="2" width="12.6640625" style="4" bestFit="1" customWidth="1"/>
    <col min="3" max="3" width="17.6640625" style="3" bestFit="1" customWidth="1"/>
    <col min="4" max="4" width="12.6640625" style="4" bestFit="1" customWidth="1"/>
    <col min="5" max="5" width="14.33203125" style="4" bestFit="1" customWidth="1"/>
    <col min="6" max="7" width="12.6640625" style="4" bestFit="1" customWidth="1"/>
    <col min="8" max="8" width="17.6640625" style="3" bestFit="1" customWidth="1"/>
    <col min="9" max="9" width="17.6640625" style="4" bestFit="1" customWidth="1"/>
    <col min="10" max="10" width="19.5" style="3" bestFit="1" customWidth="1"/>
    <col min="11" max="11" width="14.33203125" style="4" bestFit="1" customWidth="1"/>
    <col min="12" max="12" width="18.33203125" style="4" bestFit="1" customWidth="1"/>
    <col min="13" max="16" width="10.83203125" style="4"/>
    <col min="17" max="17" width="14.33203125" style="4" bestFit="1" customWidth="1"/>
    <col min="18" max="16384" width="10.83203125" style="4"/>
  </cols>
  <sheetData>
    <row r="1" spans="1:24" ht="16" thickBot="1"/>
    <row r="2" spans="1:24" ht="19">
      <c r="A2" s="515" t="s">
        <v>32</v>
      </c>
      <c r="B2" s="516"/>
      <c r="C2" s="516"/>
      <c r="D2" s="516"/>
      <c r="E2" s="516"/>
      <c r="F2" s="516"/>
      <c r="G2" s="516"/>
      <c r="H2" s="516"/>
      <c r="I2" s="516"/>
      <c r="J2" s="516"/>
      <c r="K2" s="516"/>
      <c r="L2" s="516"/>
      <c r="M2" s="516"/>
      <c r="N2" s="516"/>
      <c r="O2" s="516"/>
      <c r="P2" s="516"/>
      <c r="Q2" s="516"/>
      <c r="R2" s="516"/>
      <c r="S2" s="516"/>
      <c r="T2" s="516"/>
      <c r="U2" s="516"/>
      <c r="V2" s="516"/>
      <c r="W2" s="516"/>
      <c r="X2" s="517"/>
    </row>
    <row r="3" spans="1:24">
      <c r="A3" s="93" t="s">
        <v>58</v>
      </c>
      <c r="B3" s="51" t="s">
        <v>96</v>
      </c>
      <c r="C3" s="51"/>
      <c r="D3" s="52" t="s">
        <v>8</v>
      </c>
      <c r="E3" s="53" t="s">
        <v>7</v>
      </c>
      <c r="F3" s="52" t="s">
        <v>6</v>
      </c>
      <c r="G3" s="53" t="s">
        <v>5</v>
      </c>
      <c r="H3" s="54"/>
      <c r="I3" s="52" t="s">
        <v>4</v>
      </c>
      <c r="J3" s="51"/>
      <c r="K3" s="52" t="s">
        <v>29</v>
      </c>
      <c r="L3" s="55"/>
      <c r="M3" s="55"/>
      <c r="N3" s="55"/>
      <c r="O3" s="55"/>
      <c r="P3" s="95"/>
      <c r="Q3" s="95"/>
      <c r="R3" s="95"/>
      <c r="S3" s="95"/>
      <c r="T3" s="95"/>
      <c r="U3" s="95"/>
      <c r="V3" s="95"/>
      <c r="W3" s="95"/>
      <c r="X3" s="97"/>
    </row>
    <row r="4" spans="1:24">
      <c r="A4" s="56" t="s">
        <v>57</v>
      </c>
      <c r="B4" s="51" t="s">
        <v>55</v>
      </c>
      <c r="C4" s="54" t="s">
        <v>57</v>
      </c>
      <c r="D4" s="51" t="s">
        <v>55</v>
      </c>
      <c r="E4" s="51" t="s">
        <v>55</v>
      </c>
      <c r="F4" s="51" t="s">
        <v>55</v>
      </c>
      <c r="G4" s="51" t="s">
        <v>55</v>
      </c>
      <c r="H4" s="54" t="s">
        <v>57</v>
      </c>
      <c r="I4" s="51" t="s">
        <v>55</v>
      </c>
      <c r="J4" s="54" t="s">
        <v>57</v>
      </c>
      <c r="K4" s="51" t="s">
        <v>55</v>
      </c>
      <c r="L4" s="95"/>
      <c r="M4" s="95"/>
      <c r="N4" s="95"/>
      <c r="O4" s="95"/>
      <c r="P4" s="95"/>
      <c r="Q4" s="95"/>
      <c r="R4" s="95"/>
      <c r="S4" s="95"/>
      <c r="T4" s="95"/>
      <c r="U4" s="95"/>
      <c r="V4" s="95"/>
      <c r="W4" s="95"/>
      <c r="X4" s="97"/>
    </row>
    <row r="5" spans="1:24">
      <c r="A5" s="56">
        <v>0.5</v>
      </c>
      <c r="B5" s="57">
        <v>0</v>
      </c>
      <c r="C5" s="54">
        <v>2.5</v>
      </c>
      <c r="D5" s="58">
        <v>0</v>
      </c>
      <c r="E5" s="58">
        <v>0</v>
      </c>
      <c r="F5" s="58">
        <v>0</v>
      </c>
      <c r="G5" s="58">
        <v>0</v>
      </c>
      <c r="H5" s="51">
        <v>0.5</v>
      </c>
      <c r="I5" s="58">
        <v>0</v>
      </c>
      <c r="J5" s="51">
        <v>0.5</v>
      </c>
      <c r="K5" s="59">
        <v>0</v>
      </c>
      <c r="L5" s="95"/>
      <c r="M5" s="95"/>
      <c r="N5" s="95"/>
      <c r="O5" s="95"/>
      <c r="P5" s="95"/>
      <c r="Q5" s="95"/>
      <c r="R5" s="95"/>
      <c r="S5" s="95"/>
      <c r="T5" s="95"/>
      <c r="U5" s="95"/>
      <c r="V5" s="95"/>
      <c r="W5" s="95"/>
      <c r="X5" s="97"/>
    </row>
    <row r="6" spans="1:24">
      <c r="A6" s="60">
        <v>2</v>
      </c>
      <c r="B6" s="57">
        <v>0</v>
      </c>
      <c r="C6" s="54">
        <v>7.5</v>
      </c>
      <c r="D6" s="58">
        <v>0</v>
      </c>
      <c r="E6" s="58">
        <v>0</v>
      </c>
      <c r="F6" s="58">
        <v>0</v>
      </c>
      <c r="G6" s="58">
        <v>2.3485882195548782E-2</v>
      </c>
      <c r="H6" s="51">
        <v>2</v>
      </c>
      <c r="I6" s="58">
        <v>0</v>
      </c>
      <c r="J6" s="51">
        <v>2</v>
      </c>
      <c r="K6" s="59">
        <v>5.6527458510909519E-2</v>
      </c>
      <c r="L6" s="95"/>
      <c r="M6" s="95"/>
      <c r="N6" s="95"/>
      <c r="O6" s="95"/>
      <c r="P6" s="95"/>
      <c r="Q6" s="95"/>
      <c r="R6" s="95"/>
      <c r="S6" s="95"/>
      <c r="T6" s="95"/>
      <c r="U6" s="95"/>
      <c r="V6" s="95"/>
      <c r="W6" s="95"/>
      <c r="X6" s="97"/>
    </row>
    <row r="7" spans="1:24">
      <c r="A7" s="56">
        <v>4</v>
      </c>
      <c r="B7" s="57">
        <v>0</v>
      </c>
      <c r="C7" s="54">
        <v>17.5</v>
      </c>
      <c r="D7" s="58">
        <v>2.8609094007148769E-2</v>
      </c>
      <c r="E7" s="58">
        <v>0.12457109034393403</v>
      </c>
      <c r="F7" s="58">
        <v>0.10641945672554876</v>
      </c>
      <c r="G7" s="58">
        <v>0.13288740371772512</v>
      </c>
      <c r="H7" s="51">
        <v>4</v>
      </c>
      <c r="I7" s="58">
        <v>0</v>
      </c>
      <c r="J7" s="51">
        <v>4</v>
      </c>
      <c r="K7" s="59">
        <v>0.10609376337618179</v>
      </c>
      <c r="L7" s="95"/>
      <c r="M7" s="95"/>
      <c r="N7" s="95"/>
      <c r="O7" s="95"/>
      <c r="P7" s="95"/>
      <c r="Q7" s="95"/>
      <c r="R7" s="95"/>
      <c r="S7" s="95"/>
      <c r="T7" s="95"/>
      <c r="U7" s="95"/>
      <c r="V7" s="95"/>
      <c r="W7" s="95"/>
      <c r="X7" s="97"/>
    </row>
    <row r="8" spans="1:24">
      <c r="A8" s="60">
        <v>6</v>
      </c>
      <c r="B8" s="57">
        <v>9.1626120974974933E-3</v>
      </c>
      <c r="C8" s="54">
        <v>37.5</v>
      </c>
      <c r="D8" s="58">
        <v>9.0347870754196785E-2</v>
      </c>
      <c r="E8" s="58">
        <v>0.29240891878457365</v>
      </c>
      <c r="F8" s="58">
        <v>0.29940111868510938</v>
      </c>
      <c r="G8" s="58">
        <v>0.33910104166020821</v>
      </c>
      <c r="H8" s="51">
        <v>6</v>
      </c>
      <c r="I8" s="58">
        <v>6.6488147488703672E-2</v>
      </c>
      <c r="J8" s="51">
        <v>6</v>
      </c>
      <c r="K8" s="59">
        <v>0.21254959689710209</v>
      </c>
      <c r="L8" s="95"/>
      <c r="M8" s="95"/>
      <c r="N8" s="95"/>
      <c r="O8" s="95"/>
      <c r="P8" s="95"/>
      <c r="Q8" s="95"/>
      <c r="R8" s="95"/>
      <c r="S8" s="95"/>
      <c r="T8" s="95"/>
      <c r="U8" s="95"/>
      <c r="V8" s="95"/>
      <c r="W8" s="95"/>
      <c r="X8" s="97"/>
    </row>
    <row r="9" spans="1:24">
      <c r="A9" s="93">
        <v>8.5</v>
      </c>
      <c r="B9" s="59">
        <v>1.8260673155877507E-2</v>
      </c>
      <c r="C9" s="54">
        <v>62.5</v>
      </c>
      <c r="D9" s="58">
        <v>0.18708884215292626</v>
      </c>
      <c r="E9" s="58">
        <v>0.47934945651562549</v>
      </c>
      <c r="F9" s="58">
        <v>0.4830003813228802</v>
      </c>
      <c r="G9" s="58">
        <v>0.4750405753983904</v>
      </c>
      <c r="H9" s="51">
        <v>8.5</v>
      </c>
      <c r="I9" s="58">
        <v>0.11849953149795216</v>
      </c>
      <c r="J9" s="51">
        <v>8.5</v>
      </c>
      <c r="K9" s="59">
        <v>0.33955394385864079</v>
      </c>
      <c r="L9" s="95"/>
      <c r="M9" s="95"/>
      <c r="N9" s="95"/>
      <c r="O9" s="95"/>
      <c r="P9" s="95"/>
      <c r="Q9" s="95"/>
      <c r="R9" s="95"/>
      <c r="S9" s="95"/>
      <c r="T9" s="95"/>
      <c r="U9" s="95"/>
      <c r="V9" s="95"/>
      <c r="W9" s="95"/>
      <c r="X9" s="97"/>
    </row>
    <row r="10" spans="1:24">
      <c r="A10" s="93">
        <v>12.5</v>
      </c>
      <c r="B10" s="59">
        <v>4.5429290210092392E-2</v>
      </c>
      <c r="C10" s="54">
        <v>87.5</v>
      </c>
      <c r="D10" s="58">
        <v>0.3067825791287826</v>
      </c>
      <c r="E10" s="58">
        <v>0.61768201368113818</v>
      </c>
      <c r="F10" s="58">
        <v>0.58306665679563396</v>
      </c>
      <c r="G10" s="58">
        <v>0.58156692118698483</v>
      </c>
      <c r="H10" s="51">
        <v>12.5</v>
      </c>
      <c r="I10" s="58">
        <v>0.24478952244593177</v>
      </c>
      <c r="J10" s="51">
        <v>12.5</v>
      </c>
      <c r="K10" s="59">
        <v>0.50928847436914537</v>
      </c>
      <c r="L10" s="95"/>
      <c r="M10" s="95"/>
      <c r="N10" s="95"/>
      <c r="O10" s="95"/>
      <c r="P10" s="95"/>
      <c r="Q10" s="95"/>
      <c r="R10" s="95"/>
      <c r="S10" s="95"/>
      <c r="T10" s="95"/>
      <c r="U10" s="95"/>
      <c r="V10" s="95"/>
      <c r="W10" s="95"/>
      <c r="X10" s="97"/>
    </row>
    <row r="11" spans="1:24">
      <c r="A11" s="93">
        <v>17.5</v>
      </c>
      <c r="B11" s="59">
        <v>5.3207761045736726E-2</v>
      </c>
      <c r="C11" s="54">
        <v>112.5</v>
      </c>
      <c r="D11" s="58">
        <v>0.44985893587422493</v>
      </c>
      <c r="E11" s="58">
        <v>0.70618468184144689</v>
      </c>
      <c r="F11" s="58">
        <v>0.68624413441353971</v>
      </c>
      <c r="G11" s="58">
        <v>0.65757262456833254</v>
      </c>
      <c r="H11" s="51">
        <v>17.5</v>
      </c>
      <c r="I11" s="58">
        <v>0.35843464378972251</v>
      </c>
      <c r="J11" s="51">
        <v>17.5</v>
      </c>
      <c r="K11" s="59">
        <v>0.63522009068966767</v>
      </c>
      <c r="L11" s="95"/>
      <c r="M11" s="95"/>
      <c r="N11" s="95"/>
      <c r="O11" s="95"/>
      <c r="P11" s="95"/>
      <c r="Q11" s="95"/>
      <c r="R11" s="95"/>
      <c r="S11" s="95"/>
      <c r="T11" s="95"/>
      <c r="U11" s="95"/>
      <c r="V11" s="95"/>
      <c r="W11" s="95"/>
      <c r="X11" s="97"/>
    </row>
    <row r="12" spans="1:24">
      <c r="A12" s="93">
        <v>21</v>
      </c>
      <c r="B12" s="59">
        <v>6.4773221948359105E-2</v>
      </c>
      <c r="C12" s="54">
        <v>137.5</v>
      </c>
      <c r="D12" s="58">
        <v>0.58620284317184879</v>
      </c>
      <c r="E12" s="58">
        <v>0.77488737654533824</v>
      </c>
      <c r="F12" s="58">
        <v>0.71172242329963387</v>
      </c>
      <c r="G12" s="58">
        <v>0.74215951622235499</v>
      </c>
      <c r="H12" s="51">
        <v>22.5</v>
      </c>
      <c r="I12" s="58">
        <v>0.452112429256603</v>
      </c>
      <c r="J12" s="51">
        <v>22.5</v>
      </c>
      <c r="K12" s="59">
        <v>0.7228794577644615</v>
      </c>
      <c r="L12" s="95"/>
      <c r="M12" s="95"/>
      <c r="N12" s="95"/>
      <c r="O12" s="95"/>
      <c r="P12" s="95"/>
      <c r="Q12" s="95"/>
      <c r="R12" s="95"/>
      <c r="S12" s="95"/>
      <c r="T12" s="95"/>
      <c r="U12" s="95"/>
      <c r="V12" s="95"/>
      <c r="W12" s="95"/>
      <c r="X12" s="97"/>
    </row>
    <row r="13" spans="1:24">
      <c r="A13" s="93">
        <v>22.5</v>
      </c>
      <c r="B13" s="59">
        <v>0.15885387051059577</v>
      </c>
      <c r="C13" s="54">
        <v>162.5</v>
      </c>
      <c r="D13" s="58">
        <v>0.68702977240233842</v>
      </c>
      <c r="E13" s="58">
        <v>0.85950495199699595</v>
      </c>
      <c r="F13" s="58">
        <v>0.73016362872345897</v>
      </c>
      <c r="G13" s="58">
        <v>0.83369575560652809</v>
      </c>
      <c r="H13" s="51">
        <v>27.5</v>
      </c>
      <c r="I13" s="58">
        <v>0.53995155651324445</v>
      </c>
      <c r="J13" s="51">
        <v>27.5</v>
      </c>
      <c r="K13" s="59">
        <v>0.78851675620735173</v>
      </c>
      <c r="L13" s="95"/>
      <c r="M13" s="95"/>
      <c r="N13" s="95"/>
      <c r="O13" s="95"/>
      <c r="P13" s="95"/>
      <c r="Q13" s="95"/>
      <c r="R13" s="95"/>
      <c r="S13" s="95"/>
      <c r="T13" s="95"/>
      <c r="U13" s="95"/>
      <c r="V13" s="95"/>
      <c r="W13" s="95"/>
      <c r="X13" s="97"/>
    </row>
    <row r="14" spans="1:24">
      <c r="A14" s="93">
        <v>24</v>
      </c>
      <c r="B14" s="59">
        <v>0.16632008410797242</v>
      </c>
      <c r="C14" s="54">
        <v>187.5</v>
      </c>
      <c r="D14" s="58">
        <v>0.77398858378330992</v>
      </c>
      <c r="E14" s="58">
        <v>0.87822448796450336</v>
      </c>
      <c r="F14" s="58">
        <v>0.75582245630039069</v>
      </c>
      <c r="G14" s="58">
        <v>0.88170431687871431</v>
      </c>
      <c r="H14" s="51">
        <v>34</v>
      </c>
      <c r="I14" s="58">
        <v>0.65467601630155114</v>
      </c>
      <c r="J14" s="51">
        <v>34</v>
      </c>
      <c r="K14" s="59">
        <v>0.83887592294233404</v>
      </c>
      <c r="L14" s="95"/>
      <c r="M14" s="95"/>
      <c r="N14" s="95"/>
      <c r="O14" s="95"/>
      <c r="P14" s="95"/>
      <c r="Q14" s="95"/>
      <c r="R14" s="95"/>
      <c r="S14" s="95"/>
      <c r="T14" s="95"/>
      <c r="U14" s="95"/>
      <c r="V14" s="95"/>
      <c r="W14" s="95"/>
      <c r="X14" s="97"/>
    </row>
    <row r="15" spans="1:24">
      <c r="A15" s="93">
        <v>27.5</v>
      </c>
      <c r="B15" s="59">
        <v>0.19559501182430605</v>
      </c>
      <c r="C15" s="54">
        <v>212.5</v>
      </c>
      <c r="D15" s="58">
        <v>0.82133498284113993</v>
      </c>
      <c r="E15" s="58">
        <v>0.90086172286575494</v>
      </c>
      <c r="F15" s="58">
        <v>0.80455617649789513</v>
      </c>
      <c r="G15" s="58">
        <v>0.91682141241526971</v>
      </c>
      <c r="H15" s="51">
        <v>41.5</v>
      </c>
      <c r="I15" s="58">
        <v>0.73592904927301894</v>
      </c>
      <c r="J15" s="51">
        <v>41.5</v>
      </c>
      <c r="K15" s="59">
        <v>0.87480718143231539</v>
      </c>
      <c r="L15" s="95"/>
      <c r="M15" s="95"/>
      <c r="N15" s="95"/>
      <c r="O15" s="95"/>
      <c r="P15" s="95"/>
      <c r="Q15" s="95"/>
      <c r="R15" s="95"/>
      <c r="S15" s="95"/>
      <c r="T15" s="95"/>
      <c r="U15" s="95"/>
      <c r="V15" s="95"/>
      <c r="W15" s="95"/>
      <c r="X15" s="97"/>
    </row>
    <row r="16" spans="1:24">
      <c r="A16" s="93">
        <v>34</v>
      </c>
      <c r="B16" s="59">
        <v>0.256166834750578</v>
      </c>
      <c r="C16" s="54">
        <v>237.5</v>
      </c>
      <c r="D16" s="58">
        <v>0.84191308515930996</v>
      </c>
      <c r="E16" s="58">
        <v>0.91308792707714392</v>
      </c>
      <c r="F16" s="58">
        <v>0.88159464841092217</v>
      </c>
      <c r="G16" s="58">
        <v>0.93066645858224639</v>
      </c>
      <c r="H16" s="51">
        <v>49</v>
      </c>
      <c r="I16" s="58">
        <v>0.8107921894225929</v>
      </c>
      <c r="J16" s="51">
        <v>49</v>
      </c>
      <c r="K16" s="59">
        <v>0.93416999849167881</v>
      </c>
      <c r="L16" s="95"/>
      <c r="M16" s="95"/>
      <c r="N16" s="95"/>
      <c r="O16" s="95"/>
      <c r="P16" s="95"/>
      <c r="Q16" s="95"/>
      <c r="R16" s="95"/>
      <c r="S16" s="95"/>
      <c r="T16" s="95"/>
      <c r="U16" s="95"/>
      <c r="V16" s="95"/>
      <c r="W16" s="95"/>
      <c r="X16" s="97"/>
    </row>
    <row r="17" spans="1:24">
      <c r="A17" s="93">
        <v>41.5</v>
      </c>
      <c r="B17" s="59">
        <v>0.33016346144856124</v>
      </c>
      <c r="C17" s="54">
        <v>262.5</v>
      </c>
      <c r="D17" s="58">
        <v>0.86058259448883545</v>
      </c>
      <c r="E17" s="58">
        <v>0.92325728148846653</v>
      </c>
      <c r="F17" s="58">
        <v>0.88159464841092217</v>
      </c>
      <c r="G17" s="58">
        <v>0.97661444036374279</v>
      </c>
      <c r="H17" s="51">
        <v>64</v>
      </c>
      <c r="I17" s="58">
        <v>0.92894341737051211</v>
      </c>
      <c r="J17" s="51">
        <v>64</v>
      </c>
      <c r="K17" s="59">
        <v>1</v>
      </c>
      <c r="L17" s="95"/>
      <c r="M17" s="95"/>
      <c r="N17" s="95"/>
      <c r="O17" s="95"/>
      <c r="P17" s="95"/>
      <c r="Q17" s="95"/>
      <c r="R17" s="95"/>
      <c r="S17" s="95"/>
      <c r="T17" s="95"/>
      <c r="U17" s="95"/>
      <c r="V17" s="95"/>
      <c r="W17" s="95"/>
      <c r="X17" s="97"/>
    </row>
    <row r="18" spans="1:24">
      <c r="A18" s="93">
        <v>49</v>
      </c>
      <c r="B18" s="59">
        <v>0.38284329826531743</v>
      </c>
      <c r="C18" s="54">
        <v>287.5</v>
      </c>
      <c r="D18" s="58">
        <v>0.90416694485484883</v>
      </c>
      <c r="E18" s="58">
        <v>0.94655049486006437</v>
      </c>
      <c r="F18" s="58">
        <v>0.94616250379768996</v>
      </c>
      <c r="G18" s="58">
        <v>0.97661444036374279</v>
      </c>
      <c r="H18" s="51">
        <v>77.5</v>
      </c>
      <c r="I18" s="58">
        <v>0.93466023896351913</v>
      </c>
      <c r="J18" s="51">
        <v>77.5</v>
      </c>
      <c r="K18" s="59">
        <v>1</v>
      </c>
      <c r="L18" s="95"/>
      <c r="M18" s="95"/>
      <c r="N18" s="95"/>
      <c r="O18" s="95"/>
      <c r="P18" s="95"/>
      <c r="Q18" s="95"/>
      <c r="R18" s="95"/>
      <c r="S18" s="95"/>
      <c r="T18" s="95"/>
      <c r="U18" s="95"/>
      <c r="V18" s="95"/>
      <c r="W18" s="95"/>
      <c r="X18" s="97"/>
    </row>
    <row r="19" spans="1:24">
      <c r="A19" s="93">
        <v>59</v>
      </c>
      <c r="B19" s="59">
        <v>0.46474401969557322</v>
      </c>
      <c r="C19" s="54">
        <v>312.5</v>
      </c>
      <c r="D19" s="58">
        <v>0.90990300708588645</v>
      </c>
      <c r="E19" s="58">
        <v>0.94731125324520671</v>
      </c>
      <c r="F19" s="58">
        <v>0.94616250379768996</v>
      </c>
      <c r="G19" s="58">
        <v>1</v>
      </c>
      <c r="H19" s="51">
        <v>85</v>
      </c>
      <c r="I19" s="58">
        <v>0.9596804904211178</v>
      </c>
      <c r="J19" s="51">
        <v>85</v>
      </c>
      <c r="K19" s="59">
        <v>1</v>
      </c>
      <c r="L19" s="95"/>
      <c r="M19" s="95"/>
      <c r="N19" s="95"/>
      <c r="O19" s="95"/>
      <c r="P19" s="95"/>
      <c r="Q19" s="95"/>
      <c r="R19" s="95"/>
      <c r="S19" s="95"/>
      <c r="T19" s="95"/>
      <c r="U19" s="95"/>
      <c r="V19" s="95"/>
      <c r="W19" s="95"/>
      <c r="X19" s="97"/>
    </row>
    <row r="20" spans="1:24">
      <c r="A20" s="93">
        <v>70</v>
      </c>
      <c r="B20" s="59">
        <v>0.5316435323824078</v>
      </c>
      <c r="C20" s="54">
        <v>337.5</v>
      </c>
      <c r="D20" s="58">
        <v>0.91420501579018332</v>
      </c>
      <c r="E20" s="58">
        <v>0.94994680933936904</v>
      </c>
      <c r="F20" s="58">
        <v>0.94616250379768996</v>
      </c>
      <c r="G20" s="58">
        <v>1</v>
      </c>
      <c r="H20" s="51">
        <v>92.5</v>
      </c>
      <c r="I20" s="58">
        <v>0.96864398619880221</v>
      </c>
      <c r="J20" s="51">
        <v>92.5</v>
      </c>
      <c r="K20" s="59">
        <v>1</v>
      </c>
      <c r="L20" s="95"/>
      <c r="M20" s="95"/>
      <c r="N20" s="95"/>
      <c r="O20" s="95"/>
      <c r="P20" s="95"/>
      <c r="Q20" s="95"/>
      <c r="R20" s="95"/>
      <c r="S20" s="95"/>
      <c r="T20" s="95"/>
      <c r="U20" s="95"/>
      <c r="V20" s="95"/>
      <c r="W20" s="95"/>
      <c r="X20" s="97"/>
    </row>
    <row r="21" spans="1:24">
      <c r="A21" s="93">
        <v>77.5</v>
      </c>
      <c r="B21" s="59">
        <v>0.55608862930410052</v>
      </c>
      <c r="C21" s="54">
        <v>362.5</v>
      </c>
      <c r="D21" s="58">
        <v>0.91607798754848957</v>
      </c>
      <c r="E21" s="58">
        <v>0.9634723346760532</v>
      </c>
      <c r="F21" s="58">
        <v>0.94616250379768996</v>
      </c>
      <c r="G21" s="58">
        <v>1</v>
      </c>
      <c r="H21" s="51">
        <v>97.5</v>
      </c>
      <c r="I21" s="58">
        <v>0.97158261289540382</v>
      </c>
      <c r="J21" s="51">
        <v>97.5</v>
      </c>
      <c r="K21" s="59">
        <v>1</v>
      </c>
      <c r="L21" s="95"/>
      <c r="M21" s="95"/>
      <c r="N21" s="95"/>
      <c r="O21" s="95"/>
      <c r="P21" s="95"/>
      <c r="Q21" s="95"/>
      <c r="R21" s="95"/>
      <c r="S21" s="95"/>
      <c r="T21" s="95"/>
      <c r="U21" s="95"/>
      <c r="V21" s="95"/>
      <c r="W21" s="95"/>
      <c r="X21" s="97"/>
    </row>
    <row r="22" spans="1:24">
      <c r="A22" s="93">
        <v>85</v>
      </c>
      <c r="B22" s="59">
        <v>0.60536272163002169</v>
      </c>
      <c r="C22" s="54">
        <v>387.5</v>
      </c>
      <c r="D22" s="58">
        <v>0.91683923182447835</v>
      </c>
      <c r="E22" s="58">
        <v>0.9634723346760532</v>
      </c>
      <c r="F22" s="58">
        <v>1</v>
      </c>
      <c r="G22" s="58">
        <v>1</v>
      </c>
      <c r="H22" s="51">
        <v>102.5</v>
      </c>
      <c r="I22" s="58">
        <v>0.97417772119649026</v>
      </c>
      <c r="J22" s="51">
        <v>102.5</v>
      </c>
      <c r="K22" s="59">
        <v>1</v>
      </c>
      <c r="L22" s="95"/>
      <c r="M22" s="95"/>
      <c r="N22" s="95"/>
      <c r="O22" s="95"/>
      <c r="P22" s="95"/>
      <c r="Q22" s="95"/>
      <c r="R22" s="95"/>
      <c r="S22" s="95"/>
      <c r="T22" s="95"/>
      <c r="U22" s="95"/>
      <c r="V22" s="95"/>
      <c r="W22" s="95"/>
      <c r="X22" s="97"/>
    </row>
    <row r="23" spans="1:24">
      <c r="A23" s="93">
        <v>92.5</v>
      </c>
      <c r="B23" s="59">
        <v>0.62483670354436682</v>
      </c>
      <c r="C23" s="54">
        <v>412.5</v>
      </c>
      <c r="D23" s="58">
        <v>0.91854109954362184</v>
      </c>
      <c r="E23" s="58">
        <v>0.9634723346760532</v>
      </c>
      <c r="F23" s="58">
        <v>1</v>
      </c>
      <c r="G23" s="58">
        <v>1</v>
      </c>
      <c r="H23" s="51">
        <v>107.5</v>
      </c>
      <c r="I23" s="58">
        <v>0.97993352281026214</v>
      </c>
      <c r="J23" s="51">
        <v>107.5</v>
      </c>
      <c r="K23" s="59">
        <v>1</v>
      </c>
      <c r="L23" s="95"/>
      <c r="M23" s="95"/>
      <c r="N23" s="95"/>
      <c r="O23" s="95"/>
      <c r="P23" s="95"/>
      <c r="Q23" s="95"/>
      <c r="R23" s="95"/>
      <c r="S23" s="95"/>
      <c r="T23" s="95"/>
      <c r="U23" s="95"/>
      <c r="V23" s="95"/>
      <c r="W23" s="95"/>
      <c r="X23" s="97"/>
    </row>
    <row r="24" spans="1:24">
      <c r="A24" s="93">
        <v>97.5</v>
      </c>
      <c r="B24" s="59">
        <v>0.64626287175801633</v>
      </c>
      <c r="C24" s="54">
        <v>437.5</v>
      </c>
      <c r="D24" s="58">
        <v>0.92636397798600367</v>
      </c>
      <c r="E24" s="58">
        <v>0.9634723346760532</v>
      </c>
      <c r="F24" s="58">
        <v>1</v>
      </c>
      <c r="G24" s="58">
        <v>1</v>
      </c>
      <c r="H24" s="51">
        <v>112.5</v>
      </c>
      <c r="I24" s="58">
        <v>0.9848261736914381</v>
      </c>
      <c r="J24" s="51">
        <v>112.5</v>
      </c>
      <c r="K24" s="59">
        <v>1</v>
      </c>
      <c r="L24" s="95"/>
      <c r="M24" s="95"/>
      <c r="N24" s="95"/>
      <c r="O24" s="95"/>
      <c r="P24" s="95"/>
      <c r="Q24" s="95"/>
      <c r="R24" s="95"/>
      <c r="S24" s="95"/>
      <c r="T24" s="95"/>
      <c r="U24" s="95"/>
      <c r="V24" s="95"/>
      <c r="W24" s="95"/>
      <c r="X24" s="97"/>
    </row>
    <row r="25" spans="1:24">
      <c r="A25" s="93">
        <v>102.5</v>
      </c>
      <c r="B25" s="59">
        <v>0.66221893587358072</v>
      </c>
      <c r="C25" s="54">
        <v>465</v>
      </c>
      <c r="D25" s="58">
        <v>0.98769420957520415</v>
      </c>
      <c r="E25" s="58">
        <v>0.98397961270298262</v>
      </c>
      <c r="F25" s="58">
        <v>1</v>
      </c>
      <c r="G25" s="58">
        <v>1</v>
      </c>
      <c r="H25" s="51">
        <v>117.5</v>
      </c>
      <c r="I25" s="58">
        <v>0.9848261736914381</v>
      </c>
      <c r="J25" s="51">
        <v>117.5</v>
      </c>
      <c r="K25" s="59">
        <v>1</v>
      </c>
      <c r="L25" s="95"/>
      <c r="M25" s="95"/>
      <c r="N25" s="95"/>
      <c r="O25" s="95"/>
      <c r="P25" s="95"/>
      <c r="Q25" s="95"/>
      <c r="R25" s="95"/>
      <c r="S25" s="95"/>
      <c r="T25" s="95"/>
      <c r="U25" s="95"/>
      <c r="V25" s="95"/>
      <c r="W25" s="95"/>
      <c r="X25" s="97"/>
    </row>
    <row r="26" spans="1:24">
      <c r="A26" s="93">
        <v>107.5</v>
      </c>
      <c r="B26" s="59">
        <v>0.67580303181143087</v>
      </c>
      <c r="C26" s="54">
        <v>485</v>
      </c>
      <c r="D26" s="58">
        <v>0.9996268418521097</v>
      </c>
      <c r="E26" s="58">
        <v>0.98397961270298262</v>
      </c>
      <c r="F26" s="58">
        <v>1</v>
      </c>
      <c r="G26" s="58">
        <v>1</v>
      </c>
      <c r="H26" s="51">
        <v>122.5</v>
      </c>
      <c r="I26" s="58">
        <v>0.98899400278354244</v>
      </c>
      <c r="J26" s="51">
        <v>122.5</v>
      </c>
      <c r="K26" s="59">
        <v>1</v>
      </c>
      <c r="L26" s="95"/>
      <c r="M26" s="95"/>
      <c r="N26" s="95"/>
      <c r="O26" s="95"/>
      <c r="P26" s="95"/>
      <c r="Q26" s="95"/>
      <c r="R26" s="95"/>
      <c r="S26" s="95"/>
      <c r="T26" s="95"/>
      <c r="U26" s="95"/>
      <c r="V26" s="95"/>
      <c r="W26" s="95"/>
      <c r="X26" s="97"/>
    </row>
    <row r="27" spans="1:24" ht="16" thickBot="1">
      <c r="A27" s="93">
        <v>112.5</v>
      </c>
      <c r="B27" s="59">
        <v>0.69249118041590196</v>
      </c>
      <c r="C27" s="54">
        <v>495</v>
      </c>
      <c r="D27" s="58">
        <v>0.9996268418521097</v>
      </c>
      <c r="E27" s="58">
        <v>0.98397961270298262</v>
      </c>
      <c r="F27" s="58">
        <v>1</v>
      </c>
      <c r="G27" s="58">
        <v>1</v>
      </c>
      <c r="H27" s="51">
        <v>137.5</v>
      </c>
      <c r="I27" s="58">
        <v>1</v>
      </c>
      <c r="J27" s="51">
        <v>137.5</v>
      </c>
      <c r="K27" s="59">
        <v>1</v>
      </c>
      <c r="L27" s="95"/>
      <c r="M27" s="95"/>
      <c r="N27" s="95"/>
      <c r="O27" s="95"/>
      <c r="P27" s="95"/>
      <c r="Q27" s="95"/>
      <c r="R27" s="95"/>
      <c r="S27" s="95"/>
      <c r="T27" s="95"/>
      <c r="U27" s="95"/>
      <c r="V27" s="95"/>
      <c r="W27" s="95"/>
      <c r="X27" s="97"/>
    </row>
    <row r="28" spans="1:24" ht="15" customHeight="1" thickBot="1">
      <c r="A28" s="93">
        <v>117.5</v>
      </c>
      <c r="B28" s="59">
        <v>0.70487061535176054</v>
      </c>
      <c r="C28" s="54">
        <v>750</v>
      </c>
      <c r="D28" s="58">
        <v>1</v>
      </c>
      <c r="E28" s="58">
        <v>1</v>
      </c>
      <c r="F28" s="58">
        <v>1</v>
      </c>
      <c r="G28" s="58">
        <v>1</v>
      </c>
      <c r="H28" s="51">
        <v>225</v>
      </c>
      <c r="I28" s="58">
        <v>1</v>
      </c>
      <c r="J28" s="51">
        <v>225</v>
      </c>
      <c r="K28" s="59">
        <v>1</v>
      </c>
      <c r="O28" s="95"/>
      <c r="P28" s="95"/>
      <c r="Q28" s="512" t="s">
        <v>119</v>
      </c>
      <c r="R28" s="513"/>
      <c r="S28" s="514"/>
      <c r="T28" s="95"/>
      <c r="U28" s="95"/>
      <c r="V28" s="95"/>
      <c r="W28" s="95"/>
      <c r="X28" s="97"/>
    </row>
    <row r="29" spans="1:24">
      <c r="A29" s="93">
        <v>122.5</v>
      </c>
      <c r="B29" s="59">
        <v>0.72484705150917483</v>
      </c>
      <c r="C29" s="54">
        <v>1000</v>
      </c>
      <c r="D29" s="58">
        <v>1</v>
      </c>
      <c r="E29" s="58">
        <v>1</v>
      </c>
      <c r="F29" s="58">
        <v>1</v>
      </c>
      <c r="G29" s="58">
        <v>1</v>
      </c>
      <c r="H29" s="51">
        <v>300</v>
      </c>
      <c r="I29" s="58">
        <v>1</v>
      </c>
      <c r="J29" s="51">
        <v>300</v>
      </c>
      <c r="K29" s="59">
        <v>1</v>
      </c>
      <c r="O29" s="95"/>
      <c r="P29" s="95"/>
      <c r="Q29" s="94" t="s">
        <v>97</v>
      </c>
      <c r="R29" s="95">
        <v>220</v>
      </c>
      <c r="S29" s="20">
        <v>0.85</v>
      </c>
      <c r="T29" s="95"/>
      <c r="U29" s="95"/>
      <c r="V29" s="95"/>
      <c r="W29" s="95"/>
      <c r="X29" s="97"/>
    </row>
    <row r="30" spans="1:24">
      <c r="A30" s="56">
        <v>137.5</v>
      </c>
      <c r="B30" s="59">
        <v>0.78189466707084365</v>
      </c>
      <c r="C30" s="51"/>
      <c r="D30" s="95"/>
      <c r="E30" s="95"/>
      <c r="F30" s="95"/>
      <c r="G30" s="95"/>
      <c r="H30" s="51"/>
      <c r="I30" s="95"/>
      <c r="J30" s="51"/>
      <c r="K30" s="95"/>
      <c r="O30" s="95"/>
      <c r="P30" s="95"/>
      <c r="Q30" s="99" t="s">
        <v>59</v>
      </c>
      <c r="R30" s="95">
        <v>250</v>
      </c>
      <c r="S30" s="20">
        <v>0.85</v>
      </c>
      <c r="T30" s="95"/>
      <c r="U30" s="95"/>
      <c r="V30" s="95"/>
      <c r="W30" s="95"/>
      <c r="X30" s="97"/>
    </row>
    <row r="31" spans="1:24">
      <c r="A31" s="93">
        <v>225</v>
      </c>
      <c r="B31" s="59">
        <v>0.94824257901724318</v>
      </c>
      <c r="C31" s="95"/>
      <c r="D31" s="95"/>
      <c r="E31" s="95"/>
      <c r="F31" s="95"/>
      <c r="G31" s="95"/>
      <c r="H31" s="51"/>
      <c r="I31" s="95"/>
      <c r="J31" s="51"/>
      <c r="K31" s="95"/>
      <c r="O31" s="95"/>
      <c r="P31" s="95"/>
      <c r="Q31" s="99" t="s">
        <v>60</v>
      </c>
      <c r="R31" s="95">
        <v>220</v>
      </c>
      <c r="S31" s="20">
        <v>0.85</v>
      </c>
      <c r="T31" s="95"/>
      <c r="U31" s="95"/>
      <c r="V31" s="95"/>
      <c r="W31" s="95"/>
      <c r="X31" s="97"/>
    </row>
    <row r="32" spans="1:24">
      <c r="A32" s="93">
        <v>350</v>
      </c>
      <c r="B32" s="59">
        <v>0.97043308523497407</v>
      </c>
      <c r="C32" s="51"/>
      <c r="D32" s="95"/>
      <c r="E32" s="95"/>
      <c r="F32" s="95"/>
      <c r="G32" s="95"/>
      <c r="H32" s="51"/>
      <c r="I32" s="95"/>
      <c r="J32" s="51"/>
      <c r="K32" s="95"/>
      <c r="O32" s="95"/>
      <c r="P32" s="95"/>
      <c r="Q32" s="99" t="s">
        <v>61</v>
      </c>
      <c r="R32" s="95">
        <v>220</v>
      </c>
      <c r="S32" s="20">
        <v>0.85</v>
      </c>
      <c r="T32" s="95"/>
      <c r="U32" s="95"/>
      <c r="V32" s="95"/>
      <c r="W32" s="95"/>
      <c r="X32" s="97"/>
    </row>
    <row r="33" spans="1:24">
      <c r="A33" s="93">
        <v>450</v>
      </c>
      <c r="B33" s="59">
        <v>0.98536938220776182</v>
      </c>
      <c r="C33" s="51"/>
      <c r="D33" s="95"/>
      <c r="E33" s="95"/>
      <c r="F33" s="95"/>
      <c r="G33" s="95"/>
      <c r="H33" s="51"/>
      <c r="I33" s="95"/>
      <c r="J33" s="51"/>
      <c r="K33" s="95"/>
      <c r="O33" s="95"/>
      <c r="P33" s="95"/>
      <c r="Q33" s="99" t="s">
        <v>62</v>
      </c>
      <c r="R33" s="95">
        <v>170</v>
      </c>
      <c r="S33" s="20">
        <v>0.85</v>
      </c>
      <c r="T33" s="95"/>
      <c r="U33" s="95"/>
      <c r="V33" s="95"/>
      <c r="W33" s="95"/>
      <c r="X33" s="97"/>
    </row>
    <row r="34" spans="1:24">
      <c r="A34" s="93">
        <v>750</v>
      </c>
      <c r="B34" s="59">
        <v>1</v>
      </c>
      <c r="C34" s="51"/>
      <c r="D34" s="95"/>
      <c r="E34" s="95"/>
      <c r="F34" s="95"/>
      <c r="G34" s="95"/>
      <c r="H34" s="51"/>
      <c r="I34" s="95"/>
      <c r="J34" s="51"/>
      <c r="K34" s="95"/>
      <c r="O34" s="95"/>
      <c r="P34" s="55"/>
      <c r="Q34" s="99" t="s">
        <v>63</v>
      </c>
      <c r="R34" s="95">
        <v>53</v>
      </c>
      <c r="S34" s="20">
        <v>0.85</v>
      </c>
      <c r="T34" s="95"/>
      <c r="U34" s="95"/>
      <c r="V34" s="95"/>
      <c r="W34" s="95"/>
      <c r="X34" s="97"/>
    </row>
    <row r="35" spans="1:24" ht="16" thickBot="1">
      <c r="A35" s="93">
        <v>1500</v>
      </c>
      <c r="B35" s="57">
        <v>1</v>
      </c>
      <c r="C35" s="51"/>
      <c r="D35" s="95"/>
      <c r="E35" s="95"/>
      <c r="F35" s="95"/>
      <c r="G35" s="95"/>
      <c r="H35" s="51"/>
      <c r="I35" s="95"/>
      <c r="J35" s="51"/>
      <c r="K35" s="95"/>
      <c r="O35" s="95"/>
      <c r="P35" s="95"/>
      <c r="Q35" s="21" t="s">
        <v>98</v>
      </c>
      <c r="R35" s="22">
        <v>35</v>
      </c>
      <c r="S35" s="23">
        <v>0.85</v>
      </c>
      <c r="T35" s="95"/>
      <c r="U35" s="95"/>
      <c r="V35" s="95"/>
      <c r="W35" s="95"/>
      <c r="X35" s="97"/>
    </row>
    <row r="36" spans="1:24">
      <c r="A36" s="56">
        <v>3000</v>
      </c>
      <c r="B36" s="57">
        <v>1</v>
      </c>
      <c r="C36" s="51"/>
      <c r="D36" s="95"/>
      <c r="E36" s="95"/>
      <c r="F36" s="95"/>
      <c r="G36" s="95"/>
      <c r="H36" s="51"/>
      <c r="I36" s="95"/>
      <c r="J36" s="61"/>
      <c r="K36" s="62"/>
      <c r="L36" s="95"/>
      <c r="M36" s="95"/>
      <c r="N36" s="95"/>
      <c r="O36" s="95"/>
      <c r="P36" s="95"/>
      <c r="Q36" s="95"/>
      <c r="R36" s="95"/>
      <c r="S36" s="95"/>
      <c r="T36" s="95"/>
      <c r="U36" s="95"/>
      <c r="V36" s="95"/>
      <c r="W36" s="95"/>
      <c r="X36" s="97"/>
    </row>
    <row r="37" spans="1:24" ht="16" thickBot="1">
      <c r="A37" s="63">
        <v>5350</v>
      </c>
      <c r="B37" s="64">
        <v>1</v>
      </c>
      <c r="C37" s="65"/>
      <c r="D37" s="96"/>
      <c r="E37" s="96"/>
      <c r="F37" s="96"/>
      <c r="G37" s="96"/>
      <c r="H37" s="65"/>
      <c r="I37" s="96"/>
      <c r="J37" s="66"/>
      <c r="K37" s="22"/>
      <c r="L37" s="22"/>
      <c r="M37" s="22"/>
      <c r="N37" s="22"/>
      <c r="O37" s="22"/>
      <c r="P37" s="22"/>
      <c r="Q37" s="22"/>
      <c r="R37" s="22"/>
      <c r="S37" s="22"/>
      <c r="T37" s="22"/>
      <c r="U37" s="22"/>
      <c r="V37" s="22"/>
      <c r="W37" s="22"/>
      <c r="X37" s="98"/>
    </row>
    <row r="39" spans="1:24" ht="16" thickBot="1"/>
    <row r="40" spans="1:24" ht="19">
      <c r="A40" s="515" t="s">
        <v>14</v>
      </c>
      <c r="B40" s="516"/>
      <c r="C40" s="516"/>
      <c r="D40" s="516"/>
      <c r="E40" s="516"/>
      <c r="F40" s="516"/>
      <c r="G40" s="516"/>
      <c r="H40" s="516"/>
      <c r="I40" s="516"/>
      <c r="J40" s="516"/>
      <c r="K40" s="516"/>
      <c r="L40" s="516"/>
      <c r="M40" s="516"/>
      <c r="N40" s="516"/>
      <c r="O40" s="516"/>
      <c r="P40" s="516"/>
      <c r="Q40" s="516"/>
      <c r="R40" s="516"/>
      <c r="S40" s="516"/>
      <c r="T40" s="516"/>
      <c r="U40" s="516"/>
      <c r="V40" s="516"/>
      <c r="W40" s="516"/>
      <c r="X40" s="517"/>
    </row>
    <row r="41" spans="1:24">
      <c r="A41" s="93" t="s">
        <v>58</v>
      </c>
      <c r="B41" s="51" t="s">
        <v>44</v>
      </c>
      <c r="C41" s="51" t="s">
        <v>58</v>
      </c>
      <c r="D41" s="52" t="s">
        <v>8</v>
      </c>
      <c r="E41" s="53" t="s">
        <v>7</v>
      </c>
      <c r="F41" s="52" t="s">
        <v>6</v>
      </c>
      <c r="G41" s="53" t="s">
        <v>5</v>
      </c>
      <c r="H41" s="54"/>
      <c r="I41" s="52" t="s">
        <v>4</v>
      </c>
      <c r="J41" s="51"/>
      <c r="K41" s="52" t="s">
        <v>29</v>
      </c>
      <c r="L41" s="95"/>
      <c r="M41" s="95"/>
      <c r="N41" s="95"/>
      <c r="O41" s="95"/>
      <c r="P41" s="95"/>
      <c r="Q41" s="95"/>
      <c r="R41" s="95"/>
      <c r="S41" s="95"/>
      <c r="T41" s="95"/>
      <c r="U41" s="95"/>
      <c r="V41" s="95"/>
      <c r="W41" s="95"/>
      <c r="X41" s="97"/>
    </row>
    <row r="42" spans="1:24">
      <c r="A42" s="56" t="s">
        <v>57</v>
      </c>
      <c r="B42" s="51" t="s">
        <v>55</v>
      </c>
      <c r="C42" s="54" t="s">
        <v>57</v>
      </c>
      <c r="D42" s="51" t="s">
        <v>55</v>
      </c>
      <c r="E42" s="54" t="s">
        <v>56</v>
      </c>
      <c r="F42" s="51" t="s">
        <v>55</v>
      </c>
      <c r="G42" s="51" t="s">
        <v>55</v>
      </c>
      <c r="H42" s="54" t="s">
        <v>57</v>
      </c>
      <c r="I42" s="51" t="s">
        <v>55</v>
      </c>
      <c r="J42" s="54" t="s">
        <v>57</v>
      </c>
      <c r="K42" s="51" t="s">
        <v>55</v>
      </c>
      <c r="L42" s="95"/>
      <c r="M42" s="95"/>
      <c r="N42" s="95"/>
      <c r="O42" s="95"/>
      <c r="P42" s="95"/>
      <c r="Q42" s="95"/>
      <c r="R42" s="95"/>
      <c r="S42" s="95"/>
      <c r="T42" s="95"/>
      <c r="U42" s="95"/>
      <c r="V42" s="95"/>
      <c r="W42" s="95"/>
      <c r="X42" s="97"/>
    </row>
    <row r="43" spans="1:24">
      <c r="A43" s="56">
        <v>0.5</v>
      </c>
      <c r="B43" s="57">
        <v>0</v>
      </c>
      <c r="C43" s="54">
        <v>2.5</v>
      </c>
      <c r="D43" s="58">
        <v>0</v>
      </c>
      <c r="E43" s="57">
        <v>0</v>
      </c>
      <c r="F43" s="58">
        <v>0</v>
      </c>
      <c r="G43" s="58">
        <v>0</v>
      </c>
      <c r="H43" s="51">
        <v>0.5</v>
      </c>
      <c r="I43" s="58">
        <v>0</v>
      </c>
      <c r="J43" s="51">
        <v>0.5</v>
      </c>
      <c r="K43" s="59">
        <v>0</v>
      </c>
      <c r="L43" s="95"/>
      <c r="M43" s="95"/>
      <c r="N43" s="95"/>
      <c r="O43" s="95"/>
      <c r="P43" s="95"/>
      <c r="Q43" s="95"/>
      <c r="R43" s="95"/>
      <c r="S43" s="95"/>
      <c r="T43" s="95"/>
      <c r="U43" s="95"/>
      <c r="V43" s="95"/>
      <c r="W43" s="95"/>
      <c r="X43" s="97"/>
    </row>
    <row r="44" spans="1:24">
      <c r="A44" s="60">
        <v>2</v>
      </c>
      <c r="B44" s="57">
        <v>0</v>
      </c>
      <c r="C44" s="54">
        <v>7.5</v>
      </c>
      <c r="D44" s="58">
        <v>0</v>
      </c>
      <c r="E44" s="57">
        <v>0</v>
      </c>
      <c r="F44" s="58">
        <v>0</v>
      </c>
      <c r="G44" s="58">
        <v>5.1088353913153906E-3</v>
      </c>
      <c r="H44" s="51">
        <v>2</v>
      </c>
      <c r="I44" s="58">
        <v>0</v>
      </c>
      <c r="J44" s="51">
        <v>2</v>
      </c>
      <c r="K44" s="59">
        <v>2.7179992944765981E-2</v>
      </c>
      <c r="L44" s="95"/>
      <c r="M44" s="95"/>
      <c r="N44" s="95"/>
      <c r="O44" s="95"/>
      <c r="P44" s="95"/>
      <c r="Q44" s="95"/>
      <c r="R44" s="95"/>
      <c r="S44" s="95"/>
      <c r="T44" s="95"/>
      <c r="U44" s="95"/>
      <c r="V44" s="95"/>
      <c r="W44" s="95"/>
      <c r="X44" s="97"/>
    </row>
    <row r="45" spans="1:24">
      <c r="A45" s="56">
        <v>4</v>
      </c>
      <c r="B45" s="57">
        <v>0</v>
      </c>
      <c r="C45" s="54">
        <v>17.5</v>
      </c>
      <c r="D45" s="58">
        <v>2.8619773708899024E-2</v>
      </c>
      <c r="E45" s="57">
        <v>2.8077425367775168E-2</v>
      </c>
      <c r="F45" s="58">
        <v>3.2791873065555407E-2</v>
      </c>
      <c r="G45" s="58">
        <v>2.7914890233159552E-2</v>
      </c>
      <c r="H45" s="51">
        <v>4</v>
      </c>
      <c r="I45" s="58">
        <v>0</v>
      </c>
      <c r="J45" s="51">
        <v>4</v>
      </c>
      <c r="K45" s="59">
        <v>5.470385891350675E-2</v>
      </c>
      <c r="L45" s="95"/>
      <c r="M45" s="95"/>
      <c r="N45" s="95"/>
      <c r="O45" s="95"/>
      <c r="P45" s="95"/>
      <c r="Q45" s="95"/>
      <c r="R45" s="95"/>
      <c r="S45" s="95"/>
      <c r="T45" s="95"/>
      <c r="U45" s="95"/>
      <c r="V45" s="95"/>
      <c r="W45" s="95"/>
      <c r="X45" s="97"/>
    </row>
    <row r="46" spans="1:24">
      <c r="A46" s="60">
        <v>6</v>
      </c>
      <c r="B46" s="57">
        <v>0</v>
      </c>
      <c r="C46" s="54">
        <v>37.5</v>
      </c>
      <c r="D46" s="58">
        <v>9.0381597383679846E-2</v>
      </c>
      <c r="E46" s="57">
        <v>8.799001260282667E-2</v>
      </c>
      <c r="F46" s="58">
        <v>0.1204768800827687</v>
      </c>
      <c r="G46" s="58">
        <v>0.11256656348293997</v>
      </c>
      <c r="H46" s="51">
        <v>6</v>
      </c>
      <c r="I46" s="58">
        <v>0</v>
      </c>
      <c r="J46" s="51">
        <v>6</v>
      </c>
      <c r="K46" s="59">
        <v>0.10786870639590856</v>
      </c>
      <c r="L46" s="95"/>
      <c r="M46" s="95"/>
      <c r="N46" s="95"/>
      <c r="O46" s="95"/>
      <c r="P46" s="95"/>
      <c r="Q46" s="95"/>
      <c r="R46" s="95"/>
      <c r="S46" s="95"/>
      <c r="T46" s="95"/>
      <c r="U46" s="95"/>
      <c r="V46" s="95"/>
      <c r="W46" s="95"/>
      <c r="X46" s="97"/>
    </row>
    <row r="47" spans="1:24">
      <c r="A47" s="93">
        <v>8.5</v>
      </c>
      <c r="B47" s="59">
        <v>1.0958190981283459E-2</v>
      </c>
      <c r="C47" s="54">
        <v>62.5</v>
      </c>
      <c r="D47" s="58">
        <v>0.18715868194004062</v>
      </c>
      <c r="E47" s="57">
        <v>0.18753809058983678</v>
      </c>
      <c r="F47" s="58">
        <v>0.26860348877629353</v>
      </c>
      <c r="G47" s="58">
        <v>0.2331181078201941</v>
      </c>
      <c r="H47" s="51">
        <v>8.5</v>
      </c>
      <c r="I47" s="58">
        <v>8.4164534558594559E-2</v>
      </c>
      <c r="J47" s="51">
        <v>8.5</v>
      </c>
      <c r="K47" s="59">
        <v>0.17748545910970392</v>
      </c>
      <c r="L47" s="95"/>
      <c r="M47" s="95"/>
      <c r="N47" s="95"/>
      <c r="O47" s="95"/>
      <c r="P47" s="95"/>
      <c r="Q47" s="95"/>
      <c r="R47" s="95"/>
      <c r="S47" s="95"/>
      <c r="T47" s="95"/>
      <c r="U47" s="95"/>
      <c r="V47" s="95"/>
      <c r="W47" s="95"/>
      <c r="X47" s="97"/>
    </row>
    <row r="48" spans="1:24">
      <c r="A48" s="93">
        <v>12.5</v>
      </c>
      <c r="B48" s="59">
        <v>2.2297026328490538E-2</v>
      </c>
      <c r="C48" s="54">
        <v>87.5</v>
      </c>
      <c r="D48" s="58">
        <v>0.30689710028231687</v>
      </c>
      <c r="E48" s="57">
        <v>0.3106746439450499</v>
      </c>
      <c r="F48" s="58">
        <v>0.40712195793562994</v>
      </c>
      <c r="G48" s="58">
        <v>0.35359110086883266</v>
      </c>
      <c r="H48" s="51">
        <v>12.5</v>
      </c>
      <c r="I48" s="58">
        <v>0.16008370440246861</v>
      </c>
      <c r="J48" s="51">
        <v>12.5</v>
      </c>
      <c r="K48" s="59">
        <v>0.30782429262941752</v>
      </c>
      <c r="L48" s="95"/>
      <c r="M48" s="95"/>
      <c r="N48" s="95"/>
      <c r="O48" s="95"/>
      <c r="P48" s="95"/>
      <c r="Q48" s="95"/>
      <c r="R48" s="95"/>
      <c r="S48" s="95"/>
      <c r="T48" s="95"/>
      <c r="U48" s="95"/>
      <c r="V48" s="95"/>
      <c r="W48" s="95"/>
      <c r="X48" s="97"/>
    </row>
    <row r="49" spans="1:27">
      <c r="A49" s="93">
        <v>17.5</v>
      </c>
      <c r="B49" s="59">
        <v>2.5081936576150616E-2</v>
      </c>
      <c r="C49" s="54">
        <v>112.5</v>
      </c>
      <c r="D49" s="58">
        <v>0.45002686706644029</v>
      </c>
      <c r="E49" s="57">
        <v>0.43295724079980719</v>
      </c>
      <c r="F49" s="58">
        <v>0.5210365980655024</v>
      </c>
      <c r="G49" s="58">
        <v>0.48511741785397494</v>
      </c>
      <c r="H49" s="51">
        <v>17.5</v>
      </c>
      <c r="I49" s="58">
        <v>0.21605238512511557</v>
      </c>
      <c r="J49" s="51">
        <v>17.5</v>
      </c>
      <c r="K49" s="59">
        <v>0.40901497849191537</v>
      </c>
      <c r="L49" s="95"/>
      <c r="M49" s="95"/>
      <c r="N49" s="95"/>
      <c r="O49" s="95"/>
      <c r="P49" s="95"/>
      <c r="Q49" s="95"/>
      <c r="R49" s="95"/>
      <c r="S49" s="95"/>
      <c r="T49" s="95"/>
      <c r="U49" s="95"/>
      <c r="V49" s="95"/>
      <c r="W49" s="95"/>
      <c r="X49" s="97"/>
    </row>
    <row r="50" spans="1:27">
      <c r="A50" s="93">
        <v>21</v>
      </c>
      <c r="B50" s="59">
        <v>2.9999769621204812E-2</v>
      </c>
      <c r="C50" s="54">
        <v>137.5</v>
      </c>
      <c r="D50" s="58">
        <v>0.58642167119655519</v>
      </c>
      <c r="E50" s="57">
        <v>0.56316722642257955</v>
      </c>
      <c r="F50" s="58">
        <v>0.61911049376600302</v>
      </c>
      <c r="G50" s="58">
        <v>0.62824548887587628</v>
      </c>
      <c r="H50" s="51">
        <v>22.5</v>
      </c>
      <c r="I50" s="58">
        <v>0.27260712750043176</v>
      </c>
      <c r="J50" s="51">
        <v>22.5</v>
      </c>
      <c r="K50" s="59">
        <v>0.49749304527905464</v>
      </c>
      <c r="L50" s="95"/>
      <c r="M50" s="95"/>
      <c r="N50" s="95"/>
      <c r="O50" s="95"/>
      <c r="P50" s="95"/>
      <c r="Q50" s="95"/>
      <c r="R50" s="95"/>
      <c r="S50" s="95"/>
      <c r="T50" s="95"/>
      <c r="U50" s="95"/>
      <c r="V50" s="95"/>
      <c r="W50" s="95"/>
      <c r="X50" s="97"/>
    </row>
    <row r="51" spans="1:27">
      <c r="A51" s="93">
        <v>22.5</v>
      </c>
      <c r="B51" s="59">
        <v>5.6489671205201049E-2</v>
      </c>
      <c r="C51" s="54">
        <v>162.5</v>
      </c>
      <c r="D51" s="58">
        <v>0.68728623886230278</v>
      </c>
      <c r="E51" s="57">
        <v>0.71316338239460209</v>
      </c>
      <c r="F51" s="58">
        <v>0.6909484629395034</v>
      </c>
      <c r="G51" s="58">
        <v>0.76437225012285204</v>
      </c>
      <c r="H51" s="51">
        <v>27.5</v>
      </c>
      <c r="I51" s="58">
        <v>0.3328120252603381</v>
      </c>
      <c r="J51" s="51">
        <v>27.5</v>
      </c>
      <c r="K51" s="59">
        <v>0.56510893575173382</v>
      </c>
      <c r="L51" s="95"/>
      <c r="M51" s="95"/>
      <c r="N51" s="95"/>
      <c r="O51" s="95"/>
      <c r="P51" s="95"/>
      <c r="Q51" s="95"/>
      <c r="R51" s="95"/>
      <c r="S51" s="95"/>
      <c r="T51" s="95"/>
      <c r="U51" s="95"/>
      <c r="V51" s="95"/>
      <c r="W51" s="95"/>
      <c r="X51" s="97"/>
    </row>
    <row r="52" spans="1:27">
      <c r="A52" s="93">
        <v>24</v>
      </c>
      <c r="B52" s="59">
        <v>5.9613073540250229E-2</v>
      </c>
      <c r="C52" s="54">
        <v>187.5</v>
      </c>
      <c r="D52" s="58">
        <v>0.77427751174554604</v>
      </c>
      <c r="E52" s="57">
        <v>0.78524207645309008</v>
      </c>
      <c r="F52" s="58">
        <v>0.73950557559932284</v>
      </c>
      <c r="G52" s="58">
        <v>0.83807138548565097</v>
      </c>
      <c r="H52" s="51">
        <v>34</v>
      </c>
      <c r="I52" s="58">
        <v>0.41902416908323015</v>
      </c>
      <c r="J52" s="51">
        <v>34</v>
      </c>
      <c r="K52" s="59">
        <v>0.6734313092099522</v>
      </c>
      <c r="L52" s="95"/>
      <c r="M52" s="95"/>
      <c r="N52" s="95"/>
      <c r="O52" s="95"/>
      <c r="P52" s="95"/>
      <c r="Q52" s="95"/>
      <c r="R52" s="95"/>
      <c r="S52" s="95"/>
      <c r="T52" s="95"/>
      <c r="U52" s="95"/>
      <c r="V52" s="95"/>
      <c r="W52" s="95"/>
      <c r="X52" s="97"/>
    </row>
    <row r="53" spans="1:27">
      <c r="A53" s="93">
        <v>27.5</v>
      </c>
      <c r="B53" s="59">
        <v>7.2769615594902595E-2</v>
      </c>
      <c r="C53" s="54">
        <v>212.5</v>
      </c>
      <c r="D53" s="58">
        <v>0.82164158509326291</v>
      </c>
      <c r="E53" s="57">
        <v>0.82600019187479734</v>
      </c>
      <c r="F53" s="58">
        <v>0.81640460100440515</v>
      </c>
      <c r="G53" s="58">
        <v>0.89847517294491563</v>
      </c>
      <c r="H53" s="51">
        <v>41.5</v>
      </c>
      <c r="I53" s="58">
        <v>0.4929157861993716</v>
      </c>
      <c r="J53" s="51">
        <v>41.5</v>
      </c>
      <c r="K53" s="59">
        <v>0.74879296128856165</v>
      </c>
      <c r="L53" s="95"/>
      <c r="M53" s="95"/>
      <c r="N53" s="95"/>
      <c r="O53" s="95"/>
      <c r="P53" s="95"/>
      <c r="Q53" s="95"/>
      <c r="R53" s="95"/>
      <c r="S53" s="95"/>
      <c r="T53" s="95"/>
      <c r="U53" s="95"/>
      <c r="V53" s="95"/>
      <c r="W53" s="95"/>
      <c r="X53" s="97"/>
    </row>
    <row r="54" spans="1:27">
      <c r="A54" s="93">
        <v>34</v>
      </c>
      <c r="B54" s="59">
        <v>9.9784854038388715E-2</v>
      </c>
      <c r="C54" s="54">
        <v>237.5</v>
      </c>
      <c r="D54" s="58">
        <v>0.84222736916448993</v>
      </c>
      <c r="E54" s="57">
        <v>0.87864824810642317</v>
      </c>
      <c r="F54" s="58">
        <v>0.82000851665707564</v>
      </c>
      <c r="G54" s="58">
        <v>0.93884662935656815</v>
      </c>
      <c r="H54" s="51">
        <v>49</v>
      </c>
      <c r="I54" s="58">
        <v>0.56355134273360541</v>
      </c>
      <c r="J54" s="51">
        <v>49</v>
      </c>
      <c r="K54" s="59">
        <v>0.862077770795453</v>
      </c>
      <c r="L54" s="95"/>
      <c r="M54" s="95"/>
      <c r="N54" s="95"/>
      <c r="O54" s="95"/>
      <c r="P54" s="95"/>
      <c r="Q54" s="95"/>
      <c r="R54" s="95"/>
      <c r="S54" s="95"/>
      <c r="T54" s="95"/>
      <c r="U54" s="95"/>
      <c r="V54" s="95"/>
      <c r="W54" s="95"/>
      <c r="X54" s="97"/>
    </row>
    <row r="55" spans="1:27">
      <c r="A55" s="93">
        <v>41.5</v>
      </c>
      <c r="B55" s="59">
        <v>0.13477518058596472</v>
      </c>
      <c r="C55" s="54">
        <v>262.5</v>
      </c>
      <c r="D55" s="58">
        <v>0.8609038477741825</v>
      </c>
      <c r="E55" s="57">
        <v>0.89681154268882468</v>
      </c>
      <c r="F55" s="58">
        <v>0.88080365222862544</v>
      </c>
      <c r="G55" s="58">
        <v>0.97264865698814484</v>
      </c>
      <c r="H55" s="51">
        <v>64</v>
      </c>
      <c r="I55" s="58">
        <v>0.73384548965307272</v>
      </c>
      <c r="J55" s="51">
        <v>64</v>
      </c>
      <c r="K55" s="59">
        <v>0.93256478360889528</v>
      </c>
      <c r="L55" s="95"/>
      <c r="M55" s="95"/>
      <c r="N55" s="95"/>
      <c r="O55" s="95"/>
      <c r="P55" s="95"/>
      <c r="Q55" s="95"/>
      <c r="R55" s="95"/>
      <c r="S55" s="95"/>
      <c r="T55" s="95"/>
      <c r="U55" s="95"/>
      <c r="V55" s="95"/>
      <c r="W55" s="95"/>
      <c r="X55" s="97"/>
    </row>
    <row r="56" spans="1:27">
      <c r="A56" s="93">
        <v>49</v>
      </c>
      <c r="B56" s="59">
        <v>0.16338484382645724</v>
      </c>
      <c r="C56" s="54">
        <v>287.5</v>
      </c>
      <c r="D56" s="58">
        <v>0.9045044680669112</v>
      </c>
      <c r="E56" s="57">
        <v>0.90390636116555811</v>
      </c>
      <c r="F56" s="58">
        <v>0.88585865710026557</v>
      </c>
      <c r="G56" s="58">
        <v>0.99589815674281601</v>
      </c>
      <c r="H56" s="51">
        <v>77.5</v>
      </c>
      <c r="I56" s="58">
        <v>0.77213322933598405</v>
      </c>
      <c r="J56" s="51">
        <v>77.5</v>
      </c>
      <c r="K56" s="59">
        <v>0.96559336418526809</v>
      </c>
      <c r="L56" s="95"/>
      <c r="M56" s="95"/>
      <c r="N56" s="95"/>
      <c r="O56" s="95"/>
      <c r="P56" s="95"/>
      <c r="Q56" s="95"/>
      <c r="R56" s="95"/>
      <c r="S56" s="95"/>
      <c r="T56" s="95"/>
      <c r="U56" s="95"/>
      <c r="V56" s="95"/>
      <c r="W56" s="95"/>
      <c r="X56" s="97"/>
    </row>
    <row r="57" spans="1:27">
      <c r="A57" s="93">
        <v>59</v>
      </c>
      <c r="B57" s="59">
        <v>0.21213521581736797</v>
      </c>
      <c r="C57" s="54">
        <v>312.5</v>
      </c>
      <c r="D57" s="58">
        <v>0.91024267155533478</v>
      </c>
      <c r="E57" s="57">
        <v>0.9175051280746741</v>
      </c>
      <c r="F57" s="58">
        <v>0.90599421573900951</v>
      </c>
      <c r="G57" s="58">
        <v>1</v>
      </c>
      <c r="H57" s="51">
        <v>85</v>
      </c>
      <c r="I57" s="58">
        <v>0.82499432098063719</v>
      </c>
      <c r="J57" s="51">
        <v>85</v>
      </c>
      <c r="K57" s="59">
        <v>1</v>
      </c>
      <c r="L57" s="95"/>
      <c r="M57" s="95"/>
      <c r="N57" s="95"/>
      <c r="O57" s="95"/>
      <c r="P57" s="95"/>
      <c r="Q57" s="95"/>
      <c r="R57" s="95"/>
      <c r="S57" s="95"/>
      <c r="T57" s="95"/>
      <c r="U57" s="95"/>
      <c r="V57" s="95"/>
      <c r="W57" s="95"/>
      <c r="X57" s="97"/>
    </row>
    <row r="58" spans="1:27">
      <c r="A58" s="93">
        <v>70</v>
      </c>
      <c r="B58" s="59">
        <v>0.26489038766119233</v>
      </c>
      <c r="C58" s="54">
        <v>337.5</v>
      </c>
      <c r="D58" s="58">
        <v>0.91454628618849743</v>
      </c>
      <c r="E58" s="57">
        <v>0.9175051280746741</v>
      </c>
      <c r="F58" s="58">
        <v>0.9376412414305122</v>
      </c>
      <c r="G58" s="58">
        <v>1</v>
      </c>
      <c r="H58" s="51">
        <v>92.5</v>
      </c>
      <c r="I58" s="58">
        <v>0.85109096017815122</v>
      </c>
      <c r="J58" s="51">
        <v>92.5</v>
      </c>
      <c r="K58" s="59">
        <v>1</v>
      </c>
      <c r="L58" s="95"/>
      <c r="M58" s="95"/>
      <c r="N58" s="95"/>
      <c r="O58" s="95"/>
      <c r="P58" s="95"/>
      <c r="Q58" s="95"/>
      <c r="R58" s="95"/>
      <c r="S58" s="95"/>
      <c r="T58" s="95"/>
      <c r="U58" s="95"/>
      <c r="V58" s="95"/>
      <c r="W58" s="95"/>
      <c r="X58" s="97"/>
    </row>
    <row r="59" spans="1:27">
      <c r="A59" s="93">
        <v>77.5</v>
      </c>
      <c r="B59" s="59">
        <v>0.29025003486048684</v>
      </c>
      <c r="C59" s="54">
        <v>362.5</v>
      </c>
      <c r="D59" s="58">
        <v>0.91641995712237911</v>
      </c>
      <c r="E59" s="57">
        <v>0.93631542747671959</v>
      </c>
      <c r="F59" s="58">
        <v>0.96307174539680507</v>
      </c>
      <c r="G59" s="58">
        <v>1</v>
      </c>
      <c r="H59" s="51">
        <v>97.5</v>
      </c>
      <c r="I59" s="58">
        <v>0.87205793662371545</v>
      </c>
      <c r="J59" s="51">
        <v>97.5</v>
      </c>
      <c r="K59" s="59">
        <v>1</v>
      </c>
      <c r="L59" s="95"/>
      <c r="M59" s="95"/>
      <c r="N59" s="95"/>
      <c r="O59" s="95"/>
      <c r="P59" s="95"/>
      <c r="Q59" s="95"/>
      <c r="R59" s="95"/>
      <c r="S59" s="95"/>
      <c r="T59" s="95"/>
      <c r="U59" s="95"/>
      <c r="V59" s="95"/>
      <c r="W59" s="95"/>
      <c r="X59" s="97"/>
    </row>
    <row r="60" spans="1:27">
      <c r="A60" s="93">
        <v>85</v>
      </c>
      <c r="B60" s="59">
        <v>0.3386970541581289</v>
      </c>
      <c r="C60" s="54">
        <v>387.5</v>
      </c>
      <c r="D60" s="58">
        <v>0.91718148556891255</v>
      </c>
      <c r="E60" s="57">
        <v>0.94095875320804923</v>
      </c>
      <c r="F60" s="58">
        <v>0.96307174539680507</v>
      </c>
      <c r="G60" s="58">
        <v>1</v>
      </c>
      <c r="H60" s="51">
        <v>102.5</v>
      </c>
      <c r="I60" s="58">
        <v>0.88970359804150168</v>
      </c>
      <c r="J60" s="51">
        <v>102.5</v>
      </c>
      <c r="K60" s="59">
        <v>1</v>
      </c>
      <c r="L60" s="95"/>
      <c r="M60" s="95"/>
      <c r="N60" s="95"/>
      <c r="O60" s="95"/>
      <c r="P60" s="95"/>
      <c r="Q60" s="95"/>
      <c r="R60" s="95"/>
      <c r="S60" s="95"/>
      <c r="T60" s="95"/>
      <c r="U60" s="95"/>
      <c r="V60" s="95"/>
      <c r="W60" s="95"/>
      <c r="X60" s="97"/>
    </row>
    <row r="61" spans="1:27">
      <c r="A61" s="93">
        <v>92.5</v>
      </c>
      <c r="B61" s="59">
        <v>0.36214598361181866</v>
      </c>
      <c r="C61" s="54">
        <v>412.5</v>
      </c>
      <c r="D61" s="58">
        <v>0.91888398859093046</v>
      </c>
      <c r="E61" s="57">
        <v>0.94226624980301743</v>
      </c>
      <c r="F61" s="58">
        <v>0.96307174539680507</v>
      </c>
      <c r="G61" s="58">
        <v>1</v>
      </c>
      <c r="H61" s="51">
        <v>107.5</v>
      </c>
      <c r="I61" s="58">
        <v>0.90401334123899557</v>
      </c>
      <c r="J61" s="51">
        <v>107.5</v>
      </c>
      <c r="K61" s="59">
        <v>1</v>
      </c>
      <c r="L61" s="95"/>
      <c r="M61" s="95"/>
      <c r="N61" s="95"/>
      <c r="O61" s="95"/>
      <c r="P61" s="95"/>
      <c r="Q61" s="95"/>
      <c r="R61" s="95"/>
      <c r="S61" s="95"/>
      <c r="T61" s="95"/>
      <c r="U61" s="95"/>
      <c r="V61" s="95"/>
      <c r="W61" s="95"/>
      <c r="X61" s="97"/>
    </row>
    <row r="62" spans="1:27">
      <c r="A62" s="93">
        <v>97.5</v>
      </c>
      <c r="B62" s="59">
        <v>0.38871481563310356</v>
      </c>
      <c r="C62" s="54">
        <v>437.5</v>
      </c>
      <c r="D62" s="58">
        <v>0.92670978729386211</v>
      </c>
      <c r="E62" s="57">
        <v>0.94226624980301743</v>
      </c>
      <c r="F62" s="58">
        <v>0.97461006972973674</v>
      </c>
      <c r="G62" s="58">
        <v>1</v>
      </c>
      <c r="H62" s="51">
        <v>112.5</v>
      </c>
      <c r="I62" s="58">
        <v>0.92596781001588202</v>
      </c>
      <c r="J62" s="51">
        <v>112.5</v>
      </c>
      <c r="K62" s="59">
        <v>1</v>
      </c>
      <c r="L62" s="95"/>
      <c r="M62" s="95"/>
      <c r="N62" s="55"/>
      <c r="O62" s="55"/>
      <c r="P62" s="55"/>
      <c r="Q62" s="55"/>
      <c r="R62" s="55"/>
      <c r="S62" s="55"/>
      <c r="T62" s="55"/>
      <c r="U62" s="55"/>
      <c r="V62" s="55"/>
      <c r="W62" s="55"/>
      <c r="X62" s="67"/>
      <c r="Y62" s="5"/>
      <c r="Z62" s="5"/>
      <c r="AA62" s="5"/>
    </row>
    <row r="63" spans="1:27">
      <c r="A63" s="93">
        <v>102.5</v>
      </c>
      <c r="B63" s="59">
        <v>0.41362151000536174</v>
      </c>
      <c r="C63" s="54">
        <v>465</v>
      </c>
      <c r="D63" s="58">
        <v>0.98806291330193108</v>
      </c>
      <c r="E63" s="57">
        <v>0.95839050149228322</v>
      </c>
      <c r="F63" s="58">
        <v>0.97461006972973674</v>
      </c>
      <c r="G63" s="58">
        <v>1</v>
      </c>
      <c r="H63" s="51">
        <v>117.5</v>
      </c>
      <c r="I63" s="58">
        <v>0.94171601052663501</v>
      </c>
      <c r="J63" s="51">
        <v>117.5</v>
      </c>
      <c r="K63" s="59">
        <v>1</v>
      </c>
      <c r="L63" s="55"/>
      <c r="M63" s="55"/>
      <c r="N63" s="55"/>
      <c r="O63" s="55"/>
      <c r="P63" s="55"/>
      <c r="Q63" s="55"/>
      <c r="R63" s="55"/>
      <c r="S63" s="55"/>
      <c r="T63" s="55"/>
      <c r="U63" s="55"/>
      <c r="V63" s="55"/>
      <c r="W63" s="95"/>
      <c r="X63" s="97"/>
    </row>
    <row r="64" spans="1:27">
      <c r="A64" s="93">
        <v>107.5</v>
      </c>
      <c r="B64" s="59">
        <v>0.4380979735191351</v>
      </c>
      <c r="C64" s="54">
        <v>485</v>
      </c>
      <c r="D64" s="58">
        <v>1</v>
      </c>
      <c r="E64" s="57">
        <v>0.95839050149228322</v>
      </c>
      <c r="F64" s="58">
        <v>0.97461006972973674</v>
      </c>
      <c r="G64" s="58">
        <v>1</v>
      </c>
      <c r="H64" s="51">
        <v>122.5</v>
      </c>
      <c r="I64" s="58">
        <v>0.95397278824193255</v>
      </c>
      <c r="J64" s="51">
        <v>122.5</v>
      </c>
      <c r="K64" s="59">
        <v>1</v>
      </c>
      <c r="L64" s="95"/>
      <c r="M64" s="95"/>
      <c r="N64" s="62"/>
      <c r="O64" s="62"/>
      <c r="P64" s="62"/>
      <c r="Q64" s="62"/>
      <c r="R64" s="62"/>
      <c r="S64" s="62"/>
      <c r="T64" s="62"/>
      <c r="U64" s="62"/>
      <c r="V64" s="62"/>
      <c r="W64" s="95"/>
      <c r="X64" s="97"/>
    </row>
    <row r="65" spans="1:24" ht="16" thickBot="1">
      <c r="A65" s="93">
        <v>112.5</v>
      </c>
      <c r="B65" s="59">
        <v>0.46140042157180178</v>
      </c>
      <c r="C65" s="54">
        <v>495</v>
      </c>
      <c r="D65" s="58">
        <v>1</v>
      </c>
      <c r="E65" s="57">
        <v>0.95839050149228322</v>
      </c>
      <c r="F65" s="58">
        <v>0.97461006972973674</v>
      </c>
      <c r="G65" s="58">
        <v>1</v>
      </c>
      <c r="H65" s="51">
        <v>137.5</v>
      </c>
      <c r="I65" s="58">
        <v>0.98621530899064536</v>
      </c>
      <c r="J65" s="51">
        <v>137.5</v>
      </c>
      <c r="K65" s="59">
        <v>1</v>
      </c>
      <c r="L65" s="95"/>
      <c r="M65" s="95"/>
      <c r="N65" s="55"/>
      <c r="O65" s="55"/>
      <c r="P65" s="55"/>
      <c r="Q65" s="55"/>
      <c r="R65" s="55"/>
      <c r="S65" s="55"/>
      <c r="T65" s="55"/>
      <c r="U65" s="55"/>
      <c r="V65" s="55"/>
      <c r="W65" s="95"/>
      <c r="X65" s="97"/>
    </row>
    <row r="66" spans="1:24" ht="15" customHeight="1" thickBot="1">
      <c r="A66" s="93">
        <v>117.5</v>
      </c>
      <c r="B66" s="59">
        <v>0.48694984921149087</v>
      </c>
      <c r="C66" s="54">
        <v>750</v>
      </c>
      <c r="D66" s="58">
        <v>1.0003732974468742</v>
      </c>
      <c r="E66" s="57">
        <v>1</v>
      </c>
      <c r="F66" s="58">
        <v>1</v>
      </c>
      <c r="G66" s="58">
        <v>1</v>
      </c>
      <c r="H66" s="51">
        <v>225</v>
      </c>
      <c r="I66" s="58">
        <v>1</v>
      </c>
      <c r="J66" s="51">
        <v>225</v>
      </c>
      <c r="K66" s="59">
        <v>1</v>
      </c>
      <c r="O66" s="62"/>
      <c r="P66" s="62"/>
      <c r="Q66" s="512" t="s">
        <v>119</v>
      </c>
      <c r="R66" s="513"/>
      <c r="S66" s="514"/>
      <c r="T66" s="62"/>
      <c r="U66" s="62"/>
      <c r="V66" s="62"/>
      <c r="W66" s="95"/>
      <c r="X66" s="97"/>
    </row>
    <row r="67" spans="1:24">
      <c r="A67" s="93">
        <v>122.5</v>
      </c>
      <c r="B67" s="59">
        <v>0.51890558925467234</v>
      </c>
      <c r="C67" s="54">
        <v>1000</v>
      </c>
      <c r="D67" s="58">
        <v>1.0003732974468742</v>
      </c>
      <c r="E67" s="57">
        <v>1</v>
      </c>
      <c r="F67" s="58">
        <v>1</v>
      </c>
      <c r="G67" s="58">
        <v>1</v>
      </c>
      <c r="H67" s="51">
        <v>300</v>
      </c>
      <c r="I67" s="58">
        <v>1</v>
      </c>
      <c r="J67" s="51">
        <v>300</v>
      </c>
      <c r="K67" s="59">
        <v>1</v>
      </c>
      <c r="O67" s="95"/>
      <c r="P67" s="95"/>
      <c r="Q67" s="94" t="s">
        <v>97</v>
      </c>
      <c r="R67" s="95">
        <v>190</v>
      </c>
      <c r="S67" s="20">
        <v>0.85</v>
      </c>
      <c r="T67" s="95"/>
      <c r="U67" s="95"/>
      <c r="V67" s="95"/>
      <c r="W67" s="95"/>
      <c r="X67" s="97"/>
    </row>
    <row r="68" spans="1:24">
      <c r="A68" s="93">
        <v>137.5</v>
      </c>
      <c r="B68" s="59">
        <v>0.63918961874069924</v>
      </c>
      <c r="C68" s="51"/>
      <c r="D68" s="95"/>
      <c r="E68" s="95"/>
      <c r="F68" s="95"/>
      <c r="G68" s="95"/>
      <c r="H68" s="51"/>
      <c r="I68" s="95"/>
      <c r="J68" s="51"/>
      <c r="K68" s="95"/>
      <c r="O68" s="95"/>
      <c r="P68" s="95"/>
      <c r="Q68" s="99" t="s">
        <v>59</v>
      </c>
      <c r="R68" s="95">
        <v>230</v>
      </c>
      <c r="S68" s="20">
        <v>0.85</v>
      </c>
      <c r="T68" s="95"/>
      <c r="U68" s="95"/>
      <c r="V68" s="95"/>
      <c r="W68" s="95"/>
      <c r="X68" s="97"/>
    </row>
    <row r="69" spans="1:24">
      <c r="A69" s="93">
        <v>225</v>
      </c>
      <c r="B69" s="59">
        <v>0.92109432862400242</v>
      </c>
      <c r="C69" s="51"/>
      <c r="D69" s="95"/>
      <c r="E69" s="95"/>
      <c r="F69" s="95"/>
      <c r="G69" s="95"/>
      <c r="H69" s="51"/>
      <c r="I69" s="95"/>
      <c r="J69" s="51"/>
      <c r="K69" s="95"/>
      <c r="O69" s="95"/>
      <c r="P69" s="95"/>
      <c r="Q69" s="99" t="s">
        <v>60</v>
      </c>
      <c r="R69" s="95">
        <v>220</v>
      </c>
      <c r="S69" s="20">
        <v>0.85</v>
      </c>
      <c r="T69" s="95"/>
      <c r="U69" s="95"/>
      <c r="V69" s="95"/>
      <c r="W69" s="95"/>
      <c r="X69" s="97"/>
    </row>
    <row r="70" spans="1:24">
      <c r="A70" s="93">
        <v>350</v>
      </c>
      <c r="B70" s="59">
        <v>0.9389522024237883</v>
      </c>
      <c r="C70" s="51"/>
      <c r="D70" s="95"/>
      <c r="E70" s="95"/>
      <c r="F70" s="95"/>
      <c r="G70" s="95"/>
      <c r="H70" s="51"/>
      <c r="I70" s="95"/>
      <c r="J70" s="51"/>
      <c r="K70" s="95"/>
      <c r="O70" s="95"/>
      <c r="P70" s="95"/>
      <c r="Q70" s="99" t="s">
        <v>61</v>
      </c>
      <c r="R70" s="95">
        <v>220</v>
      </c>
      <c r="S70" s="20">
        <v>0.85</v>
      </c>
      <c r="T70" s="95"/>
      <c r="U70" s="95"/>
      <c r="V70" s="95"/>
      <c r="W70" s="95"/>
      <c r="X70" s="97"/>
    </row>
    <row r="71" spans="1:24">
      <c r="A71" s="93">
        <v>450</v>
      </c>
      <c r="B71" s="59">
        <v>0.99339637957502458</v>
      </c>
      <c r="C71" s="51"/>
      <c r="D71" s="95"/>
      <c r="E71" s="95"/>
      <c r="F71" s="95"/>
      <c r="G71" s="95"/>
      <c r="H71" s="51"/>
      <c r="I71" s="95"/>
      <c r="J71" s="51"/>
      <c r="K71" s="95"/>
      <c r="O71" s="95"/>
      <c r="P71" s="95"/>
      <c r="Q71" s="99" t="s">
        <v>62</v>
      </c>
      <c r="R71" s="95">
        <v>190</v>
      </c>
      <c r="S71" s="20">
        <v>0.85</v>
      </c>
      <c r="T71" s="95"/>
      <c r="U71" s="95"/>
      <c r="V71" s="95"/>
      <c r="W71" s="95"/>
      <c r="X71" s="97"/>
    </row>
    <row r="72" spans="1:24">
      <c r="A72" s="93">
        <v>750</v>
      </c>
      <c r="B72" s="59">
        <v>1</v>
      </c>
      <c r="C72" s="51"/>
      <c r="D72" s="95"/>
      <c r="E72" s="95"/>
      <c r="F72" s="95"/>
      <c r="G72" s="95"/>
      <c r="H72" s="51"/>
      <c r="I72" s="95"/>
      <c r="J72" s="51"/>
      <c r="K72" s="95"/>
      <c r="O72" s="95"/>
      <c r="P72" s="95"/>
      <c r="Q72" s="99" t="s">
        <v>63</v>
      </c>
      <c r="R72" s="95">
        <v>90</v>
      </c>
      <c r="S72" s="20">
        <v>0.85</v>
      </c>
      <c r="T72" s="95"/>
      <c r="U72" s="95"/>
      <c r="V72" s="95"/>
      <c r="W72" s="95"/>
      <c r="X72" s="97"/>
    </row>
    <row r="73" spans="1:24" ht="16" thickBot="1">
      <c r="A73" s="93">
        <v>1500</v>
      </c>
      <c r="B73" s="57">
        <v>1</v>
      </c>
      <c r="C73" s="51"/>
      <c r="D73" s="95"/>
      <c r="E73" s="95"/>
      <c r="F73" s="95"/>
      <c r="G73" s="95"/>
      <c r="H73" s="51"/>
      <c r="I73" s="95"/>
      <c r="J73" s="51"/>
      <c r="K73" s="95"/>
      <c r="O73" s="95"/>
      <c r="P73" s="95"/>
      <c r="Q73" s="21" t="s">
        <v>98</v>
      </c>
      <c r="R73" s="22">
        <v>48</v>
      </c>
      <c r="S73" s="23">
        <v>0.85</v>
      </c>
      <c r="T73" s="95"/>
      <c r="U73" s="95"/>
      <c r="V73" s="95"/>
      <c r="W73" s="95"/>
      <c r="X73" s="97"/>
    </row>
    <row r="74" spans="1:24">
      <c r="A74" s="56">
        <v>3000</v>
      </c>
      <c r="B74" s="57">
        <v>1</v>
      </c>
      <c r="C74" s="51"/>
      <c r="D74" s="95"/>
      <c r="E74" s="95"/>
      <c r="F74" s="95"/>
      <c r="G74" s="95"/>
      <c r="H74" s="51"/>
      <c r="I74" s="95"/>
      <c r="J74" s="51"/>
      <c r="K74" s="95"/>
      <c r="L74" s="95"/>
      <c r="M74" s="95"/>
      <c r="N74" s="95"/>
      <c r="O74" s="95"/>
      <c r="P74" s="95"/>
      <c r="Q74" s="95"/>
      <c r="R74" s="95"/>
      <c r="S74" s="95"/>
      <c r="T74" s="95"/>
      <c r="U74" s="95"/>
      <c r="V74" s="95"/>
      <c r="W74" s="95"/>
      <c r="X74" s="97"/>
    </row>
    <row r="75" spans="1:24" ht="16" thickBot="1">
      <c r="A75" s="63">
        <v>5350</v>
      </c>
      <c r="B75" s="64">
        <v>1</v>
      </c>
      <c r="C75" s="65"/>
      <c r="D75" s="96"/>
      <c r="E75" s="96"/>
      <c r="F75" s="96"/>
      <c r="G75" s="96"/>
      <c r="H75" s="65"/>
      <c r="I75" s="96"/>
      <c r="J75" s="65"/>
      <c r="K75" s="96"/>
      <c r="L75" s="96"/>
      <c r="M75" s="96"/>
      <c r="N75" s="96"/>
      <c r="O75" s="96"/>
      <c r="P75" s="96"/>
      <c r="Q75" s="96"/>
      <c r="R75" s="96"/>
      <c r="S75" s="96"/>
      <c r="T75" s="96"/>
      <c r="U75" s="96"/>
      <c r="V75" s="96"/>
      <c r="W75" s="96"/>
      <c r="X75" s="98"/>
    </row>
    <row r="77" spans="1:24" ht="16" thickBot="1"/>
    <row r="78" spans="1:24" ht="19">
      <c r="A78" s="515" t="s">
        <v>28</v>
      </c>
      <c r="B78" s="516"/>
      <c r="C78" s="516"/>
      <c r="D78" s="516"/>
      <c r="E78" s="516"/>
      <c r="F78" s="516"/>
      <c r="G78" s="516"/>
      <c r="H78" s="516"/>
      <c r="I78" s="516"/>
      <c r="J78" s="516"/>
      <c r="K78" s="516"/>
      <c r="L78" s="516"/>
      <c r="M78" s="516"/>
      <c r="N78" s="516"/>
      <c r="O78" s="516"/>
      <c r="P78" s="516"/>
      <c r="Q78" s="516"/>
      <c r="R78" s="516"/>
      <c r="S78" s="516"/>
      <c r="T78" s="516"/>
      <c r="U78" s="516"/>
      <c r="V78" s="516"/>
      <c r="W78" s="516"/>
      <c r="X78" s="517"/>
    </row>
    <row r="79" spans="1:24">
      <c r="A79" s="93" t="s">
        <v>58</v>
      </c>
      <c r="B79" s="51" t="s">
        <v>44</v>
      </c>
      <c r="C79" s="51" t="s">
        <v>58</v>
      </c>
      <c r="D79" s="52" t="s">
        <v>8</v>
      </c>
      <c r="E79" s="53" t="s">
        <v>7</v>
      </c>
      <c r="F79" s="52" t="s">
        <v>6</v>
      </c>
      <c r="G79" s="53" t="s">
        <v>5</v>
      </c>
      <c r="H79" s="54"/>
      <c r="I79" s="52" t="s">
        <v>4</v>
      </c>
      <c r="J79" s="51"/>
      <c r="K79" s="52" t="s">
        <v>29</v>
      </c>
      <c r="L79" s="95"/>
      <c r="M79" s="95"/>
      <c r="N79" s="95"/>
      <c r="O79" s="95"/>
      <c r="P79" s="95"/>
      <c r="Q79" s="95"/>
      <c r="R79" s="95"/>
      <c r="S79" s="95"/>
      <c r="T79" s="95"/>
      <c r="U79" s="95"/>
      <c r="V79" s="95"/>
      <c r="W79" s="95"/>
      <c r="X79" s="97"/>
    </row>
    <row r="80" spans="1:24">
      <c r="A80" s="56" t="s">
        <v>57</v>
      </c>
      <c r="B80" s="51" t="s">
        <v>55</v>
      </c>
      <c r="C80" s="54" t="s">
        <v>57</v>
      </c>
      <c r="D80" s="51" t="s">
        <v>55</v>
      </c>
      <c r="E80" s="51" t="s">
        <v>55</v>
      </c>
      <c r="F80" s="51" t="s">
        <v>55</v>
      </c>
      <c r="G80" s="51" t="s">
        <v>55</v>
      </c>
      <c r="H80" s="54" t="s">
        <v>57</v>
      </c>
      <c r="I80" s="51" t="s">
        <v>55</v>
      </c>
      <c r="J80" s="54" t="s">
        <v>57</v>
      </c>
      <c r="K80" s="51" t="s">
        <v>55</v>
      </c>
      <c r="L80" s="95"/>
      <c r="M80" s="95"/>
      <c r="N80" s="95"/>
      <c r="O80" s="95"/>
      <c r="P80" s="95"/>
      <c r="Q80" s="95"/>
      <c r="R80" s="95"/>
      <c r="S80" s="95"/>
      <c r="T80" s="95"/>
      <c r="U80" s="95"/>
      <c r="V80" s="95"/>
      <c r="W80" s="95"/>
      <c r="X80" s="97"/>
    </row>
    <row r="81" spans="1:24">
      <c r="A81" s="56">
        <v>0.5</v>
      </c>
      <c r="B81" s="57">
        <v>0</v>
      </c>
      <c r="C81" s="51">
        <v>0.5</v>
      </c>
      <c r="D81" s="58">
        <v>0</v>
      </c>
      <c r="E81" s="58">
        <v>0</v>
      </c>
      <c r="F81" s="58">
        <v>0</v>
      </c>
      <c r="G81" s="58">
        <v>0</v>
      </c>
      <c r="H81" s="51">
        <v>0.5</v>
      </c>
      <c r="I81" s="58">
        <v>0</v>
      </c>
      <c r="J81" s="51">
        <v>0.5</v>
      </c>
      <c r="K81" s="59">
        <v>0</v>
      </c>
      <c r="L81" s="95"/>
      <c r="M81" s="95"/>
      <c r="N81" s="95"/>
      <c r="O81" s="95"/>
      <c r="P81" s="95"/>
      <c r="Q81" s="95"/>
      <c r="R81" s="95"/>
      <c r="S81" s="95"/>
      <c r="T81" s="95"/>
      <c r="U81" s="95"/>
      <c r="V81" s="95"/>
      <c r="W81" s="95"/>
      <c r="X81" s="97"/>
    </row>
    <row r="82" spans="1:24">
      <c r="A82" s="60">
        <v>2</v>
      </c>
      <c r="B82" s="57">
        <v>0</v>
      </c>
      <c r="C82" s="51">
        <v>2</v>
      </c>
      <c r="D82" s="58">
        <v>0</v>
      </c>
      <c r="E82" s="58">
        <v>0</v>
      </c>
      <c r="F82" s="58">
        <v>0</v>
      </c>
      <c r="G82" s="58">
        <v>0</v>
      </c>
      <c r="H82" s="51">
        <v>2</v>
      </c>
      <c r="I82" s="58">
        <v>0</v>
      </c>
      <c r="J82" s="51">
        <v>2</v>
      </c>
      <c r="K82" s="59">
        <v>0</v>
      </c>
      <c r="L82" s="95"/>
      <c r="M82" s="55"/>
      <c r="N82" s="55"/>
      <c r="O82" s="95"/>
      <c r="P82" s="95"/>
      <c r="Q82" s="95"/>
      <c r="R82" s="95"/>
      <c r="S82" s="95"/>
      <c r="T82" s="95"/>
      <c r="U82" s="95"/>
      <c r="V82" s="95"/>
      <c r="W82" s="95"/>
      <c r="X82" s="97"/>
    </row>
    <row r="83" spans="1:24">
      <c r="A83" s="56">
        <v>4</v>
      </c>
      <c r="B83" s="57">
        <v>0</v>
      </c>
      <c r="C83" s="51">
        <v>4</v>
      </c>
      <c r="D83" s="58">
        <v>0</v>
      </c>
      <c r="E83" s="58">
        <v>0</v>
      </c>
      <c r="F83" s="58">
        <v>0</v>
      </c>
      <c r="G83" s="58">
        <v>0</v>
      </c>
      <c r="H83" s="51">
        <v>4</v>
      </c>
      <c r="I83" s="58">
        <v>0</v>
      </c>
      <c r="J83" s="51">
        <v>4</v>
      </c>
      <c r="K83" s="59">
        <v>0.11467128376473815</v>
      </c>
      <c r="L83" s="95"/>
      <c r="M83" s="95"/>
      <c r="N83" s="95"/>
      <c r="O83" s="95"/>
      <c r="P83" s="95"/>
      <c r="Q83" s="95"/>
      <c r="R83" s="95"/>
      <c r="S83" s="95"/>
      <c r="T83" s="95"/>
      <c r="U83" s="95"/>
      <c r="V83" s="95"/>
      <c r="W83" s="95"/>
      <c r="X83" s="97"/>
    </row>
    <row r="84" spans="1:24">
      <c r="A84" s="60">
        <v>6</v>
      </c>
      <c r="B84" s="57">
        <v>7.6372287359419812E-3</v>
      </c>
      <c r="C84" s="51">
        <v>6</v>
      </c>
      <c r="D84" s="58">
        <v>0</v>
      </c>
      <c r="E84" s="58">
        <v>0</v>
      </c>
      <c r="F84" s="58">
        <v>0</v>
      </c>
      <c r="G84" s="58">
        <v>0</v>
      </c>
      <c r="H84" s="51">
        <v>6</v>
      </c>
      <c r="I84" s="58">
        <v>4.7504722649164728E-2</v>
      </c>
      <c r="J84" s="51">
        <v>6</v>
      </c>
      <c r="K84" s="59">
        <v>0.16668737676044917</v>
      </c>
      <c r="L84" s="95"/>
      <c r="M84" s="95"/>
      <c r="N84" s="95"/>
      <c r="O84" s="95"/>
      <c r="P84" s="95"/>
      <c r="Q84" s="95"/>
      <c r="R84" s="95"/>
      <c r="S84" s="95"/>
      <c r="T84" s="95"/>
      <c r="U84" s="95"/>
      <c r="V84" s="95"/>
      <c r="W84" s="95"/>
      <c r="X84" s="97"/>
    </row>
    <row r="85" spans="1:24">
      <c r="A85" s="93">
        <v>8.5</v>
      </c>
      <c r="B85" s="59">
        <v>1.5439942257336801E-2</v>
      </c>
      <c r="C85" s="51">
        <v>8.5</v>
      </c>
      <c r="D85" s="58">
        <v>0</v>
      </c>
      <c r="E85" s="58">
        <v>0</v>
      </c>
      <c r="F85" s="58">
        <v>0</v>
      </c>
      <c r="G85" s="58">
        <v>7.8536731995646394E-3</v>
      </c>
      <c r="H85" s="51">
        <v>8.5</v>
      </c>
      <c r="I85" s="58">
        <v>9.4395394084280312E-2</v>
      </c>
      <c r="J85" s="51">
        <v>8.5</v>
      </c>
      <c r="K85" s="59">
        <v>0.29670105632540261</v>
      </c>
      <c r="L85" s="55"/>
      <c r="M85" s="55"/>
      <c r="N85" s="55"/>
      <c r="O85" s="55"/>
      <c r="P85" s="55"/>
      <c r="Q85" s="55"/>
      <c r="R85" s="55"/>
      <c r="S85" s="55"/>
      <c r="T85" s="55"/>
      <c r="U85" s="55"/>
      <c r="V85" s="55"/>
      <c r="W85" s="55"/>
      <c r="X85" s="97"/>
    </row>
    <row r="86" spans="1:24">
      <c r="A86" s="93">
        <v>12.5</v>
      </c>
      <c r="B86" s="59">
        <v>3.8133766976518602E-2</v>
      </c>
      <c r="C86" s="51">
        <v>12.5</v>
      </c>
      <c r="D86" s="58">
        <v>0</v>
      </c>
      <c r="E86" s="58">
        <v>0</v>
      </c>
      <c r="F86" s="58">
        <v>3.9717167209300359E-2</v>
      </c>
      <c r="G86" s="58">
        <v>2.76957577805334E-2</v>
      </c>
      <c r="H86" s="51">
        <v>12.5</v>
      </c>
      <c r="I86" s="58">
        <v>0.21111687827910749</v>
      </c>
      <c r="J86" s="51">
        <v>12.5</v>
      </c>
      <c r="K86" s="59">
        <v>0.47030846742035326</v>
      </c>
      <c r="L86" s="55"/>
      <c r="M86" s="55"/>
      <c r="N86" s="55"/>
      <c r="O86" s="55"/>
      <c r="P86" s="55"/>
      <c r="Q86" s="55"/>
      <c r="R86" s="55"/>
      <c r="S86" s="55"/>
      <c r="T86" s="55"/>
      <c r="U86" s="55"/>
      <c r="V86" s="55"/>
      <c r="W86" s="55"/>
      <c r="X86" s="97"/>
    </row>
    <row r="87" spans="1:24">
      <c r="A87" s="93">
        <v>17.5</v>
      </c>
      <c r="B87" s="59">
        <v>5.5246200393075075E-2</v>
      </c>
      <c r="C87" s="51">
        <v>17.5</v>
      </c>
      <c r="D87" s="58">
        <v>0</v>
      </c>
      <c r="E87" s="58">
        <v>0</v>
      </c>
      <c r="F87" s="58">
        <v>3.9758406538158611E-2</v>
      </c>
      <c r="G87" s="58">
        <v>3.6278764048041943E-2</v>
      </c>
      <c r="H87" s="51">
        <v>17.5</v>
      </c>
      <c r="I87" s="58">
        <v>0.3089276870903645</v>
      </c>
      <c r="J87" s="51">
        <v>17.5</v>
      </c>
      <c r="K87" s="59">
        <v>0.59177224475434587</v>
      </c>
      <c r="L87" s="62"/>
      <c r="M87" s="62"/>
      <c r="N87" s="62"/>
      <c r="O87" s="62"/>
      <c r="P87" s="62"/>
      <c r="Q87" s="62"/>
      <c r="R87" s="62"/>
      <c r="S87" s="62"/>
      <c r="T87" s="62"/>
      <c r="U87" s="62"/>
      <c r="V87" s="62"/>
      <c r="W87" s="62"/>
      <c r="X87" s="97"/>
    </row>
    <row r="88" spans="1:24">
      <c r="A88" s="93">
        <v>21</v>
      </c>
      <c r="B88" s="59">
        <v>0.10336624863769239</v>
      </c>
      <c r="C88" s="51">
        <v>21</v>
      </c>
      <c r="D88" s="58">
        <v>0</v>
      </c>
      <c r="E88" s="58">
        <v>0</v>
      </c>
      <c r="F88" s="58">
        <v>4.618068114127493E-2</v>
      </c>
      <c r="G88" s="58">
        <v>5.3166953275351196E-2</v>
      </c>
      <c r="H88" s="51">
        <v>22.5</v>
      </c>
      <c r="I88" s="58">
        <v>0.38982185228263794</v>
      </c>
      <c r="J88" s="51">
        <v>22.5</v>
      </c>
      <c r="K88" s="59">
        <v>0.67543002580930533</v>
      </c>
      <c r="L88" s="95"/>
      <c r="M88" s="95"/>
      <c r="N88" s="95"/>
      <c r="O88" s="95"/>
      <c r="P88" s="95"/>
      <c r="Q88" s="95"/>
      <c r="R88" s="95"/>
      <c r="S88" s="95"/>
      <c r="T88" s="95"/>
      <c r="U88" s="95"/>
      <c r="V88" s="95"/>
      <c r="W88" s="95"/>
      <c r="X88" s="97"/>
    </row>
    <row r="89" spans="1:24">
      <c r="A89" s="93">
        <v>22.5</v>
      </c>
      <c r="B89" s="59">
        <v>0.10630070807910719</v>
      </c>
      <c r="C89" s="51">
        <v>22.5</v>
      </c>
      <c r="D89" s="58">
        <v>6.0805294745938529E-2</v>
      </c>
      <c r="E89" s="58">
        <v>4.2722109685312565E-2</v>
      </c>
      <c r="F89" s="58">
        <v>6.1110832332095619E-2</v>
      </c>
      <c r="G89" s="58">
        <v>7.2752505603320056E-2</v>
      </c>
      <c r="H89" s="51">
        <v>27.5</v>
      </c>
      <c r="I89" s="58">
        <v>0.46079552769026638</v>
      </c>
      <c r="J89" s="51">
        <v>27.5</v>
      </c>
      <c r="K89" s="59">
        <v>0.74187611307232371</v>
      </c>
      <c r="L89" s="55" t="s">
        <v>23</v>
      </c>
      <c r="M89" s="55" t="s">
        <v>23</v>
      </c>
      <c r="N89" s="55" t="s">
        <v>23</v>
      </c>
      <c r="O89" s="55" t="s">
        <v>23</v>
      </c>
      <c r="P89" s="55" t="s">
        <v>23</v>
      </c>
      <c r="Q89" s="55" t="s">
        <v>23</v>
      </c>
      <c r="R89" s="55" t="s">
        <v>23</v>
      </c>
      <c r="S89" s="55" t="s">
        <v>23</v>
      </c>
      <c r="T89" s="55" t="s">
        <v>23</v>
      </c>
      <c r="U89" s="55" t="s">
        <v>23</v>
      </c>
      <c r="V89" s="55" t="s">
        <v>23</v>
      </c>
      <c r="W89" s="55" t="s">
        <v>23</v>
      </c>
      <c r="X89" s="97"/>
    </row>
    <row r="90" spans="1:24">
      <c r="A90" s="93">
        <v>24</v>
      </c>
      <c r="B90" s="59">
        <v>0.11229415029119311</v>
      </c>
      <c r="C90" s="51">
        <v>24</v>
      </c>
      <c r="D90" s="58">
        <v>6.0812011157177437E-2</v>
      </c>
      <c r="E90" s="58">
        <v>4.2725157276159338E-2</v>
      </c>
      <c r="F90" s="58">
        <v>7.0504249909696753E-2</v>
      </c>
      <c r="G90" s="58">
        <v>8.4144867868492262E-2</v>
      </c>
      <c r="H90" s="51">
        <v>34</v>
      </c>
      <c r="I90" s="58">
        <v>0.55469581665971057</v>
      </c>
      <c r="J90" s="51">
        <v>34</v>
      </c>
      <c r="K90" s="59">
        <v>0.80572527013588746</v>
      </c>
      <c r="L90" s="55"/>
      <c r="M90" s="55"/>
      <c r="N90" s="55"/>
      <c r="O90" s="55"/>
      <c r="P90" s="55"/>
      <c r="Q90" s="55"/>
      <c r="R90" s="55"/>
      <c r="S90" s="55"/>
      <c r="T90" s="55"/>
      <c r="U90" s="55"/>
      <c r="V90" s="55"/>
      <c r="W90" s="55"/>
      <c r="X90" s="97"/>
    </row>
    <row r="91" spans="1:24">
      <c r="A91" s="93">
        <v>27.5</v>
      </c>
      <c r="B91" s="59">
        <v>0.13456343305947144</v>
      </c>
      <c r="C91" s="51">
        <v>27.5</v>
      </c>
      <c r="D91" s="58">
        <v>6.9852005977734916E-2</v>
      </c>
      <c r="E91" s="58">
        <v>4.9638495494730324E-2</v>
      </c>
      <c r="F91" s="58">
        <v>0.11344253287860405</v>
      </c>
      <c r="G91" s="58">
        <v>0.11817769883433427</v>
      </c>
      <c r="H91" s="51">
        <v>41.5</v>
      </c>
      <c r="I91" s="58">
        <v>0.62746918577262634</v>
      </c>
      <c r="J91" s="51">
        <v>41.5</v>
      </c>
      <c r="K91" s="59">
        <v>0.84909824302295978</v>
      </c>
      <c r="L91" s="62"/>
      <c r="M91" s="62"/>
      <c r="N91" s="62"/>
      <c r="O91" s="62"/>
      <c r="P91" s="62"/>
      <c r="Q91" s="62"/>
      <c r="R91" s="62"/>
      <c r="S91" s="62"/>
      <c r="T91" s="62"/>
      <c r="U91" s="62"/>
      <c r="V91" s="62"/>
      <c r="W91" s="62"/>
      <c r="X91" s="97"/>
    </row>
    <row r="92" spans="1:24">
      <c r="A92" s="93">
        <v>34</v>
      </c>
      <c r="B92" s="59">
        <v>0.17687687250874451</v>
      </c>
      <c r="C92" s="51">
        <v>34</v>
      </c>
      <c r="D92" s="58">
        <v>0.10269153853330071</v>
      </c>
      <c r="E92" s="58">
        <v>7.4118514958415704E-2</v>
      </c>
      <c r="F92" s="58">
        <v>0.15186463523666383</v>
      </c>
      <c r="G92" s="58">
        <v>0.16832224675520491</v>
      </c>
      <c r="H92" s="51">
        <v>49</v>
      </c>
      <c r="I92" s="58">
        <v>0.69102354857484427</v>
      </c>
      <c r="J92" s="51">
        <v>49</v>
      </c>
      <c r="K92" s="59">
        <v>0.88988892118062801</v>
      </c>
      <c r="L92" s="95"/>
      <c r="M92" s="95"/>
      <c r="N92" s="95"/>
      <c r="O92" s="95"/>
      <c r="P92" s="95"/>
      <c r="Q92" s="95"/>
      <c r="R92" s="95"/>
      <c r="S92" s="95"/>
      <c r="T92" s="95"/>
      <c r="U92" s="95"/>
      <c r="V92" s="95"/>
      <c r="W92" s="95"/>
      <c r="X92" s="97"/>
    </row>
    <row r="93" spans="1:24">
      <c r="A93" s="93">
        <v>41.5</v>
      </c>
      <c r="B93" s="59">
        <v>0.22745518337625484</v>
      </c>
      <c r="C93" s="51">
        <v>41.5</v>
      </c>
      <c r="D93" s="58">
        <v>0.15246370631266692</v>
      </c>
      <c r="E93" s="58">
        <v>0.11119844493202312</v>
      </c>
      <c r="F93" s="58">
        <v>0.1975471480653988</v>
      </c>
      <c r="G93" s="58">
        <v>0.20454798252093723</v>
      </c>
      <c r="H93" s="51">
        <v>64</v>
      </c>
      <c r="I93" s="58">
        <v>0.82647077778795375</v>
      </c>
      <c r="J93" s="51">
        <v>64</v>
      </c>
      <c r="K93" s="59">
        <v>0.95017816508856001</v>
      </c>
      <c r="L93" s="95"/>
      <c r="M93" s="95"/>
      <c r="N93" s="95"/>
      <c r="O93" s="95"/>
      <c r="P93" s="95"/>
      <c r="Q93" s="95"/>
      <c r="R93" s="95"/>
      <c r="S93" s="95"/>
      <c r="T93" s="95"/>
      <c r="U93" s="95"/>
      <c r="V93" s="95"/>
      <c r="W93" s="95"/>
      <c r="X93" s="97"/>
    </row>
    <row r="94" spans="1:24">
      <c r="A94" s="93">
        <v>49</v>
      </c>
      <c r="B94" s="59">
        <v>0.26147909525192076</v>
      </c>
      <c r="C94" s="51">
        <v>49</v>
      </c>
      <c r="D94" s="58">
        <v>0.18026007741036743</v>
      </c>
      <c r="E94" s="58">
        <v>0.1322844095757128</v>
      </c>
      <c r="F94" s="58">
        <v>0.23720373461621042</v>
      </c>
      <c r="G94" s="58">
        <v>0.25063489369902187</v>
      </c>
      <c r="H94" s="51">
        <v>77.5</v>
      </c>
      <c r="I94" s="58">
        <v>0.84902379158552788</v>
      </c>
      <c r="J94" s="51">
        <v>77.5</v>
      </c>
      <c r="K94" s="59">
        <v>0.96280137108307418</v>
      </c>
      <c r="L94" s="95"/>
      <c r="M94" s="95"/>
      <c r="N94" s="95"/>
      <c r="O94" s="95"/>
      <c r="P94" s="95"/>
      <c r="Q94" s="95"/>
      <c r="R94" s="95"/>
      <c r="S94" s="95"/>
      <c r="T94" s="95"/>
      <c r="U94" s="95"/>
      <c r="V94" s="95"/>
      <c r="W94" s="95"/>
      <c r="X94" s="97"/>
    </row>
    <row r="95" spans="1:24">
      <c r="A95" s="93">
        <v>59</v>
      </c>
      <c r="B95" s="59">
        <v>0.31340026144701638</v>
      </c>
      <c r="C95" s="51">
        <v>59</v>
      </c>
      <c r="D95" s="58">
        <v>0.22916430694184206</v>
      </c>
      <c r="E95" s="58">
        <v>0.16777804485039516</v>
      </c>
      <c r="F95" s="58">
        <v>0.29268133519203143</v>
      </c>
      <c r="G95" s="58">
        <v>0.29774359534569911</v>
      </c>
      <c r="H95" s="51">
        <v>85</v>
      </c>
      <c r="I95" s="58">
        <v>0.89703381560273221</v>
      </c>
      <c r="J95" s="51">
        <v>85</v>
      </c>
      <c r="K95" s="59">
        <v>0.97104708165058384</v>
      </c>
      <c r="L95" s="95"/>
      <c r="M95" s="95"/>
      <c r="N95" s="55"/>
      <c r="O95" s="55"/>
      <c r="P95" s="55"/>
      <c r="Q95" s="55"/>
      <c r="R95" s="55"/>
      <c r="S95" s="55"/>
      <c r="T95" s="55"/>
      <c r="U95" s="55"/>
      <c r="V95" s="55"/>
      <c r="W95" s="55"/>
      <c r="X95" s="97"/>
    </row>
    <row r="96" spans="1:24">
      <c r="A96" s="93">
        <v>70</v>
      </c>
      <c r="B96" s="59">
        <v>0.35446466181753156</v>
      </c>
      <c r="C96" s="51">
        <v>70</v>
      </c>
      <c r="D96" s="58">
        <v>0.26848407901362892</v>
      </c>
      <c r="E96" s="58">
        <v>0.19777257869523016</v>
      </c>
      <c r="F96" s="58">
        <v>0.33708731530081454</v>
      </c>
      <c r="G96" s="58">
        <v>0.33809479857322444</v>
      </c>
      <c r="H96" s="51">
        <v>92.5</v>
      </c>
      <c r="I96" s="58">
        <v>0.9102653348515275</v>
      </c>
      <c r="J96" s="51">
        <v>92.5</v>
      </c>
      <c r="K96" s="59">
        <v>0.9734252572599108</v>
      </c>
      <c r="L96" s="55"/>
      <c r="M96" s="55"/>
      <c r="N96" s="55"/>
      <c r="O96" s="55"/>
      <c r="P96" s="55"/>
      <c r="Q96" s="55"/>
      <c r="R96" s="55"/>
      <c r="S96" s="55"/>
      <c r="T96" s="55"/>
      <c r="U96" s="55"/>
      <c r="V96" s="55"/>
      <c r="W96" s="95"/>
      <c r="X96" s="97"/>
    </row>
    <row r="97" spans="1:24">
      <c r="A97" s="93">
        <v>77.5</v>
      </c>
      <c r="B97" s="59">
        <v>0.37052523008918825</v>
      </c>
      <c r="C97" s="51">
        <v>77.5</v>
      </c>
      <c r="D97" s="58">
        <v>0.28358311395790831</v>
      </c>
      <c r="E97" s="58">
        <v>0.2096757669036797</v>
      </c>
      <c r="F97" s="58">
        <v>0.35487215937137651</v>
      </c>
      <c r="G97" s="58">
        <v>0.35531781466586237</v>
      </c>
      <c r="H97" s="51">
        <v>97.5</v>
      </c>
      <c r="I97" s="58">
        <v>0.92082042729102642</v>
      </c>
      <c r="J97" s="51">
        <v>97.5</v>
      </c>
      <c r="K97" s="59">
        <v>0.98538096192096836</v>
      </c>
      <c r="L97" s="95"/>
      <c r="M97" s="95"/>
      <c r="N97" s="62"/>
      <c r="O97" s="62"/>
      <c r="P97" s="62"/>
      <c r="Q97" s="62"/>
      <c r="R97" s="62"/>
      <c r="S97" s="62"/>
      <c r="T97" s="62"/>
      <c r="U97" s="62"/>
      <c r="V97" s="62"/>
      <c r="W97" s="95"/>
      <c r="X97" s="97"/>
    </row>
    <row r="98" spans="1:24">
      <c r="A98" s="93">
        <v>85</v>
      </c>
      <c r="B98" s="59">
        <v>0.40118605681302155</v>
      </c>
      <c r="C98" s="51">
        <v>85</v>
      </c>
      <c r="D98" s="58">
        <v>0.30991638435914531</v>
      </c>
      <c r="E98" s="58">
        <v>0.22941287323145237</v>
      </c>
      <c r="F98" s="58">
        <v>0.39130367353021067</v>
      </c>
      <c r="G98" s="58">
        <v>0.41449536942747695</v>
      </c>
      <c r="H98" s="51">
        <v>102.5</v>
      </c>
      <c r="I98" s="58">
        <v>0.93531563601072387</v>
      </c>
      <c r="J98" s="51">
        <v>102.5</v>
      </c>
      <c r="K98" s="59">
        <v>0.9871668578668249</v>
      </c>
      <c r="L98" s="95"/>
      <c r="M98" s="95"/>
      <c r="N98" s="55"/>
      <c r="O98" s="55"/>
      <c r="P98" s="55"/>
      <c r="Q98" s="55"/>
      <c r="R98" s="55"/>
      <c r="S98" s="55"/>
      <c r="T98" s="55"/>
      <c r="U98" s="55"/>
      <c r="V98" s="55"/>
      <c r="W98" s="95"/>
      <c r="X98" s="97"/>
    </row>
    <row r="99" spans="1:24">
      <c r="A99" s="93">
        <v>92.5</v>
      </c>
      <c r="B99" s="59">
        <v>0.41302470902401206</v>
      </c>
      <c r="C99" s="51">
        <v>92.5</v>
      </c>
      <c r="D99" s="58">
        <v>0.32115277408881093</v>
      </c>
      <c r="E99" s="58">
        <v>0.2381057111917454</v>
      </c>
      <c r="F99" s="58">
        <v>0.40480802717613923</v>
      </c>
      <c r="G99" s="58">
        <v>0.44107511149188566</v>
      </c>
      <c r="H99" s="51">
        <v>107.5</v>
      </c>
      <c r="I99" s="58">
        <v>0.94297457075439928</v>
      </c>
      <c r="J99" s="51">
        <v>107.5</v>
      </c>
      <c r="K99" s="59">
        <v>0.9871668578668249</v>
      </c>
      <c r="L99" s="95"/>
      <c r="M99" s="95"/>
      <c r="N99" s="62"/>
      <c r="O99" s="62"/>
      <c r="P99" s="62"/>
      <c r="Q99" s="62"/>
      <c r="R99" s="62"/>
      <c r="S99" s="62"/>
      <c r="T99" s="62"/>
      <c r="U99" s="62"/>
      <c r="V99" s="62"/>
      <c r="W99" s="95"/>
      <c r="X99" s="97"/>
    </row>
    <row r="100" spans="1:24">
      <c r="A100" s="93">
        <v>97.5</v>
      </c>
      <c r="B100" s="59">
        <v>0.42322256148538767</v>
      </c>
      <c r="C100" s="51">
        <v>97.5</v>
      </c>
      <c r="D100" s="58">
        <v>0.33032653973745235</v>
      </c>
      <c r="E100" s="58">
        <v>0.24607418886663385</v>
      </c>
      <c r="F100" s="58">
        <v>0.42329241079993862</v>
      </c>
      <c r="G100" s="58">
        <v>0.45729201080538767</v>
      </c>
      <c r="H100" s="51">
        <v>112.5</v>
      </c>
      <c r="I100" s="58">
        <v>0.94875983394134666</v>
      </c>
      <c r="J100" s="51">
        <v>112.5</v>
      </c>
      <c r="K100" s="59">
        <v>0.98957790985273242</v>
      </c>
      <c r="L100" s="95"/>
      <c r="M100" s="95"/>
      <c r="N100" s="95"/>
      <c r="O100" s="95"/>
      <c r="P100" s="95"/>
      <c r="Q100" s="95"/>
      <c r="R100" s="95"/>
      <c r="S100" s="95"/>
      <c r="T100" s="95"/>
      <c r="U100" s="95"/>
      <c r="V100" s="95"/>
      <c r="W100" s="95"/>
      <c r="X100" s="97"/>
    </row>
    <row r="101" spans="1:24">
      <c r="A101" s="93">
        <v>102.5</v>
      </c>
      <c r="B101" s="59">
        <v>0.43278125328516948</v>
      </c>
      <c r="C101" s="51">
        <v>102.5</v>
      </c>
      <c r="D101" s="58">
        <v>0.33860381802440337</v>
      </c>
      <c r="E101" s="58">
        <v>0.25246702685419403</v>
      </c>
      <c r="F101" s="58">
        <v>0.4349604700158643</v>
      </c>
      <c r="G101" s="58">
        <v>0.47493778236382228</v>
      </c>
      <c r="H101" s="51">
        <v>117.5</v>
      </c>
      <c r="I101" s="58">
        <v>0.95315712299235267</v>
      </c>
      <c r="J101" s="51">
        <v>117.5</v>
      </c>
      <c r="K101" s="59">
        <v>0.98957790985273242</v>
      </c>
      <c r="L101" s="95"/>
      <c r="M101" s="95"/>
      <c r="N101" s="95"/>
      <c r="O101" s="95"/>
      <c r="P101" s="95"/>
      <c r="Q101" s="95"/>
      <c r="R101" s="95"/>
      <c r="S101" s="95"/>
      <c r="T101" s="95"/>
      <c r="U101" s="95"/>
      <c r="V101" s="95"/>
      <c r="W101" s="95"/>
      <c r="X101" s="97"/>
    </row>
    <row r="102" spans="1:24">
      <c r="A102" s="93">
        <v>107.5</v>
      </c>
      <c r="B102" s="59">
        <v>0.44212756248231755</v>
      </c>
      <c r="C102" s="51">
        <v>107.5</v>
      </c>
      <c r="D102" s="58">
        <v>0.34928476018081528</v>
      </c>
      <c r="E102" s="58">
        <v>0.25815866525622017</v>
      </c>
      <c r="F102" s="58">
        <v>0.44278448961200884</v>
      </c>
      <c r="G102" s="58">
        <v>0.49190205706087492</v>
      </c>
      <c r="H102" s="51">
        <v>122.5</v>
      </c>
      <c r="I102" s="58">
        <v>0.95551555058918702</v>
      </c>
      <c r="J102" s="51">
        <v>122.5</v>
      </c>
      <c r="K102" s="59">
        <v>0.99176692084982732</v>
      </c>
      <c r="L102" s="95"/>
      <c r="M102" s="95"/>
      <c r="N102" s="95"/>
      <c r="O102" s="95"/>
      <c r="P102" s="95"/>
      <c r="Q102" s="95"/>
      <c r="R102" s="95"/>
      <c r="S102" s="95"/>
      <c r="T102" s="95"/>
      <c r="U102" s="95"/>
      <c r="V102" s="95"/>
      <c r="W102" s="95"/>
      <c r="X102" s="97"/>
    </row>
    <row r="103" spans="1:24">
      <c r="A103" s="93">
        <v>112.5</v>
      </c>
      <c r="B103" s="59">
        <v>0.45053143408973734</v>
      </c>
      <c r="C103" s="51">
        <v>112.5</v>
      </c>
      <c r="D103" s="58">
        <v>0.35598225413446011</v>
      </c>
      <c r="E103" s="58">
        <v>0.26599651915919653</v>
      </c>
      <c r="F103" s="58">
        <v>0.45538157802303708</v>
      </c>
      <c r="G103" s="58">
        <v>0.53367327233578965</v>
      </c>
      <c r="H103" s="51">
        <v>137.5</v>
      </c>
      <c r="I103" s="58">
        <v>0.97856053156597123</v>
      </c>
      <c r="J103" s="51">
        <v>137.5</v>
      </c>
      <c r="K103" s="59">
        <v>0.99676342387074612</v>
      </c>
      <c r="L103" s="95"/>
      <c r="M103" s="95"/>
      <c r="N103" s="95"/>
      <c r="O103" s="95"/>
      <c r="P103" s="95"/>
      <c r="Q103" s="95"/>
      <c r="R103" s="95"/>
      <c r="S103" s="95"/>
      <c r="T103" s="95"/>
      <c r="U103" s="95"/>
      <c r="V103" s="95"/>
      <c r="W103" s="95"/>
      <c r="X103" s="97"/>
    </row>
    <row r="104" spans="1:24" ht="16" thickBot="1">
      <c r="A104" s="93">
        <v>117.5</v>
      </c>
      <c r="B104" s="59">
        <v>0.45911811154158871</v>
      </c>
      <c r="C104" s="51">
        <v>117.5</v>
      </c>
      <c r="D104" s="58">
        <v>0.36511872914724336</v>
      </c>
      <c r="E104" s="58">
        <v>0.27466292430419226</v>
      </c>
      <c r="F104" s="58">
        <v>0.46189319209431778</v>
      </c>
      <c r="G104" s="58">
        <v>0.55783392647732233</v>
      </c>
      <c r="H104" s="51">
        <v>225</v>
      </c>
      <c r="I104" s="58">
        <v>1</v>
      </c>
      <c r="J104" s="51">
        <v>225</v>
      </c>
      <c r="K104" s="59">
        <v>1</v>
      </c>
      <c r="L104" s="95"/>
      <c r="M104" s="95"/>
      <c r="N104" s="95"/>
      <c r="O104" s="95"/>
      <c r="P104" s="95"/>
      <c r="Q104" s="95"/>
      <c r="R104" s="95"/>
      <c r="S104" s="95"/>
      <c r="T104" s="95"/>
      <c r="U104" s="95"/>
      <c r="V104" s="95"/>
      <c r="W104" s="95"/>
      <c r="X104" s="97"/>
    </row>
    <row r="105" spans="1:24" ht="16" thickBot="1">
      <c r="A105" s="93">
        <v>122.5</v>
      </c>
      <c r="B105" s="59">
        <v>0.46420537908215104</v>
      </c>
      <c r="C105" s="51">
        <v>122.5</v>
      </c>
      <c r="D105" s="58">
        <v>0.36849529319996738</v>
      </c>
      <c r="E105" s="58">
        <v>0.28283169660543001</v>
      </c>
      <c r="F105" s="58">
        <v>0.47059010833573883</v>
      </c>
      <c r="G105" s="58">
        <v>0.58037034692478451</v>
      </c>
      <c r="H105" s="51">
        <v>300</v>
      </c>
      <c r="I105" s="58">
        <v>1</v>
      </c>
      <c r="J105" s="51">
        <v>300</v>
      </c>
      <c r="K105" s="59">
        <v>1</v>
      </c>
      <c r="O105" s="95"/>
      <c r="P105" s="95"/>
      <c r="Q105" s="512" t="s">
        <v>120</v>
      </c>
      <c r="R105" s="513"/>
      <c r="S105" s="514"/>
      <c r="T105" s="95"/>
      <c r="U105" s="95"/>
      <c r="V105" s="95"/>
      <c r="W105" s="95"/>
      <c r="X105" s="97"/>
    </row>
    <row r="106" spans="1:24">
      <c r="A106" s="93">
        <v>137.5</v>
      </c>
      <c r="B106" s="59">
        <v>0.50572855227118418</v>
      </c>
      <c r="C106" s="51">
        <v>137.5</v>
      </c>
      <c r="D106" s="58">
        <v>0.40636256348026306</v>
      </c>
      <c r="E106" s="58">
        <v>0.3249191837427961</v>
      </c>
      <c r="F106" s="58">
        <v>0.53384933247195754</v>
      </c>
      <c r="G106" s="58">
        <v>0.71501095731772357</v>
      </c>
      <c r="H106" s="54"/>
      <c r="I106" s="55"/>
      <c r="J106" s="51"/>
      <c r="K106" s="95"/>
      <c r="O106" s="95"/>
      <c r="P106" s="95"/>
      <c r="Q106" s="94" t="s">
        <v>97</v>
      </c>
      <c r="R106" s="95">
        <v>520</v>
      </c>
      <c r="S106" s="20">
        <v>0.85</v>
      </c>
      <c r="T106" s="95"/>
      <c r="U106" s="95"/>
      <c r="V106" s="95"/>
      <c r="W106" s="95"/>
      <c r="X106" s="97"/>
    </row>
    <row r="107" spans="1:24">
      <c r="A107" s="93">
        <v>225</v>
      </c>
      <c r="B107" s="59">
        <v>0.64846491432965259</v>
      </c>
      <c r="C107" s="51">
        <v>225</v>
      </c>
      <c r="D107" s="58">
        <v>0.56246128542409179</v>
      </c>
      <c r="E107" s="58">
        <v>0.4803829639630729</v>
      </c>
      <c r="F107" s="58">
        <v>0.7597007193345866</v>
      </c>
      <c r="G107" s="58">
        <v>0.95029979689296795</v>
      </c>
      <c r="H107" s="54"/>
      <c r="I107" s="55"/>
      <c r="J107" s="51"/>
      <c r="K107" s="95"/>
      <c r="O107" s="95"/>
      <c r="P107" s="95"/>
      <c r="Q107" s="99" t="s">
        <v>59</v>
      </c>
      <c r="R107" s="95">
        <v>595</v>
      </c>
      <c r="S107" s="20">
        <v>0.85</v>
      </c>
      <c r="T107" s="95"/>
      <c r="U107" s="95"/>
      <c r="V107" s="95"/>
      <c r="W107" s="95"/>
      <c r="X107" s="97"/>
    </row>
    <row r="108" spans="1:24">
      <c r="A108" s="93">
        <v>350</v>
      </c>
      <c r="B108" s="59">
        <v>0.75974267254050731</v>
      </c>
      <c r="C108" s="51">
        <v>350</v>
      </c>
      <c r="D108" s="58">
        <v>0.71438567519220664</v>
      </c>
      <c r="E108" s="58">
        <v>0.58196980594107228</v>
      </c>
      <c r="F108" s="58">
        <v>0.85738447199414514</v>
      </c>
      <c r="G108" s="58">
        <v>1</v>
      </c>
      <c r="H108" s="54"/>
      <c r="I108" s="55"/>
      <c r="J108" s="51"/>
      <c r="K108" s="95"/>
      <c r="O108" s="95"/>
      <c r="P108" s="95"/>
      <c r="Q108" s="99" t="s">
        <v>60</v>
      </c>
      <c r="R108" s="95">
        <v>610</v>
      </c>
      <c r="S108" s="20">
        <v>0.85</v>
      </c>
      <c r="T108" s="95"/>
      <c r="U108" s="95"/>
      <c r="V108" s="95"/>
      <c r="W108" s="95"/>
      <c r="X108" s="97"/>
    </row>
    <row r="109" spans="1:24">
      <c r="A109" s="93">
        <v>450</v>
      </c>
      <c r="B109" s="59">
        <v>0.80639148811508954</v>
      </c>
      <c r="C109" s="54">
        <v>450</v>
      </c>
      <c r="D109" s="58">
        <v>0.77219530244438095</v>
      </c>
      <c r="E109" s="58">
        <v>0.64319532328072371</v>
      </c>
      <c r="F109" s="58">
        <v>0.90925896555017793</v>
      </c>
      <c r="G109" s="58">
        <v>1</v>
      </c>
      <c r="H109" s="61"/>
      <c r="I109" s="62"/>
      <c r="J109" s="51"/>
      <c r="K109" s="95"/>
      <c r="O109" s="95"/>
      <c r="P109" s="95"/>
      <c r="Q109" s="99" t="s">
        <v>61</v>
      </c>
      <c r="R109" s="95">
        <v>340</v>
      </c>
      <c r="S109" s="20">
        <v>0.85</v>
      </c>
      <c r="T109" s="95"/>
      <c r="U109" s="95"/>
      <c r="V109" s="95"/>
      <c r="W109" s="95"/>
      <c r="X109" s="97"/>
    </row>
    <row r="110" spans="1:24">
      <c r="A110" s="93">
        <v>750</v>
      </c>
      <c r="B110" s="59">
        <v>0.93381545297540181</v>
      </c>
      <c r="C110" s="51">
        <v>750</v>
      </c>
      <c r="D110" s="58">
        <v>0.90170610412900543</v>
      </c>
      <c r="E110" s="58">
        <v>0.93149417829415715</v>
      </c>
      <c r="F110" s="58">
        <v>1</v>
      </c>
      <c r="G110" s="58">
        <v>1</v>
      </c>
      <c r="H110" s="51"/>
      <c r="I110" s="95"/>
      <c r="J110" s="51"/>
      <c r="K110" s="95"/>
      <c r="O110" s="95"/>
      <c r="P110" s="95"/>
      <c r="Q110" s="99" t="s">
        <v>62</v>
      </c>
      <c r="R110" s="95">
        <v>175</v>
      </c>
      <c r="S110" s="20">
        <v>0.85</v>
      </c>
      <c r="T110" s="95"/>
      <c r="U110" s="95"/>
      <c r="V110" s="95"/>
      <c r="W110" s="95"/>
      <c r="X110" s="97"/>
    </row>
    <row r="111" spans="1:24">
      <c r="A111" s="93">
        <v>1500</v>
      </c>
      <c r="B111" s="57">
        <v>1</v>
      </c>
      <c r="C111" s="51">
        <v>1500</v>
      </c>
      <c r="D111" s="58">
        <v>1</v>
      </c>
      <c r="E111" s="58">
        <v>1</v>
      </c>
      <c r="F111" s="58">
        <v>1</v>
      </c>
      <c r="G111" s="58">
        <v>1</v>
      </c>
      <c r="H111" s="54" t="s">
        <v>23</v>
      </c>
      <c r="I111" s="55" t="s">
        <v>23</v>
      </c>
      <c r="J111" s="51"/>
      <c r="K111" s="95"/>
      <c r="O111" s="95"/>
      <c r="P111" s="95"/>
      <c r="Q111" s="99" t="s">
        <v>63</v>
      </c>
      <c r="R111" s="95">
        <v>75</v>
      </c>
      <c r="S111" s="20">
        <v>0.85</v>
      </c>
      <c r="T111" s="95"/>
      <c r="U111" s="95"/>
      <c r="V111" s="95"/>
      <c r="W111" s="95"/>
      <c r="X111" s="97"/>
    </row>
    <row r="112" spans="1:24" ht="16" thickBot="1">
      <c r="A112" s="56">
        <v>3000</v>
      </c>
      <c r="B112" s="57">
        <v>1</v>
      </c>
      <c r="C112" s="51">
        <v>3000</v>
      </c>
      <c r="D112" s="58">
        <v>1</v>
      </c>
      <c r="E112" s="58">
        <v>1</v>
      </c>
      <c r="F112" s="58">
        <v>1</v>
      </c>
      <c r="G112" s="58">
        <v>1</v>
      </c>
      <c r="H112" s="54"/>
      <c r="I112" s="55"/>
      <c r="J112" s="51"/>
      <c r="K112" s="95"/>
      <c r="O112" s="95"/>
      <c r="P112" s="95"/>
      <c r="Q112" s="21" t="s">
        <v>98</v>
      </c>
      <c r="R112" s="22">
        <v>42</v>
      </c>
      <c r="S112" s="23">
        <v>0.85</v>
      </c>
      <c r="T112" s="95"/>
      <c r="U112" s="95"/>
      <c r="V112" s="95"/>
      <c r="W112" s="95"/>
      <c r="X112" s="97"/>
    </row>
    <row r="113" spans="1:24" ht="16" thickBot="1">
      <c r="A113" s="63">
        <v>5350</v>
      </c>
      <c r="B113" s="64">
        <v>1</v>
      </c>
      <c r="C113" s="65">
        <v>5350</v>
      </c>
      <c r="D113" s="68">
        <v>1</v>
      </c>
      <c r="E113" s="68">
        <v>1</v>
      </c>
      <c r="F113" s="68">
        <v>1</v>
      </c>
      <c r="G113" s="68">
        <v>1</v>
      </c>
      <c r="H113" s="69"/>
      <c r="I113" s="70"/>
      <c r="J113" s="65"/>
      <c r="K113" s="96"/>
      <c r="L113" s="96"/>
      <c r="M113" s="96"/>
      <c r="N113" s="96"/>
      <c r="O113" s="96"/>
      <c r="P113" s="96"/>
      <c r="Q113" s="96"/>
      <c r="R113" s="96"/>
      <c r="S113" s="96"/>
      <c r="T113" s="96"/>
      <c r="U113" s="96"/>
      <c r="V113" s="96"/>
      <c r="W113" s="96"/>
      <c r="X113" s="98"/>
    </row>
    <row r="114" spans="1:24" ht="16" thickBot="1"/>
    <row r="115" spans="1:24" ht="19">
      <c r="A115" s="515" t="s">
        <v>22</v>
      </c>
      <c r="B115" s="516"/>
      <c r="C115" s="516"/>
      <c r="D115" s="516"/>
      <c r="E115" s="516"/>
      <c r="F115" s="516"/>
      <c r="G115" s="516"/>
      <c r="H115" s="516"/>
      <c r="I115" s="516"/>
      <c r="J115" s="516"/>
      <c r="K115" s="516"/>
      <c r="L115" s="516"/>
      <c r="M115" s="516"/>
      <c r="N115" s="516"/>
      <c r="O115" s="516"/>
      <c r="P115" s="516"/>
      <c r="Q115" s="516"/>
      <c r="R115" s="516"/>
      <c r="S115" s="516"/>
      <c r="T115" s="516"/>
      <c r="U115" s="516"/>
      <c r="V115" s="516"/>
      <c r="W115" s="516"/>
      <c r="X115" s="517"/>
    </row>
    <row r="116" spans="1:24">
      <c r="A116" s="93"/>
      <c r="B116" s="95"/>
      <c r="C116" s="51"/>
      <c r="D116" s="95"/>
      <c r="E116" s="95"/>
      <c r="F116" s="95"/>
      <c r="G116" s="95"/>
      <c r="H116" s="51"/>
      <c r="I116" s="95"/>
      <c r="J116" s="51"/>
      <c r="K116" s="95"/>
      <c r="L116" s="95"/>
      <c r="M116" s="95"/>
      <c r="N116" s="95"/>
      <c r="O116" s="95"/>
      <c r="P116" s="95"/>
      <c r="Q116" s="95"/>
      <c r="R116" s="95"/>
      <c r="S116" s="95"/>
      <c r="T116" s="95"/>
      <c r="U116" s="95"/>
      <c r="V116" s="95"/>
      <c r="W116" s="95"/>
      <c r="X116" s="97"/>
    </row>
    <row r="117" spans="1:24">
      <c r="A117" s="93" t="s">
        <v>58</v>
      </c>
      <c r="B117" s="51" t="s">
        <v>44</v>
      </c>
      <c r="C117" s="51" t="s">
        <v>58</v>
      </c>
      <c r="D117" s="52" t="s">
        <v>8</v>
      </c>
      <c r="E117" s="53" t="s">
        <v>7</v>
      </c>
      <c r="F117" s="52" t="s">
        <v>6</v>
      </c>
      <c r="G117" s="53" t="s">
        <v>5</v>
      </c>
      <c r="H117" s="54"/>
      <c r="I117" s="52" t="s">
        <v>4</v>
      </c>
      <c r="J117" s="51"/>
      <c r="K117" s="52" t="s">
        <v>29</v>
      </c>
      <c r="L117" s="95"/>
      <c r="M117" s="95"/>
      <c r="N117" s="95"/>
      <c r="O117" s="95"/>
      <c r="P117" s="95"/>
      <c r="Q117" s="95"/>
      <c r="R117" s="95"/>
      <c r="S117" s="95"/>
      <c r="T117" s="95"/>
      <c r="U117" s="95"/>
      <c r="V117" s="95"/>
      <c r="W117" s="95"/>
      <c r="X117" s="97"/>
    </row>
    <row r="118" spans="1:24">
      <c r="A118" s="56" t="s">
        <v>57</v>
      </c>
      <c r="B118" s="51" t="s">
        <v>55</v>
      </c>
      <c r="C118" s="54" t="s">
        <v>57</v>
      </c>
      <c r="D118" s="51" t="s">
        <v>55</v>
      </c>
      <c r="E118" s="51" t="s">
        <v>55</v>
      </c>
      <c r="F118" s="51" t="s">
        <v>55</v>
      </c>
      <c r="G118" s="51" t="s">
        <v>55</v>
      </c>
      <c r="H118" s="54" t="s">
        <v>57</v>
      </c>
      <c r="I118" s="51" t="s">
        <v>55</v>
      </c>
      <c r="J118" s="54" t="s">
        <v>57</v>
      </c>
      <c r="K118" s="51" t="s">
        <v>55</v>
      </c>
      <c r="L118" s="95"/>
      <c r="M118" s="95"/>
      <c r="N118" s="95"/>
      <c r="O118" s="95"/>
      <c r="P118" s="95"/>
      <c r="Q118" s="95"/>
      <c r="R118" s="95"/>
      <c r="S118" s="95"/>
      <c r="T118" s="95"/>
      <c r="U118" s="95"/>
      <c r="V118" s="95"/>
      <c r="W118" s="95"/>
      <c r="X118" s="97"/>
    </row>
    <row r="119" spans="1:24">
      <c r="A119" s="56">
        <v>0.5</v>
      </c>
      <c r="B119" s="57">
        <v>0</v>
      </c>
      <c r="C119" s="51">
        <v>0.5</v>
      </c>
      <c r="D119" s="58">
        <v>0</v>
      </c>
      <c r="E119" s="58">
        <v>0</v>
      </c>
      <c r="F119" s="58">
        <v>0</v>
      </c>
      <c r="G119" s="58">
        <v>0</v>
      </c>
      <c r="H119" s="51">
        <v>0.5</v>
      </c>
      <c r="I119" s="58">
        <v>0</v>
      </c>
      <c r="J119" s="51">
        <v>0.5</v>
      </c>
      <c r="K119" s="59">
        <v>0</v>
      </c>
      <c r="L119" s="95"/>
      <c r="M119" s="95"/>
      <c r="N119" s="95"/>
      <c r="O119" s="95"/>
      <c r="P119" s="95"/>
      <c r="Q119" s="95"/>
      <c r="R119" s="95"/>
      <c r="S119" s="95"/>
      <c r="T119" s="95"/>
      <c r="U119" s="95"/>
      <c r="V119" s="95"/>
      <c r="W119" s="95"/>
      <c r="X119" s="97"/>
    </row>
    <row r="120" spans="1:24">
      <c r="A120" s="60">
        <v>2</v>
      </c>
      <c r="B120" s="57">
        <v>0</v>
      </c>
      <c r="C120" s="51">
        <v>2</v>
      </c>
      <c r="D120" s="58">
        <v>0</v>
      </c>
      <c r="E120" s="58">
        <v>0</v>
      </c>
      <c r="F120" s="58">
        <v>0</v>
      </c>
      <c r="G120" s="58">
        <v>0</v>
      </c>
      <c r="H120" s="51">
        <v>2</v>
      </c>
      <c r="I120" s="58">
        <v>0</v>
      </c>
      <c r="J120" s="51">
        <v>2</v>
      </c>
      <c r="K120" s="59">
        <v>0</v>
      </c>
      <c r="L120" s="55"/>
      <c r="M120" s="55"/>
      <c r="N120" s="95"/>
      <c r="O120" s="95"/>
      <c r="P120" s="95"/>
      <c r="Q120" s="95"/>
      <c r="R120" s="95"/>
      <c r="S120" s="95"/>
      <c r="T120" s="95"/>
      <c r="U120" s="95"/>
      <c r="V120" s="95"/>
      <c r="W120" s="95"/>
      <c r="X120" s="97"/>
    </row>
    <row r="121" spans="1:24">
      <c r="A121" s="56">
        <v>4</v>
      </c>
      <c r="B121" s="57">
        <v>0</v>
      </c>
      <c r="C121" s="51">
        <v>4</v>
      </c>
      <c r="D121" s="58">
        <v>0</v>
      </c>
      <c r="E121" s="58">
        <v>0</v>
      </c>
      <c r="F121" s="58">
        <v>0</v>
      </c>
      <c r="G121" s="58">
        <v>0</v>
      </c>
      <c r="H121" s="51">
        <v>4</v>
      </c>
      <c r="I121" s="58">
        <v>0</v>
      </c>
      <c r="J121" s="51">
        <v>4</v>
      </c>
      <c r="K121" s="59">
        <v>0.18472801331074917</v>
      </c>
      <c r="L121" s="95"/>
      <c r="M121" s="95"/>
      <c r="N121" s="95"/>
      <c r="O121" s="95"/>
      <c r="P121" s="95"/>
      <c r="Q121" s="95"/>
      <c r="R121" s="95"/>
      <c r="S121" s="95"/>
      <c r="T121" s="95"/>
      <c r="U121" s="95"/>
      <c r="V121" s="95"/>
      <c r="W121" s="95"/>
      <c r="X121" s="97"/>
    </row>
    <row r="122" spans="1:24">
      <c r="A122" s="60">
        <v>6</v>
      </c>
      <c r="B122" s="57">
        <v>1.2584633890436724E-2</v>
      </c>
      <c r="C122" s="51">
        <v>6</v>
      </c>
      <c r="D122" s="58">
        <v>0</v>
      </c>
      <c r="E122" s="58">
        <v>0</v>
      </c>
      <c r="F122" s="58">
        <v>0</v>
      </c>
      <c r="G122" s="58">
        <v>0</v>
      </c>
      <c r="H122" s="51">
        <v>6</v>
      </c>
      <c r="I122" s="58">
        <v>0.10155973324983737</v>
      </c>
      <c r="J122" s="51">
        <v>6</v>
      </c>
      <c r="K122" s="59">
        <v>0.25479708678937402</v>
      </c>
      <c r="L122" s="95"/>
      <c r="M122" s="95"/>
      <c r="N122" s="95"/>
      <c r="O122" s="95"/>
      <c r="P122" s="95"/>
      <c r="Q122" s="95"/>
      <c r="R122" s="95"/>
      <c r="S122" s="95"/>
      <c r="T122" s="95"/>
      <c r="U122" s="95"/>
      <c r="V122" s="95"/>
      <c r="W122" s="95"/>
      <c r="X122" s="97"/>
    </row>
    <row r="123" spans="1:24">
      <c r="A123" s="93">
        <v>8.5</v>
      </c>
      <c r="B123" s="59">
        <v>2.4303410207615624E-2</v>
      </c>
      <c r="C123" s="51">
        <v>8.5</v>
      </c>
      <c r="D123" s="58">
        <v>0</v>
      </c>
      <c r="E123" s="58">
        <v>0</v>
      </c>
      <c r="F123" s="58">
        <v>0</v>
      </c>
      <c r="G123" s="58">
        <v>2.4858054573687664E-2</v>
      </c>
      <c r="H123" s="51">
        <v>8.5</v>
      </c>
      <c r="I123" s="58">
        <v>0.1833615624886471</v>
      </c>
      <c r="J123" s="51">
        <v>8.5</v>
      </c>
      <c r="K123" s="59">
        <v>0.42081441413917675</v>
      </c>
      <c r="L123" s="55"/>
      <c r="M123" s="55"/>
      <c r="N123" s="55"/>
      <c r="O123" s="55"/>
      <c r="P123" s="55"/>
      <c r="Q123" s="55"/>
      <c r="R123" s="55"/>
      <c r="S123" s="55"/>
      <c r="T123" s="55"/>
      <c r="U123" s="55"/>
      <c r="V123" s="55"/>
      <c r="W123" s="55"/>
      <c r="X123" s="97"/>
    </row>
    <row r="124" spans="1:24">
      <c r="A124" s="93">
        <v>12.5</v>
      </c>
      <c r="B124" s="59">
        <v>5.902309231061046E-2</v>
      </c>
      <c r="C124" s="51">
        <v>12.5</v>
      </c>
      <c r="D124" s="58">
        <v>0</v>
      </c>
      <c r="E124" s="58">
        <v>0</v>
      </c>
      <c r="F124" s="58">
        <v>8.8334489460685228E-2</v>
      </c>
      <c r="G124" s="58">
        <v>7.4197731880803461E-2</v>
      </c>
      <c r="H124" s="51">
        <v>12.5</v>
      </c>
      <c r="I124" s="58">
        <v>0.35970767567314954</v>
      </c>
      <c r="J124" s="51">
        <v>12.5</v>
      </c>
      <c r="K124" s="59">
        <v>0.61278088545951404</v>
      </c>
      <c r="L124" s="55"/>
      <c r="M124" s="55"/>
      <c r="N124" s="55"/>
      <c r="O124" s="55"/>
      <c r="P124" s="55"/>
      <c r="Q124" s="55"/>
      <c r="R124" s="55"/>
      <c r="S124" s="55"/>
      <c r="T124" s="55"/>
      <c r="U124" s="55"/>
      <c r="V124" s="55"/>
      <c r="W124" s="55"/>
      <c r="X124" s="97"/>
    </row>
    <row r="125" spans="1:24">
      <c r="A125" s="93">
        <v>17.5</v>
      </c>
      <c r="B125" s="59">
        <v>6.8618487412811929E-2</v>
      </c>
      <c r="C125" s="51">
        <v>17.5</v>
      </c>
      <c r="D125" s="58">
        <v>0</v>
      </c>
      <c r="E125" s="58">
        <v>0</v>
      </c>
      <c r="F125" s="58">
        <v>8.8334489460685228E-2</v>
      </c>
      <c r="G125" s="58">
        <v>9.3840379892827133E-2</v>
      </c>
      <c r="H125" s="51">
        <v>17.5</v>
      </c>
      <c r="I125" s="58">
        <v>0.4998646967286276</v>
      </c>
      <c r="J125" s="51">
        <v>17.5</v>
      </c>
      <c r="K125" s="59">
        <v>0.76611078565373614</v>
      </c>
      <c r="L125" s="62"/>
      <c r="M125" s="62"/>
      <c r="N125" s="62"/>
      <c r="O125" s="62"/>
      <c r="P125" s="62"/>
      <c r="Q125" s="62"/>
      <c r="R125" s="62"/>
      <c r="S125" s="62"/>
      <c r="T125" s="62"/>
      <c r="U125" s="62"/>
      <c r="V125" s="62"/>
      <c r="W125" s="62"/>
      <c r="X125" s="97"/>
    </row>
    <row r="126" spans="1:24">
      <c r="A126" s="93">
        <v>21</v>
      </c>
      <c r="B126" s="59">
        <v>8.1863174246174217E-2</v>
      </c>
      <c r="C126" s="51">
        <v>21</v>
      </c>
      <c r="D126" s="58">
        <v>0</v>
      </c>
      <c r="E126" s="58">
        <v>0</v>
      </c>
      <c r="F126" s="58">
        <v>0.10368836739312422</v>
      </c>
      <c r="G126" s="58">
        <v>0.13360882574857511</v>
      </c>
      <c r="H126" s="51">
        <v>22.5</v>
      </c>
      <c r="I126" s="58">
        <v>0.60636042661422251</v>
      </c>
      <c r="J126" s="51">
        <v>22.5</v>
      </c>
      <c r="K126" s="59">
        <v>0.8594870844399628</v>
      </c>
      <c r="L126" s="95"/>
      <c r="M126" s="95"/>
      <c r="N126" s="95"/>
      <c r="O126" s="95"/>
      <c r="P126" s="95"/>
      <c r="Q126" s="95"/>
      <c r="R126" s="95"/>
      <c r="S126" s="95"/>
      <c r="T126" s="95"/>
      <c r="U126" s="95"/>
      <c r="V126" s="95"/>
      <c r="W126" s="95"/>
      <c r="X126" s="97"/>
    </row>
    <row r="127" spans="1:24">
      <c r="A127" s="93">
        <v>22.5</v>
      </c>
      <c r="B127" s="59">
        <v>0.20477586905722511</v>
      </c>
      <c r="C127" s="51">
        <v>22.5</v>
      </c>
      <c r="D127" s="58">
        <v>0.14818379300601253</v>
      </c>
      <c r="E127" s="58">
        <v>0.16389207158073377</v>
      </c>
      <c r="F127" s="58">
        <v>0.1338430931515881</v>
      </c>
      <c r="G127" s="58">
        <v>0.1779042344630308</v>
      </c>
      <c r="H127" s="51">
        <v>27.5</v>
      </c>
      <c r="I127" s="58">
        <v>0.68936074259954361</v>
      </c>
      <c r="J127" s="51">
        <v>27.5</v>
      </c>
      <c r="K127" s="59">
        <v>0.92017477435055872</v>
      </c>
      <c r="L127" s="55" t="s">
        <v>23</v>
      </c>
      <c r="M127" s="55" t="s">
        <v>23</v>
      </c>
      <c r="N127" s="55" t="s">
        <v>23</v>
      </c>
      <c r="O127" s="55" t="s">
        <v>23</v>
      </c>
      <c r="P127" s="55" t="s">
        <v>23</v>
      </c>
      <c r="Q127" s="55" t="s">
        <v>23</v>
      </c>
      <c r="R127" s="55" t="s">
        <v>23</v>
      </c>
      <c r="S127" s="55" t="s">
        <v>23</v>
      </c>
      <c r="T127" s="55" t="s">
        <v>23</v>
      </c>
      <c r="U127" s="55" t="s">
        <v>23</v>
      </c>
      <c r="V127" s="55" t="s">
        <v>23</v>
      </c>
      <c r="W127" s="55" t="s">
        <v>23</v>
      </c>
      <c r="X127" s="97"/>
    </row>
    <row r="128" spans="1:24">
      <c r="A128" s="93">
        <v>24</v>
      </c>
      <c r="B128" s="59">
        <v>0.21268660927587574</v>
      </c>
      <c r="C128" s="51">
        <v>24</v>
      </c>
      <c r="D128" s="58">
        <v>0.14819733803383023</v>
      </c>
      <c r="E128" s="58">
        <v>0.16389207158073377</v>
      </c>
      <c r="F128" s="58">
        <v>0.14753302436765978</v>
      </c>
      <c r="G128" s="58">
        <v>0.20469311314421731</v>
      </c>
      <c r="H128" s="51">
        <v>34</v>
      </c>
      <c r="I128" s="58">
        <v>0.78512646404579234</v>
      </c>
      <c r="J128" s="51">
        <v>34</v>
      </c>
      <c r="K128" s="59">
        <v>0.95213253260240049</v>
      </c>
      <c r="L128" s="55"/>
      <c r="M128" s="55"/>
      <c r="N128" s="55"/>
      <c r="O128" s="55"/>
      <c r="P128" s="55"/>
      <c r="Q128" s="55"/>
      <c r="R128" s="55"/>
      <c r="S128" s="55"/>
      <c r="T128" s="55"/>
      <c r="U128" s="55"/>
      <c r="V128" s="55"/>
      <c r="W128" s="55"/>
      <c r="X128" s="97"/>
    </row>
    <row r="129" spans="1:24">
      <c r="A129" s="93">
        <v>27.5</v>
      </c>
      <c r="B129" s="59">
        <v>0.25009939315761937</v>
      </c>
      <c r="C129" s="51">
        <v>27.5</v>
      </c>
      <c r="D129" s="58">
        <v>0.16874004322459607</v>
      </c>
      <c r="E129" s="58">
        <v>0.18081398217600353</v>
      </c>
      <c r="F129" s="58">
        <v>0.22785587764855664</v>
      </c>
      <c r="G129" s="58">
        <v>0.28045795400749318</v>
      </c>
      <c r="H129" s="51">
        <v>41.5</v>
      </c>
      <c r="I129" s="58">
        <v>0.8581808052895481</v>
      </c>
      <c r="J129" s="51">
        <v>41.5</v>
      </c>
      <c r="K129" s="59">
        <v>0.97140193254387053</v>
      </c>
      <c r="L129" s="62"/>
      <c r="M129" s="62"/>
      <c r="N129" s="62"/>
      <c r="O129" s="62"/>
      <c r="P129" s="62"/>
      <c r="Q129" s="62"/>
      <c r="R129" s="62"/>
      <c r="S129" s="62"/>
      <c r="T129" s="62"/>
      <c r="U129" s="62"/>
      <c r="V129" s="62"/>
      <c r="W129" s="62"/>
      <c r="X129" s="97"/>
    </row>
    <row r="130" spans="1:24">
      <c r="A130" s="93">
        <v>34</v>
      </c>
      <c r="B130" s="59">
        <v>0.32521496097152042</v>
      </c>
      <c r="C130" s="51">
        <v>34</v>
      </c>
      <c r="D130" s="58">
        <v>0.23904414778534475</v>
      </c>
      <c r="E130" s="58">
        <v>0.23852368866100523</v>
      </c>
      <c r="F130" s="58">
        <v>0.30777602838861751</v>
      </c>
      <c r="G130" s="58">
        <v>0.41300932940900786</v>
      </c>
      <c r="H130" s="51">
        <v>49</v>
      </c>
      <c r="I130" s="58">
        <v>0.89726231316944416</v>
      </c>
      <c r="J130" s="51">
        <v>49</v>
      </c>
      <c r="K130" s="59">
        <v>0.98800505566210939</v>
      </c>
      <c r="L130" s="95"/>
      <c r="M130" s="95"/>
      <c r="N130" s="95"/>
      <c r="O130" s="95"/>
      <c r="P130" s="95"/>
      <c r="Q130" s="95"/>
      <c r="R130" s="95"/>
      <c r="S130" s="95"/>
      <c r="T130" s="95"/>
      <c r="U130" s="95"/>
      <c r="V130" s="95"/>
      <c r="W130" s="95"/>
      <c r="X130" s="97"/>
    </row>
    <row r="131" spans="1:24">
      <c r="A131" s="93">
        <v>41.5</v>
      </c>
      <c r="B131" s="59">
        <v>0.42119470351781796</v>
      </c>
      <c r="C131" s="51">
        <v>41.5</v>
      </c>
      <c r="D131" s="58">
        <v>0.3415217290400856</v>
      </c>
      <c r="E131" s="58">
        <v>0.32986435029319644</v>
      </c>
      <c r="F131" s="58">
        <v>0.40696491231004589</v>
      </c>
      <c r="G131" s="58">
        <v>0.52311891147784007</v>
      </c>
      <c r="H131" s="51">
        <v>64</v>
      </c>
      <c r="I131" s="58">
        <v>0.97649455637515825</v>
      </c>
      <c r="J131" s="51">
        <v>64</v>
      </c>
      <c r="K131" s="59">
        <v>1</v>
      </c>
      <c r="L131" s="95"/>
      <c r="M131" s="95"/>
      <c r="N131" s="95"/>
      <c r="O131" s="95"/>
      <c r="P131" s="95"/>
      <c r="Q131" s="95"/>
      <c r="R131" s="95"/>
      <c r="S131" s="95"/>
      <c r="T131" s="95"/>
      <c r="U131" s="95"/>
      <c r="V131" s="95"/>
      <c r="W131" s="95"/>
      <c r="X131" s="97"/>
    </row>
    <row r="132" spans="1:24">
      <c r="A132" s="93">
        <v>49</v>
      </c>
      <c r="B132" s="59">
        <v>0.48414651298339983</v>
      </c>
      <c r="C132" s="51">
        <v>49</v>
      </c>
      <c r="D132" s="58">
        <v>0.40129296755936417</v>
      </c>
      <c r="E132" s="58">
        <v>0.38472620460584905</v>
      </c>
      <c r="F132" s="58">
        <v>0.50716282310693706</v>
      </c>
      <c r="G132" s="58">
        <v>0.62380170349703323</v>
      </c>
      <c r="H132" s="51">
        <v>77.5</v>
      </c>
      <c r="I132" s="58">
        <v>0.97649455637515825</v>
      </c>
      <c r="J132" s="51">
        <v>77.5</v>
      </c>
      <c r="K132" s="59">
        <v>1</v>
      </c>
      <c r="L132" s="95"/>
      <c r="M132" s="95"/>
      <c r="N132" s="95"/>
      <c r="O132" s="95"/>
      <c r="P132" s="95"/>
      <c r="Q132" s="95"/>
      <c r="R132" s="95"/>
      <c r="S132" s="95"/>
      <c r="T132" s="95"/>
      <c r="U132" s="95"/>
      <c r="V132" s="95"/>
      <c r="W132" s="95"/>
      <c r="X132" s="97"/>
    </row>
    <row r="133" spans="1:24">
      <c r="A133" s="93">
        <v>59</v>
      </c>
      <c r="B133" s="59">
        <v>0.59088427748752614</v>
      </c>
      <c r="C133" s="51">
        <v>59</v>
      </c>
      <c r="D133" s="58">
        <v>0.50033688670771204</v>
      </c>
      <c r="E133" s="58">
        <v>0.48981278877256385</v>
      </c>
      <c r="F133" s="58">
        <v>0.71558970646899767</v>
      </c>
      <c r="G133" s="58">
        <v>0.73555373895239029</v>
      </c>
      <c r="H133" s="51">
        <v>85</v>
      </c>
      <c r="I133" s="58">
        <v>0.98169621003171315</v>
      </c>
      <c r="J133" s="51">
        <v>85</v>
      </c>
      <c r="K133" s="59">
        <v>1</v>
      </c>
      <c r="L133" s="95"/>
      <c r="M133" s="95"/>
      <c r="N133" s="95"/>
      <c r="O133" s="95"/>
      <c r="P133" s="95"/>
      <c r="Q133" s="95"/>
      <c r="R133" s="95"/>
      <c r="S133" s="95"/>
      <c r="T133" s="95"/>
      <c r="U133" s="95"/>
      <c r="V133" s="95"/>
      <c r="W133" s="95"/>
      <c r="X133" s="97"/>
    </row>
    <row r="134" spans="1:24">
      <c r="A134" s="93">
        <v>70</v>
      </c>
      <c r="B134" s="59">
        <v>0.66455080615735318</v>
      </c>
      <c r="C134" s="51">
        <v>70</v>
      </c>
      <c r="D134" s="58">
        <v>0.5766986466452183</v>
      </c>
      <c r="E134" s="58">
        <v>0.57761588110897233</v>
      </c>
      <c r="F134" s="58">
        <v>0.80017663410121087</v>
      </c>
      <c r="G134" s="58">
        <v>0.78811265698762911</v>
      </c>
      <c r="H134" s="51">
        <v>92.5</v>
      </c>
      <c r="I134" s="58">
        <v>0.98169621003171315</v>
      </c>
      <c r="J134" s="51">
        <v>92.5</v>
      </c>
      <c r="K134" s="59">
        <v>1</v>
      </c>
      <c r="L134" s="95"/>
      <c r="M134" s="95"/>
      <c r="N134" s="95"/>
      <c r="O134" s="95"/>
      <c r="P134" s="95"/>
      <c r="Q134" s="95"/>
      <c r="R134" s="95"/>
      <c r="S134" s="95"/>
      <c r="T134" s="95"/>
      <c r="U134" s="95"/>
      <c r="V134" s="95"/>
      <c r="W134" s="95"/>
      <c r="X134" s="97"/>
    </row>
    <row r="135" spans="1:24">
      <c r="A135" s="93">
        <v>77.5</v>
      </c>
      <c r="B135" s="59">
        <v>0.6980432060612568</v>
      </c>
      <c r="C135" s="51">
        <v>77.5</v>
      </c>
      <c r="D135" s="58">
        <v>0.61236008295648858</v>
      </c>
      <c r="E135" s="58">
        <v>0.62053373886673779</v>
      </c>
      <c r="F135" s="58">
        <v>0.83379504320164588</v>
      </c>
      <c r="G135" s="58">
        <v>0.83219534663469441</v>
      </c>
      <c r="H135" s="51">
        <v>97.5</v>
      </c>
      <c r="I135" s="58">
        <v>0.98169621003171315</v>
      </c>
      <c r="J135" s="51">
        <v>97.5</v>
      </c>
      <c r="K135" s="59">
        <v>1</v>
      </c>
      <c r="L135" s="95"/>
      <c r="M135" s="95"/>
      <c r="N135" s="95"/>
      <c r="O135" s="95"/>
      <c r="P135" s="95"/>
      <c r="Q135" s="95"/>
      <c r="R135" s="95"/>
      <c r="S135" s="95"/>
      <c r="T135" s="95"/>
      <c r="U135" s="95"/>
      <c r="V135" s="95"/>
      <c r="W135" s="95"/>
      <c r="X135" s="97"/>
    </row>
    <row r="136" spans="1:24">
      <c r="A136" s="93">
        <v>85</v>
      </c>
      <c r="B136" s="59">
        <v>0.76017505271758234</v>
      </c>
      <c r="C136" s="51">
        <v>85</v>
      </c>
      <c r="D136" s="58">
        <v>0.68198492075908235</v>
      </c>
      <c r="E136" s="58">
        <v>0.68947292903124902</v>
      </c>
      <c r="F136" s="58">
        <v>0.93613714793448521</v>
      </c>
      <c r="G136" s="58">
        <v>0.85579907221235052</v>
      </c>
      <c r="H136" s="51">
        <v>102.5</v>
      </c>
      <c r="I136" s="58">
        <v>0.98169621003171315</v>
      </c>
      <c r="J136" s="51">
        <v>102.5</v>
      </c>
      <c r="K136" s="59">
        <v>1</v>
      </c>
      <c r="L136" s="95"/>
      <c r="M136" s="95"/>
      <c r="N136" s="95"/>
      <c r="O136" s="95"/>
      <c r="P136" s="95"/>
      <c r="Q136" s="95"/>
      <c r="R136" s="95"/>
      <c r="S136" s="95"/>
      <c r="T136" s="95"/>
      <c r="U136" s="95"/>
      <c r="V136" s="95"/>
      <c r="W136" s="95"/>
      <c r="X136" s="97"/>
    </row>
    <row r="137" spans="1:24">
      <c r="A137" s="93">
        <v>92.5</v>
      </c>
      <c r="B137" s="59">
        <v>0.78616653955488125</v>
      </c>
      <c r="C137" s="51">
        <v>92.5</v>
      </c>
      <c r="D137" s="58">
        <v>0.70726107264295635</v>
      </c>
      <c r="E137" s="58">
        <v>0.73163765289878879</v>
      </c>
      <c r="F137" s="58">
        <v>0.96204467059138732</v>
      </c>
      <c r="G137" s="58">
        <v>0.86953749443259609</v>
      </c>
      <c r="H137" s="51">
        <v>107.5</v>
      </c>
      <c r="I137" s="58">
        <v>0.98169621003171315</v>
      </c>
      <c r="J137" s="51">
        <v>107.5</v>
      </c>
      <c r="K137" s="59">
        <v>1</v>
      </c>
      <c r="L137" s="95"/>
      <c r="M137" s="95"/>
      <c r="N137" s="95"/>
      <c r="O137" s="95"/>
      <c r="P137" s="95"/>
      <c r="Q137" s="95"/>
      <c r="R137" s="95"/>
      <c r="S137" s="95"/>
      <c r="T137" s="95"/>
      <c r="U137" s="95"/>
      <c r="V137" s="95"/>
      <c r="W137" s="95"/>
      <c r="X137" s="97"/>
    </row>
    <row r="138" spans="1:24">
      <c r="A138" s="93">
        <v>97.5</v>
      </c>
      <c r="B138" s="59">
        <v>0.80282034877286856</v>
      </c>
      <c r="C138" s="51">
        <v>97.5</v>
      </c>
      <c r="D138" s="58">
        <v>0.72899144050576736</v>
      </c>
      <c r="E138" s="58">
        <v>0.75844719584215425</v>
      </c>
      <c r="F138" s="58">
        <v>0.96236484591615312</v>
      </c>
      <c r="G138" s="58">
        <v>0.86953749443259609</v>
      </c>
      <c r="H138" s="51">
        <v>112.5</v>
      </c>
      <c r="I138" s="58">
        <v>0.98169621003171315</v>
      </c>
      <c r="J138" s="51">
        <v>112.5</v>
      </c>
      <c r="K138" s="59">
        <v>1</v>
      </c>
      <c r="L138" s="95"/>
      <c r="M138" s="95"/>
      <c r="N138" s="95"/>
      <c r="O138" s="95"/>
      <c r="P138" s="95"/>
      <c r="Q138" s="95"/>
      <c r="R138" s="95"/>
      <c r="S138" s="95"/>
      <c r="T138" s="95"/>
      <c r="U138" s="95"/>
      <c r="V138" s="95"/>
      <c r="W138" s="95"/>
      <c r="X138" s="97"/>
    </row>
    <row r="139" spans="1:24">
      <c r="A139" s="93">
        <v>102.5</v>
      </c>
      <c r="B139" s="59">
        <v>0.83358418613848395</v>
      </c>
      <c r="C139" s="51">
        <v>102.5</v>
      </c>
      <c r="D139" s="58">
        <v>0.77850115378991602</v>
      </c>
      <c r="E139" s="58">
        <v>0.788463458303716</v>
      </c>
      <c r="F139" s="58">
        <v>0.96702194154911325</v>
      </c>
      <c r="G139" s="58">
        <v>0.88034678772615338</v>
      </c>
      <c r="H139" s="51">
        <v>117.5</v>
      </c>
      <c r="I139" s="58">
        <v>0.98169621003171315</v>
      </c>
      <c r="J139" s="51">
        <v>117.5</v>
      </c>
      <c r="K139" s="59">
        <v>1</v>
      </c>
      <c r="L139" s="95"/>
      <c r="M139" s="95"/>
      <c r="N139" s="95"/>
      <c r="O139" s="95"/>
      <c r="P139" s="95"/>
      <c r="Q139" s="95"/>
      <c r="R139" s="95"/>
      <c r="S139" s="95"/>
      <c r="T139" s="95"/>
      <c r="U139" s="95"/>
      <c r="V139" s="95"/>
      <c r="W139" s="95"/>
      <c r="X139" s="97"/>
    </row>
    <row r="140" spans="1:24">
      <c r="A140" s="93">
        <v>107.5</v>
      </c>
      <c r="B140" s="59">
        <v>0.84640517760564449</v>
      </c>
      <c r="C140" s="51">
        <v>107.5</v>
      </c>
      <c r="D140" s="58">
        <v>0.79544372853161305</v>
      </c>
      <c r="E140" s="58">
        <v>0.80726147822212346</v>
      </c>
      <c r="F140" s="58">
        <v>0.9708931522940123</v>
      </c>
      <c r="G140" s="58">
        <v>0.88034678772615338</v>
      </c>
      <c r="H140" s="51">
        <v>122.5</v>
      </c>
      <c r="I140" s="58">
        <v>0.98169621003171315</v>
      </c>
      <c r="J140" s="51">
        <v>122.5</v>
      </c>
      <c r="K140" s="59">
        <v>1</v>
      </c>
      <c r="L140" s="95"/>
      <c r="M140" s="95"/>
      <c r="N140" s="95"/>
      <c r="O140" s="95"/>
      <c r="P140" s="95"/>
      <c r="Q140" s="95"/>
      <c r="R140" s="95"/>
      <c r="S140" s="95"/>
      <c r="T140" s="95"/>
      <c r="U140" s="95"/>
      <c r="V140" s="95"/>
      <c r="W140" s="95"/>
      <c r="X140" s="97"/>
    </row>
    <row r="141" spans="1:24">
      <c r="A141" s="93">
        <v>112.5</v>
      </c>
      <c r="B141" s="59">
        <v>0.85714769936845325</v>
      </c>
      <c r="C141" s="51">
        <v>112.5</v>
      </c>
      <c r="D141" s="58">
        <v>0.80543582071055175</v>
      </c>
      <c r="E141" s="58">
        <v>0.81117284866899508</v>
      </c>
      <c r="F141" s="58">
        <v>0.9937711345909177</v>
      </c>
      <c r="G141" s="58">
        <v>0.92480891343076987</v>
      </c>
      <c r="H141" s="51">
        <v>137.5</v>
      </c>
      <c r="I141" s="58">
        <v>1</v>
      </c>
      <c r="J141" s="51">
        <v>137.5</v>
      </c>
      <c r="K141" s="59">
        <v>1</v>
      </c>
      <c r="L141" s="95"/>
      <c r="M141" s="95"/>
      <c r="N141" s="95"/>
      <c r="O141" s="95"/>
      <c r="P141" s="95"/>
      <c r="Q141" s="95"/>
      <c r="R141" s="95"/>
      <c r="S141" s="95"/>
      <c r="T141" s="95"/>
      <c r="U141" s="95"/>
      <c r="V141" s="95"/>
      <c r="W141" s="95"/>
      <c r="X141" s="97"/>
    </row>
    <row r="142" spans="1:24" ht="16" thickBot="1">
      <c r="A142" s="93">
        <v>117.5</v>
      </c>
      <c r="B142" s="59">
        <v>0.86956948427359726</v>
      </c>
      <c r="C142" s="51">
        <v>117.5</v>
      </c>
      <c r="D142" s="58">
        <v>0.81340067372604363</v>
      </c>
      <c r="E142" s="58">
        <v>0.83207969019477424</v>
      </c>
      <c r="F142" s="58">
        <v>1</v>
      </c>
      <c r="G142" s="58">
        <v>0.96697474175295972</v>
      </c>
      <c r="H142" s="51">
        <v>225</v>
      </c>
      <c r="I142" s="58">
        <v>1</v>
      </c>
      <c r="J142" s="51">
        <v>225</v>
      </c>
      <c r="K142" s="59">
        <v>1</v>
      </c>
      <c r="L142" s="95"/>
      <c r="M142" s="95"/>
      <c r="N142" s="95"/>
      <c r="O142" s="95"/>
      <c r="P142" s="95"/>
      <c r="Q142" s="95"/>
      <c r="R142" s="95"/>
      <c r="S142" s="95"/>
      <c r="T142" s="95"/>
      <c r="U142" s="95"/>
      <c r="V142" s="95"/>
      <c r="W142" s="95"/>
      <c r="X142" s="97"/>
    </row>
    <row r="143" spans="1:24" ht="16" thickBot="1">
      <c r="A143" s="93">
        <v>122.5</v>
      </c>
      <c r="B143" s="59">
        <v>0.87884181311832932</v>
      </c>
      <c r="C143" s="51">
        <v>122.5</v>
      </c>
      <c r="D143" s="58">
        <v>0.82972280890534189</v>
      </c>
      <c r="E143" s="58">
        <v>0.84020185981372963</v>
      </c>
      <c r="F143" s="58">
        <v>1</v>
      </c>
      <c r="G143" s="58">
        <v>0.96697474175295972</v>
      </c>
      <c r="H143" s="51">
        <v>300</v>
      </c>
      <c r="I143" s="58">
        <v>1</v>
      </c>
      <c r="J143" s="51">
        <v>300</v>
      </c>
      <c r="K143" s="59">
        <v>1</v>
      </c>
      <c r="O143" s="95"/>
      <c r="P143" s="95"/>
      <c r="Q143" s="512" t="s">
        <v>120</v>
      </c>
      <c r="R143" s="513"/>
      <c r="S143" s="514"/>
      <c r="T143" s="95"/>
      <c r="U143" s="95"/>
      <c r="V143" s="95"/>
      <c r="W143" s="95"/>
      <c r="X143" s="97"/>
    </row>
    <row r="144" spans="1:24">
      <c r="A144" s="93">
        <v>137.5</v>
      </c>
      <c r="B144" s="59">
        <v>0.95993856439556291</v>
      </c>
      <c r="C144" s="51">
        <v>137.5</v>
      </c>
      <c r="D144" s="58">
        <v>0.94820193033107181</v>
      </c>
      <c r="E144" s="58">
        <v>0.94228560723631893</v>
      </c>
      <c r="F144" s="58">
        <v>1</v>
      </c>
      <c r="G144" s="58">
        <v>0.96697474175295972</v>
      </c>
      <c r="H144" s="54"/>
      <c r="I144" s="55"/>
      <c r="J144" s="51"/>
      <c r="K144" s="95"/>
      <c r="O144" s="95"/>
      <c r="P144" s="95"/>
      <c r="Q144" s="94" t="s">
        <v>97</v>
      </c>
      <c r="R144" s="95">
        <v>110</v>
      </c>
      <c r="S144" s="20">
        <v>0.85</v>
      </c>
      <c r="T144" s="95"/>
      <c r="U144" s="95"/>
      <c r="V144" s="95"/>
      <c r="W144" s="95"/>
      <c r="X144" s="97"/>
    </row>
    <row r="145" spans="1:24">
      <c r="A145" s="93">
        <v>225</v>
      </c>
      <c r="B145" s="59">
        <v>1</v>
      </c>
      <c r="C145" s="51">
        <v>225</v>
      </c>
      <c r="D145" s="58">
        <v>1</v>
      </c>
      <c r="E145" s="58">
        <v>1</v>
      </c>
      <c r="F145" s="58">
        <v>1</v>
      </c>
      <c r="G145" s="58">
        <v>1</v>
      </c>
      <c r="H145" s="54"/>
      <c r="I145" s="55"/>
      <c r="J145" s="51"/>
      <c r="K145" s="95"/>
      <c r="O145" s="95"/>
      <c r="P145" s="95"/>
      <c r="Q145" s="99" t="s">
        <v>59</v>
      </c>
      <c r="R145" s="95">
        <v>120</v>
      </c>
      <c r="S145" s="20">
        <v>0.85</v>
      </c>
      <c r="T145" s="95"/>
      <c r="U145" s="95"/>
      <c r="V145" s="95"/>
      <c r="W145" s="95"/>
      <c r="X145" s="97"/>
    </row>
    <row r="146" spans="1:24">
      <c r="A146" s="93">
        <v>350</v>
      </c>
      <c r="B146" s="59">
        <v>1</v>
      </c>
      <c r="C146" s="51">
        <v>350</v>
      </c>
      <c r="D146" s="58">
        <v>1</v>
      </c>
      <c r="E146" s="58">
        <v>1</v>
      </c>
      <c r="F146" s="58">
        <v>1</v>
      </c>
      <c r="G146" s="58">
        <v>1</v>
      </c>
      <c r="H146" s="54"/>
      <c r="I146" s="55"/>
      <c r="J146" s="51"/>
      <c r="K146" s="95"/>
      <c r="O146" s="95"/>
      <c r="P146" s="95"/>
      <c r="Q146" s="99" t="s">
        <v>60</v>
      </c>
      <c r="R146" s="95">
        <v>120</v>
      </c>
      <c r="S146" s="20">
        <v>0.85</v>
      </c>
      <c r="T146" s="95"/>
      <c r="U146" s="95"/>
      <c r="V146" s="95"/>
      <c r="W146" s="95"/>
      <c r="X146" s="97"/>
    </row>
    <row r="147" spans="1:24">
      <c r="A147" s="93">
        <v>450</v>
      </c>
      <c r="B147" s="59">
        <v>1</v>
      </c>
      <c r="C147" s="54">
        <v>450</v>
      </c>
      <c r="D147" s="58">
        <v>1</v>
      </c>
      <c r="E147" s="58">
        <v>1</v>
      </c>
      <c r="F147" s="58">
        <v>1</v>
      </c>
      <c r="G147" s="58">
        <v>1</v>
      </c>
      <c r="H147" s="61"/>
      <c r="I147" s="62"/>
      <c r="J147" s="51"/>
      <c r="K147" s="95"/>
      <c r="O147" s="95"/>
      <c r="P147" s="95"/>
      <c r="Q147" s="99" t="s">
        <v>61</v>
      </c>
      <c r="R147" s="95">
        <v>80</v>
      </c>
      <c r="S147" s="20">
        <v>0.85</v>
      </c>
      <c r="T147" s="95"/>
      <c r="U147" s="95"/>
      <c r="V147" s="95"/>
      <c r="W147" s="95"/>
      <c r="X147" s="97"/>
    </row>
    <row r="148" spans="1:24">
      <c r="A148" s="93">
        <v>750</v>
      </c>
      <c r="B148" s="59">
        <v>1</v>
      </c>
      <c r="C148" s="51">
        <v>750</v>
      </c>
      <c r="D148" s="58">
        <v>1</v>
      </c>
      <c r="E148" s="58">
        <v>1</v>
      </c>
      <c r="F148" s="58">
        <v>1</v>
      </c>
      <c r="G148" s="58">
        <v>1</v>
      </c>
      <c r="H148" s="51"/>
      <c r="I148" s="95"/>
      <c r="J148" s="51"/>
      <c r="K148" s="95"/>
      <c r="O148" s="95"/>
      <c r="P148" s="95"/>
      <c r="Q148" s="99" t="s">
        <v>62</v>
      </c>
      <c r="R148" s="95">
        <v>80</v>
      </c>
      <c r="S148" s="20">
        <v>0.85</v>
      </c>
      <c r="T148" s="95"/>
      <c r="U148" s="95"/>
      <c r="V148" s="95"/>
      <c r="W148" s="95"/>
      <c r="X148" s="97"/>
    </row>
    <row r="149" spans="1:24">
      <c r="A149" s="93">
        <v>1500</v>
      </c>
      <c r="B149" s="57">
        <v>1</v>
      </c>
      <c r="C149" s="51">
        <v>1500</v>
      </c>
      <c r="D149" s="58">
        <v>1</v>
      </c>
      <c r="E149" s="58">
        <v>1</v>
      </c>
      <c r="F149" s="58">
        <v>1</v>
      </c>
      <c r="G149" s="58">
        <v>1</v>
      </c>
      <c r="H149" s="54" t="s">
        <v>23</v>
      </c>
      <c r="I149" s="55" t="s">
        <v>23</v>
      </c>
      <c r="J149" s="51"/>
      <c r="K149" s="95"/>
      <c r="O149" s="95"/>
      <c r="P149" s="95"/>
      <c r="Q149" s="99" t="s">
        <v>63</v>
      </c>
      <c r="R149" s="95">
        <v>42</v>
      </c>
      <c r="S149" s="20">
        <v>0.85</v>
      </c>
      <c r="T149" s="95"/>
      <c r="U149" s="95"/>
      <c r="V149" s="95"/>
      <c r="W149" s="95"/>
      <c r="X149" s="97"/>
    </row>
    <row r="150" spans="1:24" ht="16" thickBot="1">
      <c r="A150" s="56">
        <v>3000</v>
      </c>
      <c r="B150" s="57">
        <v>1</v>
      </c>
      <c r="C150" s="51">
        <v>3000</v>
      </c>
      <c r="D150" s="58">
        <v>1</v>
      </c>
      <c r="E150" s="58">
        <v>1</v>
      </c>
      <c r="F150" s="58">
        <v>1</v>
      </c>
      <c r="G150" s="58">
        <v>1</v>
      </c>
      <c r="H150" s="54"/>
      <c r="I150" s="55"/>
      <c r="J150" s="51"/>
      <c r="K150" s="95"/>
      <c r="O150" s="95"/>
      <c r="P150" s="95"/>
      <c r="Q150" s="21" t="s">
        <v>98</v>
      </c>
      <c r="R150" s="22">
        <v>22</v>
      </c>
      <c r="S150" s="23">
        <v>0.85</v>
      </c>
      <c r="T150" s="95"/>
      <c r="U150" s="95"/>
      <c r="V150" s="95"/>
      <c r="W150" s="95"/>
      <c r="X150" s="97"/>
    </row>
    <row r="151" spans="1:24" ht="16" thickBot="1">
      <c r="A151" s="63">
        <v>5350</v>
      </c>
      <c r="B151" s="64">
        <v>1</v>
      </c>
      <c r="C151" s="65">
        <v>5350</v>
      </c>
      <c r="D151" s="68">
        <v>1</v>
      </c>
      <c r="E151" s="68">
        <v>1</v>
      </c>
      <c r="F151" s="68">
        <v>1</v>
      </c>
      <c r="G151" s="68">
        <v>1</v>
      </c>
      <c r="H151" s="69"/>
      <c r="I151" s="70"/>
      <c r="J151" s="65"/>
      <c r="K151" s="96"/>
      <c r="L151" s="96"/>
      <c r="M151" s="96"/>
      <c r="N151" s="96"/>
      <c r="O151" s="96"/>
      <c r="P151" s="96"/>
      <c r="Q151" s="96"/>
      <c r="R151" s="96"/>
      <c r="S151" s="96"/>
      <c r="T151" s="96"/>
      <c r="U151" s="96"/>
      <c r="V151" s="96"/>
      <c r="W151" s="96"/>
      <c r="X151" s="98"/>
    </row>
  </sheetData>
  <mergeCells count="8">
    <mergeCell ref="Q143:S143"/>
    <mergeCell ref="Q105:S105"/>
    <mergeCell ref="Q66:S66"/>
    <mergeCell ref="Q28:S28"/>
    <mergeCell ref="A2:X2"/>
    <mergeCell ref="A40:X40"/>
    <mergeCell ref="A78:X78"/>
    <mergeCell ref="A115:X11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B49FA-5D97-BA40-87A7-303A1805F36F}">
  <dimension ref="A1:AK99"/>
  <sheetViews>
    <sheetView zoomScale="84" zoomScaleNormal="64" workbookViewId="0"/>
  </sheetViews>
  <sheetFormatPr baseColWidth="10" defaultColWidth="8.83203125" defaultRowHeight="15"/>
  <cols>
    <col min="1" max="1" width="30.5" style="100" bestFit="1" customWidth="1"/>
    <col min="2" max="2" width="22.6640625" style="100" customWidth="1"/>
    <col min="3" max="3" width="23.83203125" style="100" customWidth="1"/>
    <col min="4" max="4" width="18.6640625" style="100" customWidth="1"/>
    <col min="5" max="5" width="17.1640625" style="100" bestFit="1" customWidth="1"/>
    <col min="6" max="6" width="20.1640625" style="100" customWidth="1"/>
    <col min="7" max="7" width="16" style="100" bestFit="1" customWidth="1"/>
    <col min="8" max="8" width="11.6640625" style="100" bestFit="1" customWidth="1"/>
    <col min="9" max="9" width="14.1640625" style="100" bestFit="1" customWidth="1"/>
    <col min="10" max="10" width="13.6640625" style="100" bestFit="1" customWidth="1"/>
    <col min="11" max="11" width="15.33203125" style="100" bestFit="1" customWidth="1"/>
    <col min="12" max="12" width="12.1640625" style="100" bestFit="1" customWidth="1"/>
    <col min="13" max="13" width="11.5" style="100" bestFit="1" customWidth="1"/>
    <col min="14" max="17" width="8.83203125" style="100"/>
    <col min="18" max="18" width="32.6640625" style="100" bestFit="1" customWidth="1"/>
    <col min="19" max="21" width="8.83203125" style="100"/>
    <col min="22" max="22" width="14.5" style="100" bestFit="1" customWidth="1"/>
    <col min="23" max="23" width="14.33203125" style="100" bestFit="1" customWidth="1"/>
    <col min="24" max="16384" width="8.83203125" style="100"/>
  </cols>
  <sheetData>
    <row r="1" spans="1:30" ht="16" thickBot="1"/>
    <row r="2" spans="1:30" ht="16" thickBot="1">
      <c r="A2" s="523" t="s">
        <v>246</v>
      </c>
      <c r="B2" s="524"/>
      <c r="C2" s="524"/>
      <c r="D2" s="524"/>
      <c r="E2" s="524"/>
      <c r="F2" s="524"/>
      <c r="G2" s="524"/>
      <c r="H2" s="524"/>
      <c r="I2" s="524"/>
      <c r="J2" s="524"/>
      <c r="K2" s="524"/>
      <c r="L2" s="524"/>
      <c r="M2" s="524"/>
      <c r="N2" s="525"/>
      <c r="O2" s="103"/>
    </row>
    <row r="3" spans="1:30">
      <c r="A3" s="56"/>
      <c r="B3" s="61" t="s">
        <v>23</v>
      </c>
      <c r="C3" s="527" t="s">
        <v>152</v>
      </c>
      <c r="D3" s="527"/>
      <c r="E3" s="527"/>
      <c r="F3" s="527"/>
      <c r="G3" s="527"/>
      <c r="H3" s="527"/>
      <c r="I3" s="527"/>
      <c r="J3" s="527"/>
      <c r="K3" s="527"/>
      <c r="L3" s="527"/>
      <c r="M3" s="527"/>
      <c r="N3" s="528"/>
      <c r="O3" s="104"/>
    </row>
    <row r="4" spans="1:30">
      <c r="A4" s="56" t="s">
        <v>23</v>
      </c>
      <c r="B4" s="61" t="s">
        <v>23</v>
      </c>
      <c r="C4" s="61" t="s">
        <v>153</v>
      </c>
      <c r="D4" s="61" t="s">
        <v>154</v>
      </c>
      <c r="E4" s="61" t="s">
        <v>155</v>
      </c>
      <c r="F4" s="61" t="s">
        <v>156</v>
      </c>
      <c r="G4" s="61" t="s">
        <v>157</v>
      </c>
      <c r="H4" s="61" t="s">
        <v>158</v>
      </c>
      <c r="I4" s="61" t="s">
        <v>159</v>
      </c>
      <c r="J4" s="61" t="s">
        <v>160</v>
      </c>
      <c r="K4" s="61" t="s">
        <v>161</v>
      </c>
      <c r="L4" s="61" t="s">
        <v>162</v>
      </c>
      <c r="M4" s="61" t="s">
        <v>163</v>
      </c>
      <c r="N4" s="144" t="s">
        <v>164</v>
      </c>
      <c r="O4" s="105"/>
    </row>
    <row r="5" spans="1:30">
      <c r="A5" s="532" t="s">
        <v>165</v>
      </c>
      <c r="B5" s="61" t="s">
        <v>8</v>
      </c>
      <c r="C5" s="196">
        <v>0</v>
      </c>
      <c r="D5" s="196">
        <v>0.37961810717123501</v>
      </c>
      <c r="E5" s="196">
        <v>0.25123163809386401</v>
      </c>
      <c r="F5" s="196">
        <v>0.103604178439275</v>
      </c>
      <c r="G5" s="196">
        <v>9.5640187648643404E-2</v>
      </c>
      <c r="H5" s="196">
        <v>3.9503295815895199E-2</v>
      </c>
      <c r="I5" s="196">
        <v>0.13040259283108699</v>
      </c>
      <c r="J5" s="196">
        <v>0</v>
      </c>
      <c r="K5" s="196">
        <v>0</v>
      </c>
      <c r="L5" s="196">
        <v>0</v>
      </c>
      <c r="M5" s="196">
        <v>0</v>
      </c>
      <c r="N5" s="197">
        <v>0</v>
      </c>
      <c r="O5" s="120"/>
      <c r="P5" s="107"/>
      <c r="Q5" s="107"/>
    </row>
    <row r="6" spans="1:30">
      <c r="A6" s="532"/>
      <c r="B6" s="145" t="s">
        <v>7</v>
      </c>
      <c r="C6" s="196">
        <v>0</v>
      </c>
      <c r="D6" s="196">
        <v>0.26732881396399499</v>
      </c>
      <c r="E6" s="196">
        <v>0.17859036809925399</v>
      </c>
      <c r="F6" s="196">
        <v>0.110831312017907</v>
      </c>
      <c r="G6" s="196">
        <v>9.8525013131165989E-2</v>
      </c>
      <c r="H6" s="196">
        <v>9.4166507681713293E-2</v>
      </c>
      <c r="I6" s="196">
        <v>5.0683821482807805E-2</v>
      </c>
      <c r="J6" s="196">
        <v>3.6738289350481901E-2</v>
      </c>
      <c r="K6" s="196">
        <v>6.2997118827321799E-2</v>
      </c>
      <c r="L6" s="196">
        <v>4.4672025488636899E-2</v>
      </c>
      <c r="M6" s="196">
        <v>5.5466729956717399E-2</v>
      </c>
      <c r="N6" s="197">
        <v>0</v>
      </c>
      <c r="O6" s="120"/>
      <c r="P6" s="107"/>
      <c r="Q6" s="107"/>
    </row>
    <row r="7" spans="1:30">
      <c r="A7" s="532"/>
      <c r="B7" s="61" t="s">
        <v>6</v>
      </c>
      <c r="C7" s="196">
        <v>0</v>
      </c>
      <c r="D7" s="196">
        <v>0.17198407108036801</v>
      </c>
      <c r="E7" s="196">
        <v>0.12743449739516699</v>
      </c>
      <c r="F7" s="196">
        <v>9.9379354365978209E-2</v>
      </c>
      <c r="G7" s="196">
        <v>9.5351389140120493E-2</v>
      </c>
      <c r="H7" s="196">
        <v>8.1856563920944703E-2</v>
      </c>
      <c r="I7" s="196">
        <v>5.8835429476933501E-2</v>
      </c>
      <c r="J7" s="196">
        <v>5.45103350208909E-2</v>
      </c>
      <c r="K7" s="196">
        <v>4.6975533292095903E-2</v>
      </c>
      <c r="L7" s="196">
        <v>9.4941942789193309E-2</v>
      </c>
      <c r="M7" s="196">
        <v>0.16873088351831</v>
      </c>
      <c r="N7" s="197">
        <v>0</v>
      </c>
      <c r="O7" s="120"/>
      <c r="P7" s="107"/>
      <c r="Q7" s="107"/>
    </row>
    <row r="8" spans="1:30">
      <c r="A8" s="532"/>
      <c r="B8" s="61" t="s">
        <v>5</v>
      </c>
      <c r="C8" s="196">
        <v>0</v>
      </c>
      <c r="D8" s="196">
        <v>0.105708946827112</v>
      </c>
      <c r="E8" s="196">
        <v>9.4929647458564401E-2</v>
      </c>
      <c r="F8" s="196">
        <v>7.3867272521868796E-2</v>
      </c>
      <c r="G8" s="196">
        <v>6.0885135236106301E-2</v>
      </c>
      <c r="H8" s="196">
        <v>4.7191870785282794E-2</v>
      </c>
      <c r="I8" s="196">
        <v>4.2311563698167499E-2</v>
      </c>
      <c r="J8" s="196">
        <v>7.09465675692076E-2</v>
      </c>
      <c r="K8" s="196">
        <v>4.1139399713680198E-2</v>
      </c>
      <c r="L8" s="196">
        <v>0.11391819328835</v>
      </c>
      <c r="M8" s="196">
        <v>0.34323338096557299</v>
      </c>
      <c r="N8" s="197">
        <v>5.8680219360854402E-3</v>
      </c>
      <c r="O8" s="120"/>
      <c r="P8" s="107"/>
      <c r="Q8" s="107"/>
    </row>
    <row r="9" spans="1:30">
      <c r="A9" s="532"/>
      <c r="B9" s="61" t="s">
        <v>4</v>
      </c>
      <c r="C9" s="196">
        <v>0</v>
      </c>
      <c r="D9" s="196">
        <v>3.4085562553528299E-2</v>
      </c>
      <c r="E9" s="196">
        <v>3.7321876629319205E-2</v>
      </c>
      <c r="F9" s="196">
        <v>3.0904467125836298E-2</v>
      </c>
      <c r="G9" s="196">
        <v>3.0259079871178499E-2</v>
      </c>
      <c r="H9" s="196">
        <v>3.2715188122332102E-2</v>
      </c>
      <c r="I9" s="196">
        <v>3.4092393361074398E-2</v>
      </c>
      <c r="J9" s="196">
        <v>5.0049255996179598E-2</v>
      </c>
      <c r="K9" s="196">
        <v>7.2887643277249892E-2</v>
      </c>
      <c r="L9" s="196">
        <v>0.15842528892350599</v>
      </c>
      <c r="M9" s="196">
        <v>0.39871379083981601</v>
      </c>
      <c r="N9" s="197">
        <v>0.12054545329978099</v>
      </c>
      <c r="O9" s="120"/>
      <c r="P9" s="107"/>
      <c r="Q9" s="107"/>
    </row>
    <row r="10" spans="1:30" ht="16" thickBot="1">
      <c r="A10" s="533"/>
      <c r="B10" s="69" t="s">
        <v>166</v>
      </c>
      <c r="C10" s="198">
        <v>0</v>
      </c>
      <c r="D10" s="198">
        <v>0.27417479836947301</v>
      </c>
      <c r="E10" s="198">
        <v>0.18714112606797101</v>
      </c>
      <c r="F10" s="198">
        <v>9.1608536596815601E-2</v>
      </c>
      <c r="G10" s="198">
        <v>8.4100986109485007E-2</v>
      </c>
      <c r="H10" s="198">
        <v>5.0366000090344205E-2</v>
      </c>
      <c r="I10" s="198">
        <v>9.2595051906813997E-2</v>
      </c>
      <c r="J10" s="198">
        <v>2.2905306111128499E-2</v>
      </c>
      <c r="K10" s="198">
        <v>2.6110045312773299E-2</v>
      </c>
      <c r="L10" s="198">
        <v>4.6508129183320299E-2</v>
      </c>
      <c r="M10" s="198">
        <v>0.107393231981885</v>
      </c>
      <c r="N10" s="199">
        <v>1.7096788269962998E-2</v>
      </c>
      <c r="O10" s="120"/>
      <c r="P10" s="107"/>
      <c r="Q10" s="107"/>
    </row>
    <row r="11" spans="1:30" ht="16" thickBot="1">
      <c r="B11" s="104"/>
      <c r="C11" s="105"/>
      <c r="D11" s="105"/>
      <c r="E11" s="105"/>
      <c r="F11" s="105"/>
      <c r="G11" s="105"/>
      <c r="H11" s="105"/>
      <c r="I11" s="105"/>
      <c r="J11" s="105"/>
      <c r="K11" s="105"/>
      <c r="L11" s="105"/>
      <c r="M11" s="105"/>
      <c r="N11" s="105"/>
      <c r="O11" s="103"/>
    </row>
    <row r="12" spans="1:30">
      <c r="A12" s="495" t="s">
        <v>167</v>
      </c>
      <c r="B12" s="505" t="s">
        <v>8</v>
      </c>
      <c r="C12" s="505"/>
      <c r="D12" s="505" t="s">
        <v>7</v>
      </c>
      <c r="E12" s="505"/>
      <c r="F12" s="505" t="s">
        <v>6</v>
      </c>
      <c r="G12" s="505"/>
      <c r="H12" s="505" t="s">
        <v>5</v>
      </c>
      <c r="I12" s="505"/>
      <c r="J12" s="505" t="s">
        <v>4</v>
      </c>
      <c r="K12" s="526"/>
      <c r="L12" s="119"/>
    </row>
    <row r="13" spans="1:30">
      <c r="A13" s="531"/>
      <c r="B13" s="136" t="s">
        <v>202</v>
      </c>
      <c r="C13" s="136" t="s">
        <v>169</v>
      </c>
      <c r="D13" s="137" t="s">
        <v>202</v>
      </c>
      <c r="E13" s="136" t="s">
        <v>169</v>
      </c>
      <c r="F13" s="137" t="s">
        <v>202</v>
      </c>
      <c r="G13" s="136" t="s">
        <v>169</v>
      </c>
      <c r="H13" s="137" t="s">
        <v>202</v>
      </c>
      <c r="I13" s="136" t="s">
        <v>169</v>
      </c>
      <c r="J13" s="137" t="s">
        <v>202</v>
      </c>
      <c r="K13" s="138" t="s">
        <v>169</v>
      </c>
      <c r="L13" s="119"/>
    </row>
    <row r="14" spans="1:30">
      <c r="A14" s="139">
        <v>0</v>
      </c>
      <c r="B14" s="128">
        <v>2265.5736045746698</v>
      </c>
      <c r="C14" s="127">
        <v>21</v>
      </c>
      <c r="D14" s="140">
        <v>1161.9085302245301</v>
      </c>
      <c r="E14" s="127">
        <v>250</v>
      </c>
      <c r="F14" s="127">
        <v>454.26812327217402</v>
      </c>
      <c r="G14" s="127">
        <v>377</v>
      </c>
      <c r="H14" s="140">
        <v>177.500579480976</v>
      </c>
      <c r="I14" s="127">
        <v>2861</v>
      </c>
      <c r="J14" s="140">
        <v>22.0127589970065</v>
      </c>
      <c r="K14" s="129">
        <v>162122</v>
      </c>
      <c r="AD14" s="105"/>
    </row>
    <row r="15" spans="1:30">
      <c r="A15" s="130">
        <v>0.05</v>
      </c>
      <c r="B15" s="122">
        <v>3228.67146812705</v>
      </c>
      <c r="C15" s="121">
        <v>0.84285714285714286</v>
      </c>
      <c r="D15" s="62">
        <v>1366.00117014123</v>
      </c>
      <c r="E15" s="121">
        <v>0.84342857142857142</v>
      </c>
      <c r="F15" s="121">
        <v>511.33278658432499</v>
      </c>
      <c r="G15" s="121">
        <v>0.79533678756476689</v>
      </c>
      <c r="H15" s="62">
        <v>203.991151297774</v>
      </c>
      <c r="I15" s="121">
        <v>0.7152020525978191</v>
      </c>
      <c r="J15" s="62">
        <v>54.134092300649499</v>
      </c>
      <c r="K15" s="123">
        <v>0.12965301277842314</v>
      </c>
      <c r="AD15" s="105"/>
    </row>
    <row r="16" spans="1:30">
      <c r="A16" s="130">
        <v>0.15000000000000002</v>
      </c>
      <c r="B16" s="122">
        <v>3159.3003573443698</v>
      </c>
      <c r="C16" s="121">
        <v>8.2142857142857142E-2</v>
      </c>
      <c r="D16" s="62">
        <v>1306.3366325258601</v>
      </c>
      <c r="E16" s="121">
        <v>7.4285714285714288E-2</v>
      </c>
      <c r="F16" s="121">
        <v>479.19949324993098</v>
      </c>
      <c r="G16" s="121">
        <v>8.2901554404145081E-2</v>
      </c>
      <c r="H16" s="62">
        <v>195.45130119688099</v>
      </c>
      <c r="I16" s="121">
        <v>9.3649775497113535E-2</v>
      </c>
      <c r="J16" s="62">
        <v>31.337072758036999</v>
      </c>
      <c r="K16" s="123">
        <v>9.0257083691095516E-2</v>
      </c>
      <c r="AD16" s="105"/>
    </row>
    <row r="17" spans="1:37">
      <c r="A17" s="130">
        <v>0.25</v>
      </c>
      <c r="B17" s="122">
        <v>2170.6927041341301</v>
      </c>
      <c r="C17" s="121">
        <v>3.5714285714285712E-2</v>
      </c>
      <c r="D17" s="62">
        <v>1287.4084569950001</v>
      </c>
      <c r="E17" s="121">
        <v>2.9714285714285714E-2</v>
      </c>
      <c r="F17" s="121">
        <v>412.882653061224</v>
      </c>
      <c r="G17" s="121">
        <v>4.4041450777202069E-2</v>
      </c>
      <c r="H17" s="62">
        <v>199.19677141289901</v>
      </c>
      <c r="I17" s="121">
        <v>4.2976266837716486E-2</v>
      </c>
      <c r="J17" s="62">
        <v>28.910181219110299</v>
      </c>
      <c r="K17" s="123">
        <v>4.8992373352189506E-2</v>
      </c>
      <c r="P17" s="103"/>
      <c r="Q17" s="104"/>
      <c r="R17" s="105"/>
      <c r="S17" s="105"/>
      <c r="T17" s="105"/>
      <c r="U17" s="105"/>
      <c r="V17" s="105"/>
      <c r="W17" s="105"/>
      <c r="X17" s="105"/>
      <c r="Y17" s="105"/>
      <c r="Z17" s="105"/>
      <c r="AA17" s="105"/>
      <c r="AB17" s="105"/>
      <c r="AC17" s="105"/>
      <c r="AD17" s="105"/>
    </row>
    <row r="18" spans="1:37">
      <c r="A18" s="130">
        <v>0.35</v>
      </c>
      <c r="B18" s="122">
        <v>2800.5976324560402</v>
      </c>
      <c r="C18" s="121">
        <v>1.7857142857142856E-2</v>
      </c>
      <c r="D18" s="62">
        <v>1324.7566452767101</v>
      </c>
      <c r="E18" s="121">
        <v>1.8285714285714287E-2</v>
      </c>
      <c r="F18" s="121">
        <v>488.346653346653</v>
      </c>
      <c r="G18" s="121">
        <v>2.3316062176165803E-2</v>
      </c>
      <c r="H18" s="62">
        <v>211.39871850880999</v>
      </c>
      <c r="I18" s="121">
        <v>2.4374599101988453E-2</v>
      </c>
      <c r="J18" s="62">
        <v>21.320144734336498</v>
      </c>
      <c r="K18" s="123">
        <v>6.0811152078387797E-2</v>
      </c>
      <c r="P18" s="103"/>
      <c r="Q18" s="104"/>
      <c r="R18" s="105"/>
      <c r="S18" s="105"/>
      <c r="T18" s="105"/>
      <c r="U18" s="105"/>
      <c r="V18" s="105"/>
      <c r="W18" s="105"/>
      <c r="X18" s="105"/>
      <c r="Y18" s="105"/>
      <c r="Z18" s="105"/>
      <c r="AA18" s="105"/>
      <c r="AB18" s="105"/>
      <c r="AC18" s="105"/>
      <c r="AD18" s="105"/>
    </row>
    <row r="19" spans="1:37">
      <c r="A19" s="130">
        <v>0.45</v>
      </c>
      <c r="B19" s="122">
        <v>1926.0204081632701</v>
      </c>
      <c r="C19" s="121">
        <v>7.1428571428571426E-3</v>
      </c>
      <c r="D19" s="62">
        <v>1565.55430571179</v>
      </c>
      <c r="E19" s="121">
        <v>9.1428571428571435E-3</v>
      </c>
      <c r="F19" s="121">
        <v>568.42105263157896</v>
      </c>
      <c r="G19" s="121">
        <v>1.5544041450777202E-2</v>
      </c>
      <c r="H19" s="62">
        <v>174.37512700670601</v>
      </c>
      <c r="I19" s="121">
        <v>1.9243104554201411E-2</v>
      </c>
      <c r="J19" s="62">
        <v>24.7519141663502</v>
      </c>
      <c r="K19" s="123">
        <v>2.0809131774332038E-2</v>
      </c>
      <c r="P19" s="103"/>
      <c r="Q19" s="104"/>
      <c r="R19" s="105"/>
      <c r="S19" s="105"/>
      <c r="T19" s="105"/>
      <c r="U19" s="105"/>
      <c r="V19" s="105"/>
      <c r="W19" s="105"/>
      <c r="X19" s="105"/>
      <c r="Y19" s="105"/>
      <c r="Z19" s="105"/>
      <c r="AA19" s="105"/>
      <c r="AB19" s="105"/>
      <c r="AC19" s="105"/>
      <c r="AD19" s="105"/>
    </row>
    <row r="20" spans="1:37">
      <c r="A20" s="130">
        <v>0.55000000000000004</v>
      </c>
      <c r="B20" s="122">
        <v>2724.35095552434</v>
      </c>
      <c r="C20" s="121">
        <v>1.4285714285714285E-2</v>
      </c>
      <c r="D20" s="62">
        <v>1066.53179456527</v>
      </c>
      <c r="E20" s="121">
        <v>6.8571428571428568E-3</v>
      </c>
      <c r="F20" s="121">
        <v>808.51648351648396</v>
      </c>
      <c r="G20" s="121">
        <v>5.1813471502590676E-3</v>
      </c>
      <c r="H20" s="62">
        <v>182.716969877721</v>
      </c>
      <c r="I20" s="121">
        <v>1.1545862732520847E-2</v>
      </c>
      <c r="J20" s="62">
        <v>27.946505976095601</v>
      </c>
      <c r="K20" s="123">
        <v>1.8586797312995607E-2</v>
      </c>
      <c r="P20" s="103"/>
      <c r="Q20" s="104"/>
      <c r="R20" s="105"/>
      <c r="S20" s="105"/>
      <c r="T20" s="105"/>
      <c r="U20" s="105"/>
      <c r="V20" s="105"/>
      <c r="W20" s="105"/>
      <c r="X20" s="105"/>
      <c r="Y20" s="105"/>
      <c r="Z20" s="105"/>
      <c r="AA20" s="105"/>
      <c r="AB20" s="105"/>
      <c r="AC20" s="105"/>
      <c r="AD20" s="105"/>
    </row>
    <row r="21" spans="1:37">
      <c r="A21" s="130">
        <v>0.65</v>
      </c>
      <c r="B21" s="122">
        <v>0</v>
      </c>
      <c r="C21" s="121">
        <v>0</v>
      </c>
      <c r="D21" s="62">
        <v>1255.0187242924701</v>
      </c>
      <c r="E21" s="121">
        <v>3.4285714285714284E-3</v>
      </c>
      <c r="F21" s="121">
        <v>462.06928664555801</v>
      </c>
      <c r="G21" s="121">
        <v>7.7720207253886009E-3</v>
      </c>
      <c r="H21" s="62">
        <v>198.03206997084601</v>
      </c>
      <c r="I21" s="121">
        <v>1.5394483643361129E-2</v>
      </c>
      <c r="J21" s="62">
        <v>21.882494117647202</v>
      </c>
      <c r="K21" s="123">
        <v>4.7073084499217134E-2</v>
      </c>
      <c r="P21" s="103"/>
      <c r="Q21" s="104"/>
      <c r="R21" s="105"/>
      <c r="S21" s="105"/>
      <c r="T21" s="105"/>
      <c r="U21" s="105"/>
      <c r="V21" s="105"/>
      <c r="W21" s="105"/>
      <c r="X21" s="105"/>
      <c r="Y21" s="105"/>
      <c r="Z21" s="105"/>
      <c r="AA21" s="105"/>
      <c r="AB21" s="105"/>
      <c r="AC21" s="105"/>
      <c r="AD21" s="105"/>
    </row>
    <row r="22" spans="1:37">
      <c r="A22" s="130">
        <v>0.75</v>
      </c>
      <c r="B22" s="122">
        <v>0</v>
      </c>
      <c r="C22" s="121">
        <v>0</v>
      </c>
      <c r="D22" s="62">
        <v>1345.95683201261</v>
      </c>
      <c r="E22" s="121">
        <v>4.5714285714285718E-3</v>
      </c>
      <c r="F22" s="121">
        <v>359.23633328696599</v>
      </c>
      <c r="G22" s="121">
        <v>7.7720207253886009E-3</v>
      </c>
      <c r="H22" s="62">
        <v>168.60198624904501</v>
      </c>
      <c r="I22" s="121">
        <v>1.0904425914047467E-2</v>
      </c>
      <c r="J22" s="62">
        <v>20.892607621736101</v>
      </c>
      <c r="K22" s="131">
        <v>5.6770543966867017E-2</v>
      </c>
      <c r="L22" s="105"/>
      <c r="M22" s="105"/>
      <c r="N22" s="105"/>
    </row>
    <row r="23" spans="1:37">
      <c r="A23" s="130">
        <v>0.85</v>
      </c>
      <c r="B23" s="122">
        <v>0</v>
      </c>
      <c r="C23" s="121">
        <v>0</v>
      </c>
      <c r="D23" s="62">
        <v>915.71885444970803</v>
      </c>
      <c r="E23" s="121">
        <v>5.7142857142857143E-3</v>
      </c>
      <c r="F23" s="121">
        <v>558.69080158420297</v>
      </c>
      <c r="G23" s="121">
        <v>7.7720207253886009E-3</v>
      </c>
      <c r="H23" s="62">
        <v>219.54640250260701</v>
      </c>
      <c r="I23" s="121">
        <v>1.5394483643361129E-2</v>
      </c>
      <c r="J23" s="62">
        <v>27.161707841031198</v>
      </c>
      <c r="K23" s="131">
        <v>6.3134501742512242E-2</v>
      </c>
      <c r="L23" s="105"/>
      <c r="M23" s="105"/>
      <c r="N23" s="105"/>
      <c r="P23" s="103"/>
      <c r="Q23" s="103"/>
      <c r="R23" s="103"/>
      <c r="S23" s="103"/>
      <c r="T23" s="103"/>
      <c r="U23" s="103"/>
      <c r="V23" s="103"/>
      <c r="W23" s="103"/>
      <c r="X23" s="103"/>
      <c r="Y23" s="103"/>
      <c r="Z23" s="103"/>
      <c r="AA23" s="103"/>
      <c r="AB23" s="103"/>
      <c r="AC23" s="103"/>
      <c r="AD23" s="103"/>
    </row>
    <row r="24" spans="1:37">
      <c r="A24" s="130">
        <v>0.95</v>
      </c>
      <c r="B24" s="122">
        <v>0</v>
      </c>
      <c r="C24" s="121">
        <v>0</v>
      </c>
      <c r="D24" s="62">
        <v>1125.9089169536901</v>
      </c>
      <c r="E24" s="121">
        <v>4.5714285714285718E-3</v>
      </c>
      <c r="F24" s="121">
        <v>586.56768763151695</v>
      </c>
      <c r="G24" s="121">
        <v>1.0362694300518135E-2</v>
      </c>
      <c r="H24" s="62">
        <v>210.410806809771</v>
      </c>
      <c r="I24" s="121">
        <v>5.1314945477870431E-2</v>
      </c>
      <c r="J24" s="62">
        <v>24.814561027836302</v>
      </c>
      <c r="K24" s="131">
        <v>0.46391231880397998</v>
      </c>
      <c r="P24" s="103"/>
      <c r="Q24" s="103"/>
      <c r="R24" s="103"/>
      <c r="S24" s="103"/>
      <c r="T24" s="103"/>
      <c r="U24" s="103"/>
      <c r="V24" s="103"/>
      <c r="W24" s="103"/>
      <c r="X24" s="105"/>
      <c r="Z24" s="105"/>
      <c r="AB24" s="103"/>
      <c r="AC24" s="103"/>
      <c r="AD24" s="103"/>
    </row>
    <row r="25" spans="1:37">
      <c r="A25" s="141">
        <v>1</v>
      </c>
      <c r="B25" s="125">
        <v>0</v>
      </c>
      <c r="C25" s="125">
        <v>0</v>
      </c>
      <c r="D25" s="125">
        <v>0</v>
      </c>
      <c r="E25" s="125">
        <v>0</v>
      </c>
      <c r="F25" s="142">
        <v>0</v>
      </c>
      <c r="G25" s="142">
        <v>0</v>
      </c>
      <c r="H25" s="118">
        <v>0</v>
      </c>
      <c r="I25" s="118">
        <v>0</v>
      </c>
      <c r="J25" s="125">
        <v>0</v>
      </c>
      <c r="K25" s="143">
        <v>0</v>
      </c>
      <c r="L25" s="103"/>
      <c r="M25" s="103"/>
      <c r="N25" s="103"/>
      <c r="P25" s="103"/>
      <c r="Q25" s="103"/>
      <c r="R25" s="105"/>
      <c r="S25" s="105"/>
      <c r="T25" s="105"/>
      <c r="U25" s="105"/>
      <c r="V25" s="105"/>
      <c r="W25" s="105"/>
      <c r="AB25" s="105"/>
      <c r="AC25" s="105"/>
      <c r="AD25" s="105"/>
      <c r="AE25" s="108"/>
    </row>
    <row r="26" spans="1:37" ht="15" customHeight="1">
      <c r="A26" s="117" t="s">
        <v>170</v>
      </c>
      <c r="B26" s="132">
        <v>8.0714285714285725E-2</v>
      </c>
      <c r="C26" s="133">
        <v>280</v>
      </c>
      <c r="D26" s="132">
        <v>8.9885714285714277E-2</v>
      </c>
      <c r="E26" s="133">
        <v>875</v>
      </c>
      <c r="F26" s="132">
        <v>0.10854922279792749</v>
      </c>
      <c r="G26" s="133">
        <v>386</v>
      </c>
      <c r="H26" s="132">
        <v>0.16411161000641436</v>
      </c>
      <c r="I26" s="133">
        <v>1559</v>
      </c>
      <c r="J26" s="132">
        <v>0.64069649982322341</v>
      </c>
      <c r="K26" s="134">
        <v>19799</v>
      </c>
      <c r="L26" s="104"/>
      <c r="M26" s="104"/>
      <c r="N26" s="104"/>
      <c r="P26" s="103"/>
      <c r="Q26" s="103"/>
      <c r="R26" s="105"/>
      <c r="S26" s="105"/>
      <c r="T26" s="105"/>
      <c r="U26" s="105"/>
      <c r="V26" s="105"/>
      <c r="W26" s="105"/>
      <c r="AB26" s="105"/>
      <c r="AC26" s="105"/>
      <c r="AD26" s="105"/>
    </row>
    <row r="27" spans="1:37" ht="16" thickBot="1">
      <c r="A27" s="116" t="s">
        <v>171</v>
      </c>
      <c r="B27" s="65">
        <v>4350</v>
      </c>
      <c r="C27" s="65"/>
      <c r="D27" s="65">
        <v>1500</v>
      </c>
      <c r="E27" s="65"/>
      <c r="F27" s="69">
        <v>712.5</v>
      </c>
      <c r="G27" s="69"/>
      <c r="H27" s="65">
        <v>287.5</v>
      </c>
      <c r="I27" s="65"/>
      <c r="J27" s="65">
        <v>75</v>
      </c>
      <c r="K27" s="135"/>
      <c r="L27" s="105"/>
      <c r="M27" s="105"/>
      <c r="N27" s="105"/>
    </row>
    <row r="28" spans="1:37">
      <c r="A28" s="103"/>
      <c r="B28" s="104"/>
      <c r="C28" s="105"/>
      <c r="D28" s="105"/>
      <c r="E28" s="105"/>
      <c r="F28" s="105"/>
      <c r="G28" s="105"/>
      <c r="H28" s="105"/>
      <c r="I28" s="105"/>
      <c r="J28" s="105"/>
      <c r="K28" s="105"/>
      <c r="L28" s="105"/>
      <c r="M28" s="105"/>
      <c r="N28" s="105"/>
    </row>
    <row r="29" spans="1:37">
      <c r="B29" s="104"/>
      <c r="C29" s="105"/>
      <c r="D29" s="105"/>
      <c r="E29" s="105"/>
      <c r="F29" s="105"/>
      <c r="G29" s="105"/>
      <c r="H29" s="105"/>
      <c r="I29" s="105"/>
      <c r="J29" s="105"/>
      <c r="K29" s="105"/>
      <c r="L29" s="105"/>
      <c r="M29" s="105"/>
      <c r="N29" s="105"/>
      <c r="X29" s="103"/>
      <c r="Y29" s="103"/>
      <c r="Z29" s="103"/>
      <c r="AA29" s="103"/>
      <c r="AB29" s="103"/>
      <c r="AC29" s="103"/>
      <c r="AD29" s="103"/>
      <c r="AE29" s="103"/>
      <c r="AF29" s="103"/>
      <c r="AG29" s="103" t="s">
        <v>23</v>
      </c>
      <c r="AH29" s="103" t="s">
        <v>23</v>
      </c>
      <c r="AI29" s="103" t="s">
        <v>23</v>
      </c>
      <c r="AJ29" s="103" t="s">
        <v>23</v>
      </c>
      <c r="AK29" s="103" t="s">
        <v>23</v>
      </c>
    </row>
    <row r="30" spans="1:37" ht="16" thickBot="1">
      <c r="B30" s="104"/>
      <c r="C30" s="105"/>
      <c r="D30" s="105"/>
      <c r="E30" s="105"/>
      <c r="F30" s="105"/>
      <c r="G30" s="105"/>
      <c r="H30" s="105"/>
      <c r="I30" s="105"/>
      <c r="J30" s="105"/>
      <c r="K30" s="105"/>
      <c r="L30" s="105"/>
      <c r="M30" s="105"/>
      <c r="N30" s="105"/>
      <c r="X30" s="103"/>
      <c r="Y30" s="103"/>
      <c r="Z30" s="103"/>
      <c r="AA30" s="103"/>
      <c r="AB30" s="103"/>
      <c r="AC30" s="103"/>
      <c r="AD30" s="103"/>
      <c r="AE30" s="103"/>
      <c r="AF30" s="103"/>
      <c r="AG30" s="103"/>
      <c r="AH30" s="103"/>
      <c r="AI30" s="103"/>
      <c r="AJ30" s="103"/>
      <c r="AK30" s="103"/>
    </row>
    <row r="31" spans="1:37" ht="15" customHeight="1">
      <c r="A31" s="325"/>
      <c r="B31" s="521" t="s">
        <v>172</v>
      </c>
      <c r="C31" s="521"/>
      <c r="D31" s="521" t="s">
        <v>247</v>
      </c>
      <c r="E31" s="521" t="s">
        <v>248</v>
      </c>
      <c r="F31" s="521" t="s">
        <v>173</v>
      </c>
      <c r="G31" s="508" t="s">
        <v>174</v>
      </c>
      <c r="H31" s="508" t="s">
        <v>175</v>
      </c>
      <c r="I31" s="508" t="s">
        <v>249</v>
      </c>
      <c r="J31" s="508" t="s">
        <v>250</v>
      </c>
      <c r="K31" s="521" t="s">
        <v>203</v>
      </c>
      <c r="L31" s="529" t="s">
        <v>204</v>
      </c>
      <c r="W31" s="103"/>
      <c r="X31" s="103"/>
      <c r="Y31" s="105"/>
      <c r="Z31" s="105"/>
      <c r="AA31" s="105"/>
      <c r="AB31" s="105"/>
      <c r="AC31" s="105"/>
      <c r="AD31" s="105"/>
      <c r="AE31" s="105"/>
      <c r="AF31" s="105"/>
      <c r="AG31" s="105"/>
      <c r="AH31" s="105"/>
      <c r="AI31" s="105"/>
      <c r="AJ31" s="105"/>
      <c r="AK31" s="108"/>
    </row>
    <row r="32" spans="1:37" ht="26" customHeight="1">
      <c r="A32" s="520"/>
      <c r="B32" s="522"/>
      <c r="C32" s="522"/>
      <c r="D32" s="522"/>
      <c r="E32" s="522"/>
      <c r="F32" s="522"/>
      <c r="G32" s="534"/>
      <c r="H32" s="534"/>
      <c r="I32" s="534"/>
      <c r="J32" s="534"/>
      <c r="K32" s="522"/>
      <c r="L32" s="530"/>
      <c r="W32" s="103"/>
      <c r="X32" s="103"/>
      <c r="Y32" s="105"/>
      <c r="Z32" s="105"/>
      <c r="AA32" s="105"/>
      <c r="AB32" s="105"/>
      <c r="AC32" s="105"/>
      <c r="AD32" s="105"/>
      <c r="AE32" s="105"/>
      <c r="AF32" s="105"/>
      <c r="AG32" s="105"/>
      <c r="AH32" s="105"/>
      <c r="AI32" s="105"/>
      <c r="AJ32" s="105"/>
      <c r="AK32" s="108"/>
    </row>
    <row r="33" spans="1:37">
      <c r="A33" s="519" t="s">
        <v>8</v>
      </c>
      <c r="B33" s="186">
        <v>0</v>
      </c>
      <c r="C33" s="186">
        <v>0</v>
      </c>
      <c r="D33" s="186">
        <f>C5</f>
        <v>0</v>
      </c>
      <c r="E33" s="186">
        <v>1</v>
      </c>
      <c r="F33" s="128">
        <f>C14</f>
        <v>21</v>
      </c>
      <c r="G33" s="184" t="s">
        <v>72</v>
      </c>
      <c r="H33" s="184" t="s">
        <v>72</v>
      </c>
      <c r="I33" s="180" t="s">
        <v>72</v>
      </c>
      <c r="J33" s="185" t="s">
        <v>72</v>
      </c>
      <c r="K33" s="186">
        <v>1</v>
      </c>
      <c r="L33" s="188">
        <v>1</v>
      </c>
      <c r="W33" s="103"/>
      <c r="X33" s="103"/>
      <c r="Y33" s="105"/>
      <c r="Z33" s="105"/>
      <c r="AA33" s="105"/>
      <c r="AB33" s="105"/>
      <c r="AC33" s="105"/>
      <c r="AD33" s="105"/>
      <c r="AE33" s="105"/>
      <c r="AF33" s="105"/>
      <c r="AG33" s="105"/>
      <c r="AH33" s="105"/>
      <c r="AI33" s="105"/>
      <c r="AJ33" s="105"/>
      <c r="AK33" s="108"/>
    </row>
    <row r="34" spans="1:37">
      <c r="A34" s="326"/>
      <c r="B34" s="59">
        <f>(C33+C34)/2</f>
        <v>0.05</v>
      </c>
      <c r="C34" s="59">
        <v>0.1</v>
      </c>
      <c r="D34" s="59">
        <f>D5</f>
        <v>0.37961810717123501</v>
      </c>
      <c r="E34" s="59">
        <f>E33-D33</f>
        <v>1</v>
      </c>
      <c r="F34" s="173">
        <f t="shared" ref="F34:F44" si="0">C15*$C$26</f>
        <v>236</v>
      </c>
      <c r="G34" s="173">
        <f>F33</f>
        <v>21</v>
      </c>
      <c r="H34" s="173">
        <f>SUM(F34:F44)</f>
        <v>280</v>
      </c>
      <c r="I34" s="190">
        <f>1.25*(E34^2)*((1-E34)^2)*((1/G34)+(1/H34))</f>
        <v>0</v>
      </c>
      <c r="J34" s="175">
        <f>1.96*SQRT(I34)</f>
        <v>0</v>
      </c>
      <c r="K34" s="59">
        <f>E34-J34</f>
        <v>1</v>
      </c>
      <c r="L34" s="189">
        <f>E34+J34</f>
        <v>1</v>
      </c>
      <c r="W34" s="103"/>
      <c r="X34" s="103"/>
      <c r="Y34" s="105"/>
      <c r="Z34" s="105"/>
      <c r="AA34" s="105"/>
      <c r="AB34" s="105"/>
      <c r="AC34" s="105"/>
      <c r="AD34" s="105"/>
      <c r="AE34" s="105"/>
      <c r="AF34" s="105"/>
      <c r="AG34" s="105"/>
      <c r="AH34" s="105"/>
      <c r="AI34" s="105"/>
      <c r="AJ34" s="105"/>
      <c r="AK34" s="108"/>
    </row>
    <row r="35" spans="1:37">
      <c r="A35" s="326"/>
      <c r="B35" s="59">
        <f t="shared" ref="B35:B42" si="1">(C34+C35)/2</f>
        <v>0.15000000000000002</v>
      </c>
      <c r="C35" s="59">
        <v>0.2</v>
      </c>
      <c r="D35" s="59">
        <f>E5</f>
        <v>0.25123163809386401</v>
      </c>
      <c r="E35" s="59">
        <f t="shared" ref="E35:E44" si="2">E34-D34</f>
        <v>0.62038189282876499</v>
      </c>
      <c r="F35" s="173">
        <f t="shared" si="0"/>
        <v>23</v>
      </c>
      <c r="G35" s="173">
        <f>F34+G34</f>
        <v>257</v>
      </c>
      <c r="H35" s="173">
        <f>SUM(F35:F44)</f>
        <v>44</v>
      </c>
      <c r="I35" s="190">
        <f t="shared" ref="I35:I44" si="3">1.25*(E35^2)*((1-E35)^2)*((1/G35)+(1/H35))</f>
        <v>1.8454520887070227E-3</v>
      </c>
      <c r="J35" s="175">
        <f t="shared" ref="J35:J44" si="4">1.96*SQRT(I35)</f>
        <v>8.4199101800297715E-2</v>
      </c>
      <c r="K35" s="59">
        <f t="shared" ref="K35:K43" si="5">E35-J35</f>
        <v>0.53618279102846733</v>
      </c>
      <c r="L35" s="189">
        <f t="shared" ref="L35:L43" si="6">E35+J35</f>
        <v>0.70458099462906265</v>
      </c>
      <c r="W35" s="103"/>
      <c r="X35" s="103"/>
      <c r="Y35" s="105"/>
      <c r="Z35" s="105"/>
      <c r="AA35" s="105"/>
      <c r="AB35" s="105"/>
      <c r="AC35" s="105"/>
      <c r="AD35" s="105"/>
      <c r="AE35" s="105"/>
      <c r="AF35" s="105"/>
      <c r="AG35" s="105"/>
      <c r="AH35" s="105"/>
      <c r="AI35" s="105"/>
      <c r="AJ35" s="105"/>
      <c r="AK35" s="108"/>
    </row>
    <row r="36" spans="1:37">
      <c r="A36" s="326"/>
      <c r="B36" s="59">
        <f t="shared" si="1"/>
        <v>0.25</v>
      </c>
      <c r="C36" s="59">
        <v>0.3</v>
      </c>
      <c r="D36" s="59">
        <f>F5</f>
        <v>0.103604178439275</v>
      </c>
      <c r="E36" s="59">
        <f t="shared" si="2"/>
        <v>0.36915025473490098</v>
      </c>
      <c r="F36" s="173">
        <f t="shared" si="0"/>
        <v>10</v>
      </c>
      <c r="G36" s="173">
        <f t="shared" ref="G36:G44" si="7">F35+G35</f>
        <v>280</v>
      </c>
      <c r="H36" s="173">
        <f>SUM(F36:F44)</f>
        <v>21</v>
      </c>
      <c r="I36" s="190">
        <f t="shared" si="3"/>
        <v>3.4702230606629939E-3</v>
      </c>
      <c r="J36" s="175">
        <f t="shared" si="4"/>
        <v>0.11546085444791648</v>
      </c>
      <c r="K36" s="59">
        <f t="shared" si="5"/>
        <v>0.2536894002869845</v>
      </c>
      <c r="L36" s="189">
        <f t="shared" si="6"/>
        <v>0.48461110918281747</v>
      </c>
      <c r="W36" s="103"/>
      <c r="X36" s="103"/>
      <c r="Y36" s="105"/>
      <c r="Z36" s="105"/>
      <c r="AA36" s="105"/>
      <c r="AB36" s="105"/>
      <c r="AC36" s="105"/>
      <c r="AD36" s="105"/>
      <c r="AE36" s="105"/>
      <c r="AF36" s="105"/>
      <c r="AG36" s="105"/>
      <c r="AH36" s="105"/>
      <c r="AI36" s="105"/>
      <c r="AJ36" s="105"/>
      <c r="AK36" s="108"/>
    </row>
    <row r="37" spans="1:37">
      <c r="A37" s="326"/>
      <c r="B37" s="59">
        <f t="shared" si="1"/>
        <v>0.35</v>
      </c>
      <c r="C37" s="59">
        <v>0.4</v>
      </c>
      <c r="D37" s="59">
        <f>G5</f>
        <v>9.5640187648643404E-2</v>
      </c>
      <c r="E37" s="59">
        <f t="shared" si="2"/>
        <v>0.26554607629562599</v>
      </c>
      <c r="F37" s="173">
        <f t="shared" si="0"/>
        <v>5</v>
      </c>
      <c r="G37" s="173">
        <f t="shared" si="7"/>
        <v>290</v>
      </c>
      <c r="H37" s="173">
        <f>SUM(F37:F44)</f>
        <v>11</v>
      </c>
      <c r="I37" s="190">
        <f t="shared" si="3"/>
        <v>4.4863661330867407E-3</v>
      </c>
      <c r="J37" s="175">
        <f t="shared" si="4"/>
        <v>0.131281469129752</v>
      </c>
      <c r="K37" s="59">
        <f t="shared" si="5"/>
        <v>0.13426460716587399</v>
      </c>
      <c r="L37" s="189">
        <f t="shared" si="6"/>
        <v>0.39682754542537801</v>
      </c>
      <c r="W37" s="103"/>
      <c r="X37" s="103"/>
      <c r="Y37" s="105"/>
      <c r="Z37" s="105"/>
      <c r="AA37" s="105"/>
      <c r="AB37" s="105"/>
      <c r="AC37" s="105"/>
      <c r="AD37" s="105"/>
      <c r="AE37" s="105"/>
      <c r="AF37" s="105"/>
      <c r="AG37" s="105"/>
      <c r="AH37" s="105"/>
      <c r="AI37" s="105"/>
      <c r="AJ37" s="105"/>
      <c r="AK37" s="108"/>
    </row>
    <row r="38" spans="1:37">
      <c r="A38" s="326"/>
      <c r="B38" s="59">
        <f t="shared" si="1"/>
        <v>0.45</v>
      </c>
      <c r="C38" s="59">
        <v>0.5</v>
      </c>
      <c r="D38" s="59">
        <f>H5</f>
        <v>3.9503295815895199E-2</v>
      </c>
      <c r="E38" s="59">
        <f t="shared" si="2"/>
        <v>0.16990588864698258</v>
      </c>
      <c r="F38" s="173">
        <f t="shared" si="0"/>
        <v>2</v>
      </c>
      <c r="G38" s="173">
        <f t="shared" si="7"/>
        <v>295</v>
      </c>
      <c r="H38" s="173">
        <f>SUM(F38:F44)</f>
        <v>6</v>
      </c>
      <c r="I38" s="190">
        <f t="shared" si="3"/>
        <v>4.2283874029252592E-3</v>
      </c>
      <c r="J38" s="175">
        <f t="shared" si="4"/>
        <v>0.12745106138074205</v>
      </c>
      <c r="K38" s="59">
        <f t="shared" si="5"/>
        <v>4.245482726624053E-2</v>
      </c>
      <c r="L38" s="189">
        <f t="shared" si="6"/>
        <v>0.29735695002772466</v>
      </c>
    </row>
    <row r="39" spans="1:37">
      <c r="A39" s="326"/>
      <c r="B39" s="59">
        <f t="shared" si="1"/>
        <v>0.55000000000000004</v>
      </c>
      <c r="C39" s="59">
        <v>0.6</v>
      </c>
      <c r="D39" s="59">
        <f>I5</f>
        <v>0.13040259283108699</v>
      </c>
      <c r="E39" s="59">
        <f t="shared" si="2"/>
        <v>0.13040259283108738</v>
      </c>
      <c r="F39" s="173">
        <f t="shared" si="0"/>
        <v>4</v>
      </c>
      <c r="G39" s="173">
        <f t="shared" si="7"/>
        <v>297</v>
      </c>
      <c r="H39" s="173">
        <f>SUM(F39:F44)</f>
        <v>4</v>
      </c>
      <c r="I39" s="190">
        <f t="shared" si="3"/>
        <v>4.0725740874712158E-3</v>
      </c>
      <c r="J39" s="175">
        <f t="shared" si="4"/>
        <v>0.12508077635843737</v>
      </c>
      <c r="K39" s="59">
        <f t="shared" si="5"/>
        <v>5.3218164726500095E-3</v>
      </c>
      <c r="L39" s="189">
        <f t="shared" si="6"/>
        <v>0.25548336918952474</v>
      </c>
      <c r="W39" s="103"/>
      <c r="X39" s="103"/>
      <c r="Y39" s="103"/>
      <c r="Z39" s="103"/>
      <c r="AA39" s="103"/>
      <c r="AB39" s="103"/>
      <c r="AC39" s="103"/>
      <c r="AD39" s="103"/>
      <c r="AE39" s="103"/>
      <c r="AF39" s="103"/>
      <c r="AG39" s="103"/>
      <c r="AH39" s="103"/>
      <c r="AI39" s="103"/>
      <c r="AJ39" s="103"/>
    </row>
    <row r="40" spans="1:37">
      <c r="A40" s="326"/>
      <c r="B40" s="59">
        <f t="shared" si="1"/>
        <v>0.64999999999999991</v>
      </c>
      <c r="C40" s="59">
        <v>0.7</v>
      </c>
      <c r="D40" s="59">
        <f>J5</f>
        <v>0</v>
      </c>
      <c r="E40" s="59">
        <f t="shared" si="2"/>
        <v>3.8857805861880479E-16</v>
      </c>
      <c r="F40" s="173">
        <f t="shared" si="0"/>
        <v>0</v>
      </c>
      <c r="G40" s="173">
        <f t="shared" si="7"/>
        <v>301</v>
      </c>
      <c r="H40" s="173">
        <f>SUM(F40:F44)</f>
        <v>0</v>
      </c>
      <c r="I40" s="190" t="e">
        <f t="shared" si="3"/>
        <v>#DIV/0!</v>
      </c>
      <c r="J40" s="175" t="e">
        <f t="shared" si="4"/>
        <v>#DIV/0!</v>
      </c>
      <c r="K40" s="59" t="e">
        <f t="shared" si="5"/>
        <v>#DIV/0!</v>
      </c>
      <c r="L40" s="189" t="e">
        <f t="shared" si="6"/>
        <v>#DIV/0!</v>
      </c>
      <c r="W40" s="103"/>
      <c r="X40" s="103"/>
      <c r="Y40" s="103"/>
      <c r="Z40" s="103"/>
      <c r="AA40" s="103"/>
      <c r="AB40" s="103"/>
      <c r="AC40" s="103"/>
      <c r="AD40" s="103"/>
      <c r="AE40" s="103"/>
      <c r="AF40" s="103"/>
      <c r="AG40" s="103"/>
      <c r="AH40" s="103"/>
      <c r="AI40" s="103"/>
      <c r="AJ40" s="103"/>
    </row>
    <row r="41" spans="1:37">
      <c r="A41" s="326"/>
      <c r="B41" s="59">
        <f t="shared" si="1"/>
        <v>0.75</v>
      </c>
      <c r="C41" s="59">
        <v>0.8</v>
      </c>
      <c r="D41" s="59">
        <f>K5</f>
        <v>0</v>
      </c>
      <c r="E41" s="59">
        <f t="shared" si="2"/>
        <v>3.8857805861880479E-16</v>
      </c>
      <c r="F41" s="173">
        <f t="shared" si="0"/>
        <v>0</v>
      </c>
      <c r="G41" s="173">
        <f t="shared" si="7"/>
        <v>301</v>
      </c>
      <c r="H41" s="173">
        <f>SUM(F41:F44)</f>
        <v>0</v>
      </c>
      <c r="I41" s="190" t="e">
        <f t="shared" si="3"/>
        <v>#DIV/0!</v>
      </c>
      <c r="J41" s="175" t="e">
        <f t="shared" si="4"/>
        <v>#DIV/0!</v>
      </c>
      <c r="K41" s="59" t="e">
        <f t="shared" si="5"/>
        <v>#DIV/0!</v>
      </c>
      <c r="L41" s="189" t="e">
        <f t="shared" si="6"/>
        <v>#DIV/0!</v>
      </c>
      <c r="W41" s="103"/>
      <c r="X41" s="103"/>
      <c r="Y41" s="105"/>
      <c r="Z41" s="105"/>
      <c r="AA41" s="105"/>
      <c r="AB41" s="105"/>
      <c r="AC41" s="105"/>
      <c r="AD41" s="105"/>
      <c r="AE41" s="105"/>
      <c r="AF41" s="105"/>
      <c r="AG41" s="105"/>
      <c r="AH41" s="105"/>
      <c r="AI41" s="105"/>
      <c r="AJ41" s="105"/>
    </row>
    <row r="42" spans="1:37">
      <c r="A42" s="326"/>
      <c r="B42" s="59">
        <f t="shared" si="1"/>
        <v>0.85000000000000009</v>
      </c>
      <c r="C42" s="59">
        <v>0.9</v>
      </c>
      <c r="D42" s="59">
        <f>L5</f>
        <v>0</v>
      </c>
      <c r="E42" s="59">
        <f t="shared" si="2"/>
        <v>3.8857805861880479E-16</v>
      </c>
      <c r="F42" s="173">
        <f t="shared" si="0"/>
        <v>0</v>
      </c>
      <c r="G42" s="173">
        <f t="shared" si="7"/>
        <v>301</v>
      </c>
      <c r="H42" s="173">
        <f>SUM(F42:F44)</f>
        <v>0</v>
      </c>
      <c r="I42" s="190" t="e">
        <f t="shared" si="3"/>
        <v>#DIV/0!</v>
      </c>
      <c r="J42" s="175" t="e">
        <f t="shared" si="4"/>
        <v>#DIV/0!</v>
      </c>
      <c r="K42" s="59" t="e">
        <f t="shared" si="5"/>
        <v>#DIV/0!</v>
      </c>
      <c r="L42" s="189" t="e">
        <f t="shared" si="6"/>
        <v>#DIV/0!</v>
      </c>
      <c r="W42" s="103"/>
      <c r="X42" s="103"/>
      <c r="Y42" s="105"/>
      <c r="Z42" s="105"/>
      <c r="AA42" s="105"/>
      <c r="AB42" s="105"/>
      <c r="AC42" s="105"/>
      <c r="AD42" s="105"/>
      <c r="AE42" s="105"/>
      <c r="AF42" s="105"/>
      <c r="AG42" s="105"/>
      <c r="AH42" s="105"/>
      <c r="AI42" s="105"/>
      <c r="AJ42" s="105"/>
    </row>
    <row r="43" spans="1:37">
      <c r="A43" s="326"/>
      <c r="B43" s="59">
        <f>C43</f>
        <v>0.95</v>
      </c>
      <c r="C43" s="59">
        <v>0.95</v>
      </c>
      <c r="D43" s="59">
        <f>M5</f>
        <v>0</v>
      </c>
      <c r="E43" s="59">
        <f t="shared" si="2"/>
        <v>3.8857805861880479E-16</v>
      </c>
      <c r="F43" s="173">
        <f t="shared" si="0"/>
        <v>0</v>
      </c>
      <c r="G43" s="173">
        <f t="shared" si="7"/>
        <v>301</v>
      </c>
      <c r="H43" s="173">
        <f>SUM(F43:F44)</f>
        <v>0</v>
      </c>
      <c r="I43" s="190" t="e">
        <f t="shared" si="3"/>
        <v>#DIV/0!</v>
      </c>
      <c r="J43" s="175" t="e">
        <f t="shared" si="4"/>
        <v>#DIV/0!</v>
      </c>
      <c r="K43" s="59" t="e">
        <f t="shared" si="5"/>
        <v>#DIV/0!</v>
      </c>
      <c r="L43" s="189" t="e">
        <f t="shared" si="6"/>
        <v>#DIV/0!</v>
      </c>
      <c r="W43" s="103"/>
      <c r="X43" s="103"/>
      <c r="Y43" s="105"/>
      <c r="Z43" s="105"/>
      <c r="AA43" s="105"/>
      <c r="AB43" s="105"/>
      <c r="AC43" s="105"/>
      <c r="AD43" s="105"/>
      <c r="AE43" s="105"/>
      <c r="AF43" s="105"/>
      <c r="AG43" s="105"/>
      <c r="AH43" s="105"/>
      <c r="AI43" s="105"/>
      <c r="AJ43" s="105"/>
    </row>
    <row r="44" spans="1:37">
      <c r="A44" s="520"/>
      <c r="B44" s="187">
        <f>C44</f>
        <v>1</v>
      </c>
      <c r="C44" s="187">
        <v>1</v>
      </c>
      <c r="D44" s="187">
        <f>N5</f>
        <v>0</v>
      </c>
      <c r="E44" s="59">
        <f t="shared" si="2"/>
        <v>3.8857805861880479E-16</v>
      </c>
      <c r="F44" s="126">
        <f t="shared" si="0"/>
        <v>0</v>
      </c>
      <c r="G44" s="126">
        <f t="shared" si="7"/>
        <v>301</v>
      </c>
      <c r="H44" s="126">
        <f>SUM(F44)</f>
        <v>0</v>
      </c>
      <c r="I44" s="191" t="e">
        <f t="shared" si="3"/>
        <v>#DIV/0!</v>
      </c>
      <c r="J44" s="192" t="e">
        <f t="shared" si="4"/>
        <v>#DIV/0!</v>
      </c>
      <c r="K44" s="59" t="e">
        <f t="shared" ref="K44" si="8">E44-J44</f>
        <v>#DIV/0!</v>
      </c>
      <c r="L44" s="189" t="e">
        <f t="shared" ref="L44" si="9">E44+J44</f>
        <v>#DIV/0!</v>
      </c>
      <c r="W44" s="103"/>
      <c r="X44" s="103"/>
      <c r="Y44" s="105"/>
      <c r="Z44" s="105"/>
      <c r="AA44" s="105"/>
      <c r="AB44" s="105"/>
      <c r="AC44" s="105"/>
      <c r="AD44" s="105"/>
      <c r="AE44" s="105"/>
      <c r="AF44" s="105"/>
      <c r="AG44" s="105"/>
      <c r="AH44" s="105"/>
      <c r="AI44" s="105"/>
      <c r="AJ44" s="105"/>
    </row>
    <row r="45" spans="1:37" ht="15" customHeight="1">
      <c r="A45" s="519" t="s">
        <v>7</v>
      </c>
      <c r="B45" s="186">
        <v>0</v>
      </c>
      <c r="C45" s="186">
        <v>0</v>
      </c>
      <c r="D45" s="186">
        <f>C6</f>
        <v>0</v>
      </c>
      <c r="E45" s="186">
        <v>1</v>
      </c>
      <c r="F45" s="128">
        <f>E14</f>
        <v>250</v>
      </c>
      <c r="G45" s="128"/>
      <c r="H45" s="128"/>
      <c r="I45" s="180" t="s">
        <v>72</v>
      </c>
      <c r="J45" s="185" t="s">
        <v>72</v>
      </c>
      <c r="K45" s="186">
        <v>1</v>
      </c>
      <c r="L45" s="188">
        <v>1</v>
      </c>
      <c r="W45" s="103"/>
      <c r="X45" s="103"/>
      <c r="Y45" s="105"/>
      <c r="Z45" s="105"/>
      <c r="AA45" s="105"/>
      <c r="AB45" s="105"/>
      <c r="AC45" s="105"/>
      <c r="AD45" s="105"/>
      <c r="AE45" s="105"/>
      <c r="AF45" s="105"/>
      <c r="AG45" s="105"/>
      <c r="AH45" s="105"/>
      <c r="AI45" s="105"/>
      <c r="AJ45" s="105"/>
    </row>
    <row r="46" spans="1:37">
      <c r="A46" s="326"/>
      <c r="B46" s="59">
        <f>(C45+C46)/2</f>
        <v>0.05</v>
      </c>
      <c r="C46" s="59">
        <v>0.1</v>
      </c>
      <c r="D46" s="59">
        <f>D6</f>
        <v>0.26732881396399499</v>
      </c>
      <c r="E46" s="59">
        <f>E45-D45</f>
        <v>1</v>
      </c>
      <c r="F46" s="173">
        <f t="shared" ref="F46:F56" si="10">E15*$E$26</f>
        <v>738</v>
      </c>
      <c r="G46" s="173">
        <f>F45</f>
        <v>250</v>
      </c>
      <c r="H46" s="173">
        <f>SUM(F46:F56)</f>
        <v>875</v>
      </c>
      <c r="I46" s="190">
        <f>1.25*(E46^2)*((1-E46)^2)*((1/G46)+(1/H46))</f>
        <v>0</v>
      </c>
      <c r="J46" s="175">
        <f>1.96*SQRT(I46)</f>
        <v>0</v>
      </c>
      <c r="K46" s="59">
        <f>E46-J46</f>
        <v>1</v>
      </c>
      <c r="L46" s="189">
        <f>E46+J46</f>
        <v>1</v>
      </c>
      <c r="W46" s="103"/>
      <c r="X46" s="103"/>
      <c r="Y46" s="105"/>
      <c r="Z46" s="105"/>
      <c r="AA46" s="105"/>
      <c r="AB46" s="105"/>
      <c r="AC46" s="105"/>
      <c r="AD46" s="105"/>
      <c r="AE46" s="105"/>
      <c r="AF46" s="105"/>
      <c r="AG46" s="105"/>
      <c r="AH46" s="105"/>
      <c r="AI46" s="105"/>
      <c r="AJ46" s="105"/>
    </row>
    <row r="47" spans="1:37">
      <c r="A47" s="326"/>
      <c r="B47" s="59">
        <f t="shared" ref="B47:B54" si="11">(C46+C47)/2</f>
        <v>0.15000000000000002</v>
      </c>
      <c r="C47" s="59">
        <v>0.2</v>
      </c>
      <c r="D47" s="59">
        <f>E6</f>
        <v>0.17859036809925399</v>
      </c>
      <c r="E47" s="59">
        <f t="shared" ref="E47:E56" si="12">E46-D46</f>
        <v>0.73267118603600501</v>
      </c>
      <c r="F47" s="173">
        <f t="shared" si="10"/>
        <v>65</v>
      </c>
      <c r="G47" s="173">
        <f>F46+G46</f>
        <v>988</v>
      </c>
      <c r="H47" s="173">
        <f>SUM(F47:F56)</f>
        <v>137</v>
      </c>
      <c r="I47" s="190">
        <f t="shared" ref="I47:I56" si="13">1.25*(E47^2)*((1-E47)^2)*((1/G47)+(1/H47))</f>
        <v>3.9856099225114069E-4</v>
      </c>
      <c r="J47" s="175">
        <f t="shared" ref="J47:J56" si="14">1.96*SQRT(I47)</f>
        <v>3.9129425089464098E-2</v>
      </c>
      <c r="K47" s="59">
        <f t="shared" ref="K47:K55" si="15">E47-J47</f>
        <v>0.69354176094654085</v>
      </c>
      <c r="L47" s="189">
        <f t="shared" ref="L47:L55" si="16">E47+J47</f>
        <v>0.77180061112546916</v>
      </c>
      <c r="W47" s="103"/>
      <c r="X47" s="103"/>
      <c r="Y47" s="105"/>
      <c r="Z47" s="105"/>
      <c r="AA47" s="105"/>
      <c r="AB47" s="105"/>
      <c r="AC47" s="105"/>
      <c r="AD47" s="105"/>
      <c r="AE47" s="105"/>
      <c r="AF47" s="105"/>
      <c r="AG47" s="105"/>
      <c r="AH47" s="105"/>
      <c r="AI47" s="105"/>
      <c r="AJ47" s="105"/>
    </row>
    <row r="48" spans="1:37">
      <c r="A48" s="326"/>
      <c r="B48" s="59">
        <f t="shared" si="11"/>
        <v>0.25</v>
      </c>
      <c r="C48" s="59">
        <v>0.3</v>
      </c>
      <c r="D48" s="59">
        <f>F6</f>
        <v>0.110831312017907</v>
      </c>
      <c r="E48" s="59">
        <f t="shared" si="12"/>
        <v>0.55408081793675101</v>
      </c>
      <c r="F48" s="173">
        <f t="shared" si="10"/>
        <v>26</v>
      </c>
      <c r="G48" s="173">
        <f t="shared" ref="G48:G56" si="17">F47+G47</f>
        <v>1053</v>
      </c>
      <c r="H48" s="173">
        <f>SUM(F48:F56)</f>
        <v>72</v>
      </c>
      <c r="I48" s="190">
        <f t="shared" si="13"/>
        <v>1.1322966123519526E-3</v>
      </c>
      <c r="J48" s="175">
        <f t="shared" si="14"/>
        <v>6.5953246061215678E-2</v>
      </c>
      <c r="K48" s="59">
        <f t="shared" si="15"/>
        <v>0.48812757187553535</v>
      </c>
      <c r="L48" s="189">
        <f t="shared" si="16"/>
        <v>0.62003406399796668</v>
      </c>
    </row>
    <row r="49" spans="1:12">
      <c r="A49" s="326"/>
      <c r="B49" s="59">
        <f t="shared" si="11"/>
        <v>0.35</v>
      </c>
      <c r="C49" s="59">
        <v>0.4</v>
      </c>
      <c r="D49" s="59">
        <f>G6</f>
        <v>9.8525013131165989E-2</v>
      </c>
      <c r="E49" s="59">
        <f t="shared" si="12"/>
        <v>0.44324950591884404</v>
      </c>
      <c r="F49" s="173">
        <f t="shared" si="10"/>
        <v>16</v>
      </c>
      <c r="G49" s="173">
        <f t="shared" si="17"/>
        <v>1079</v>
      </c>
      <c r="H49" s="173">
        <f>SUM(F49:F56)</f>
        <v>46</v>
      </c>
      <c r="I49" s="190">
        <f t="shared" si="13"/>
        <v>1.7254445284898016E-3</v>
      </c>
      <c r="J49" s="175">
        <f t="shared" si="14"/>
        <v>8.1415402109468335E-2</v>
      </c>
      <c r="K49" s="59">
        <f t="shared" si="15"/>
        <v>0.3618341038093757</v>
      </c>
      <c r="L49" s="189">
        <f t="shared" si="16"/>
        <v>0.52466490802831234</v>
      </c>
    </row>
    <row r="50" spans="1:12">
      <c r="A50" s="326"/>
      <c r="B50" s="59">
        <f t="shared" si="11"/>
        <v>0.45</v>
      </c>
      <c r="C50" s="59">
        <v>0.5</v>
      </c>
      <c r="D50" s="59">
        <f>H6</f>
        <v>9.4166507681713293E-2</v>
      </c>
      <c r="E50" s="59">
        <f t="shared" si="12"/>
        <v>0.34472449278767803</v>
      </c>
      <c r="F50" s="173">
        <f t="shared" si="10"/>
        <v>8</v>
      </c>
      <c r="G50" s="173">
        <f t="shared" si="17"/>
        <v>1095</v>
      </c>
      <c r="H50" s="173">
        <f>SUM(F50:F56)</f>
        <v>30</v>
      </c>
      <c r="I50" s="190">
        <f t="shared" si="13"/>
        <v>2.1843353521928256E-3</v>
      </c>
      <c r="J50" s="175">
        <f t="shared" si="14"/>
        <v>9.1604272220153354E-2</v>
      </c>
      <c r="K50" s="59">
        <f t="shared" si="15"/>
        <v>0.2531202205675247</v>
      </c>
      <c r="L50" s="189">
        <f t="shared" si="16"/>
        <v>0.43632876500783135</v>
      </c>
    </row>
    <row r="51" spans="1:12">
      <c r="A51" s="326"/>
      <c r="B51" s="59">
        <f t="shared" si="11"/>
        <v>0.55000000000000004</v>
      </c>
      <c r="C51" s="59">
        <v>0.6</v>
      </c>
      <c r="D51" s="59">
        <f>I6</f>
        <v>5.0683821482807805E-2</v>
      </c>
      <c r="E51" s="59">
        <f t="shared" si="12"/>
        <v>0.25055798510596472</v>
      </c>
      <c r="F51" s="173">
        <f t="shared" si="10"/>
        <v>6</v>
      </c>
      <c r="G51" s="173">
        <f t="shared" si="17"/>
        <v>1103</v>
      </c>
      <c r="H51" s="173">
        <f>SUM(F51:F56)</f>
        <v>22</v>
      </c>
      <c r="I51" s="190">
        <f t="shared" si="13"/>
        <v>2.0434165733294674E-3</v>
      </c>
      <c r="J51" s="175">
        <f t="shared" si="14"/>
        <v>8.8600164266791737E-2</v>
      </c>
      <c r="K51" s="59">
        <f t="shared" si="15"/>
        <v>0.16195782083917298</v>
      </c>
      <c r="L51" s="189">
        <f t="shared" si="16"/>
        <v>0.33915814937275646</v>
      </c>
    </row>
    <row r="52" spans="1:12">
      <c r="A52" s="326"/>
      <c r="B52" s="59">
        <f t="shared" si="11"/>
        <v>0.64999999999999991</v>
      </c>
      <c r="C52" s="59">
        <v>0.7</v>
      </c>
      <c r="D52" s="59">
        <f>J6</f>
        <v>3.6738289350481901E-2</v>
      </c>
      <c r="E52" s="59">
        <f t="shared" si="12"/>
        <v>0.19987416362315691</v>
      </c>
      <c r="F52" s="173">
        <f t="shared" si="10"/>
        <v>3</v>
      </c>
      <c r="G52" s="173">
        <f t="shared" si="17"/>
        <v>1109</v>
      </c>
      <c r="H52" s="173">
        <f>SUM(F52:F56)</f>
        <v>16</v>
      </c>
      <c r="I52" s="190">
        <f t="shared" si="13"/>
        <v>2.0269400965014866E-3</v>
      </c>
      <c r="J52" s="175">
        <f t="shared" si="14"/>
        <v>8.8242240875445313E-2</v>
      </c>
      <c r="K52" s="59">
        <f t="shared" si="15"/>
        <v>0.1116319227477116</v>
      </c>
      <c r="L52" s="189">
        <f t="shared" si="16"/>
        <v>0.28811640449860221</v>
      </c>
    </row>
    <row r="53" spans="1:12">
      <c r="A53" s="326"/>
      <c r="B53" s="59">
        <f t="shared" si="11"/>
        <v>0.75</v>
      </c>
      <c r="C53" s="59">
        <v>0.8</v>
      </c>
      <c r="D53" s="59">
        <f>K6</f>
        <v>6.2997118827321799E-2</v>
      </c>
      <c r="E53" s="59">
        <f t="shared" si="12"/>
        <v>0.16313587427267501</v>
      </c>
      <c r="F53" s="173">
        <f t="shared" si="10"/>
        <v>4</v>
      </c>
      <c r="G53" s="173">
        <f t="shared" si="17"/>
        <v>1112</v>
      </c>
      <c r="H53" s="173">
        <f>SUM(F53:F56)</f>
        <v>13</v>
      </c>
      <c r="I53" s="190">
        <f t="shared" si="13"/>
        <v>1.8131062195358588E-3</v>
      </c>
      <c r="J53" s="175">
        <f t="shared" si="14"/>
        <v>8.3457946613662598E-2</v>
      </c>
      <c r="K53" s="59">
        <f t="shared" si="15"/>
        <v>7.967792765901241E-2</v>
      </c>
      <c r="L53" s="189">
        <f t="shared" si="16"/>
        <v>0.24659382088633761</v>
      </c>
    </row>
    <row r="54" spans="1:12">
      <c r="A54" s="326"/>
      <c r="B54" s="59">
        <f t="shared" si="11"/>
        <v>0.85000000000000009</v>
      </c>
      <c r="C54" s="59">
        <v>0.9</v>
      </c>
      <c r="D54" s="59">
        <f>L6</f>
        <v>4.4672025488636899E-2</v>
      </c>
      <c r="E54" s="59">
        <f t="shared" si="12"/>
        <v>0.10013875544535321</v>
      </c>
      <c r="F54" s="173">
        <f t="shared" si="10"/>
        <v>5</v>
      </c>
      <c r="G54" s="173">
        <f t="shared" si="17"/>
        <v>1116</v>
      </c>
      <c r="H54" s="173">
        <f>SUM(F54:F56)</f>
        <v>9</v>
      </c>
      <c r="I54" s="190">
        <f t="shared" si="13"/>
        <v>1.1368713088416701E-3</v>
      </c>
      <c r="J54" s="175">
        <f t="shared" si="14"/>
        <v>6.6086343672850906E-2</v>
      </c>
      <c r="K54" s="59">
        <f t="shared" si="15"/>
        <v>3.4052411772502303E-2</v>
      </c>
      <c r="L54" s="189">
        <f t="shared" si="16"/>
        <v>0.1662250991182041</v>
      </c>
    </row>
    <row r="55" spans="1:12">
      <c r="A55" s="326"/>
      <c r="B55" s="59">
        <f>C55</f>
        <v>0.95</v>
      </c>
      <c r="C55" s="59">
        <v>0.95</v>
      </c>
      <c r="D55" s="59">
        <f>M6</f>
        <v>5.5466729956717399E-2</v>
      </c>
      <c r="E55" s="59">
        <f t="shared" si="12"/>
        <v>5.546672995671631E-2</v>
      </c>
      <c r="F55" s="173">
        <f t="shared" si="10"/>
        <v>4</v>
      </c>
      <c r="G55" s="173">
        <f t="shared" si="17"/>
        <v>1121</v>
      </c>
      <c r="H55" s="173">
        <f>SUM(F55:F56)</f>
        <v>4</v>
      </c>
      <c r="I55" s="190">
        <f t="shared" si="13"/>
        <v>8.6078873962713257E-4</v>
      </c>
      <c r="J55" s="175">
        <f t="shared" si="14"/>
        <v>5.7504834771970194E-2</v>
      </c>
      <c r="K55" s="59">
        <f t="shared" si="15"/>
        <v>-2.0381048152538842E-3</v>
      </c>
      <c r="L55" s="189">
        <f t="shared" si="16"/>
        <v>0.1129715647286865</v>
      </c>
    </row>
    <row r="56" spans="1:12">
      <c r="A56" s="520"/>
      <c r="B56" s="187">
        <f>C56</f>
        <v>1</v>
      </c>
      <c r="C56" s="187">
        <v>1</v>
      </c>
      <c r="D56" s="187">
        <f>N6</f>
        <v>0</v>
      </c>
      <c r="E56" s="59">
        <f t="shared" si="12"/>
        <v>-1.0894063429134349E-15</v>
      </c>
      <c r="F56" s="126">
        <f t="shared" si="10"/>
        <v>0</v>
      </c>
      <c r="G56" s="126">
        <f t="shared" si="17"/>
        <v>1125</v>
      </c>
      <c r="H56" s="126">
        <f>SUM(F56)</f>
        <v>0</v>
      </c>
      <c r="I56" s="191" t="e">
        <f t="shared" si="13"/>
        <v>#DIV/0!</v>
      </c>
      <c r="J56" s="192" t="e">
        <f t="shared" si="14"/>
        <v>#DIV/0!</v>
      </c>
      <c r="K56" s="59" t="e">
        <f t="shared" ref="K56" si="18">E56-J56</f>
        <v>#DIV/0!</v>
      </c>
      <c r="L56" s="189" t="e">
        <f t="shared" ref="L56" si="19">E56+J56</f>
        <v>#DIV/0!</v>
      </c>
    </row>
    <row r="57" spans="1:12">
      <c r="A57" s="519" t="s">
        <v>6</v>
      </c>
      <c r="B57" s="186">
        <v>0</v>
      </c>
      <c r="C57" s="186">
        <v>0</v>
      </c>
      <c r="D57" s="186">
        <f>C7</f>
        <v>0</v>
      </c>
      <c r="E57" s="186">
        <v>1</v>
      </c>
      <c r="F57" s="128">
        <f>G14</f>
        <v>377</v>
      </c>
      <c r="G57" s="128"/>
      <c r="H57" s="128"/>
      <c r="I57" s="180" t="s">
        <v>72</v>
      </c>
      <c r="J57" s="185" t="s">
        <v>72</v>
      </c>
      <c r="K57" s="186">
        <v>1</v>
      </c>
      <c r="L57" s="188">
        <v>1</v>
      </c>
    </row>
    <row r="58" spans="1:12">
      <c r="A58" s="326"/>
      <c r="B58" s="59">
        <f>(C57+C58)/2</f>
        <v>0.05</v>
      </c>
      <c r="C58" s="59">
        <v>0.1</v>
      </c>
      <c r="D58" s="59">
        <f>D7</f>
        <v>0.17198407108036801</v>
      </c>
      <c r="E58" s="59">
        <f>E57-D57</f>
        <v>1</v>
      </c>
      <c r="F58" s="173">
        <f t="shared" ref="F58:F68" si="20">G15*$G$26</f>
        <v>307</v>
      </c>
      <c r="G58" s="173">
        <f>F57</f>
        <v>377</v>
      </c>
      <c r="H58" s="173">
        <f>SUM(F58:F68)</f>
        <v>386</v>
      </c>
      <c r="I58" s="190">
        <f>1.25*(E58^2)*((1-E58)^2)*((1/G58)+(1/H58))</f>
        <v>0</v>
      </c>
      <c r="J58" s="175">
        <f>1.96*SQRT(I58)</f>
        <v>0</v>
      </c>
      <c r="K58" s="59">
        <f>E58-J58</f>
        <v>1</v>
      </c>
      <c r="L58" s="189">
        <f>E58+J58</f>
        <v>1</v>
      </c>
    </row>
    <row r="59" spans="1:12" ht="15" customHeight="1">
      <c r="A59" s="326"/>
      <c r="B59" s="59">
        <f t="shared" ref="B59:B66" si="21">(C58+C59)/2</f>
        <v>0.15000000000000002</v>
      </c>
      <c r="C59" s="59">
        <v>0.2</v>
      </c>
      <c r="D59" s="59">
        <f>E7</f>
        <v>0.12743449739516699</v>
      </c>
      <c r="E59" s="59">
        <f t="shared" ref="E59:E68" si="22">E58-D58</f>
        <v>0.82801592891963205</v>
      </c>
      <c r="F59" s="173">
        <f t="shared" si="20"/>
        <v>32</v>
      </c>
      <c r="G59" s="173">
        <f>F58+G58</f>
        <v>684</v>
      </c>
      <c r="H59" s="173">
        <f>SUM(F59:F68)</f>
        <v>79</v>
      </c>
      <c r="I59" s="190">
        <f t="shared" ref="I59:I68" si="23">1.25*(E59^2)*((1-E59)^2)*((1/G59)+(1/H59))</f>
        <v>3.5793584400473538E-4</v>
      </c>
      <c r="J59" s="175">
        <f t="shared" ref="J59:J68" si="24">1.96*SQRT(I59)</f>
        <v>3.7081617256109416E-2</v>
      </c>
      <c r="K59" s="59">
        <f t="shared" ref="K59:K67" si="25">E59-J59</f>
        <v>0.79093431166352268</v>
      </c>
      <c r="L59" s="189">
        <f t="shared" ref="L59:L67" si="26">E59+J59</f>
        <v>0.86509754617574142</v>
      </c>
    </row>
    <row r="60" spans="1:12">
      <c r="A60" s="326"/>
      <c r="B60" s="59">
        <f t="shared" si="21"/>
        <v>0.25</v>
      </c>
      <c r="C60" s="59">
        <v>0.3</v>
      </c>
      <c r="D60" s="59">
        <f>F7</f>
        <v>9.9379354365978209E-2</v>
      </c>
      <c r="E60" s="59">
        <f t="shared" si="22"/>
        <v>0.70058143152446506</v>
      </c>
      <c r="F60" s="173">
        <f t="shared" si="20"/>
        <v>17</v>
      </c>
      <c r="G60" s="173">
        <f>F59+G59</f>
        <v>716</v>
      </c>
      <c r="H60" s="173">
        <f>SUM(F60:F68)</f>
        <v>47</v>
      </c>
      <c r="I60" s="190">
        <f t="shared" si="23"/>
        <v>1.2470916601046544E-3</v>
      </c>
      <c r="J60" s="175">
        <f t="shared" si="24"/>
        <v>6.9215802541457538E-2</v>
      </c>
      <c r="K60" s="59">
        <f t="shared" si="25"/>
        <v>0.63136562898300752</v>
      </c>
      <c r="L60" s="189">
        <f t="shared" si="26"/>
        <v>0.7697972340659226</v>
      </c>
    </row>
    <row r="61" spans="1:12">
      <c r="A61" s="326"/>
      <c r="B61" s="59">
        <f t="shared" si="21"/>
        <v>0.35</v>
      </c>
      <c r="C61" s="59">
        <v>0.4</v>
      </c>
      <c r="D61" s="59">
        <f>G7</f>
        <v>9.5351389140120493E-2</v>
      </c>
      <c r="E61" s="59">
        <f t="shared" si="22"/>
        <v>0.60120207715848684</v>
      </c>
      <c r="F61" s="173">
        <f t="shared" si="20"/>
        <v>9</v>
      </c>
      <c r="G61" s="173">
        <f t="shared" ref="G61:G68" si="27">F60+G60</f>
        <v>733</v>
      </c>
      <c r="H61" s="173">
        <f>SUM(F61:F68)</f>
        <v>30</v>
      </c>
      <c r="I61" s="190">
        <f t="shared" si="23"/>
        <v>2.4931938194715816E-3</v>
      </c>
      <c r="J61" s="175">
        <f t="shared" si="24"/>
        <v>9.7866507942615519E-2</v>
      </c>
      <c r="K61" s="59">
        <f t="shared" si="25"/>
        <v>0.5033355692158713</v>
      </c>
      <c r="L61" s="189">
        <f t="shared" si="26"/>
        <v>0.69906858510110237</v>
      </c>
    </row>
    <row r="62" spans="1:12">
      <c r="A62" s="326"/>
      <c r="B62" s="59">
        <f t="shared" si="21"/>
        <v>0.45</v>
      </c>
      <c r="C62" s="59">
        <v>0.5</v>
      </c>
      <c r="D62" s="59">
        <f>H7</f>
        <v>8.1856563920944703E-2</v>
      </c>
      <c r="E62" s="59">
        <f t="shared" si="22"/>
        <v>0.5058506880183663</v>
      </c>
      <c r="F62" s="173">
        <f t="shared" si="20"/>
        <v>6</v>
      </c>
      <c r="G62" s="173">
        <f t="shared" si="27"/>
        <v>742</v>
      </c>
      <c r="H62" s="173">
        <f>SUM(F62:F68)</f>
        <v>21</v>
      </c>
      <c r="I62" s="190">
        <f t="shared" si="23"/>
        <v>3.8244803249819865E-3</v>
      </c>
      <c r="J62" s="175">
        <f t="shared" si="24"/>
        <v>0.12121107051936635</v>
      </c>
      <c r="K62" s="59">
        <f t="shared" si="25"/>
        <v>0.38463961749899994</v>
      </c>
      <c r="L62" s="189">
        <f t="shared" si="26"/>
        <v>0.62706175853773261</v>
      </c>
    </row>
    <row r="63" spans="1:12">
      <c r="A63" s="326"/>
      <c r="B63" s="59">
        <f t="shared" si="21"/>
        <v>0.55000000000000004</v>
      </c>
      <c r="C63" s="59">
        <v>0.6</v>
      </c>
      <c r="D63" s="59">
        <f>I7</f>
        <v>5.8835429476933501E-2</v>
      </c>
      <c r="E63" s="59">
        <f t="shared" si="22"/>
        <v>0.4239941240974216</v>
      </c>
      <c r="F63" s="173">
        <f t="shared" si="20"/>
        <v>2</v>
      </c>
      <c r="G63" s="173">
        <f t="shared" si="27"/>
        <v>748</v>
      </c>
      <c r="H63" s="173">
        <f>SUM(F63:F68)</f>
        <v>15</v>
      </c>
      <c r="I63" s="190">
        <f t="shared" si="23"/>
        <v>5.0700844996054957E-3</v>
      </c>
      <c r="J63" s="175">
        <f t="shared" si="24"/>
        <v>0.13956087063960468</v>
      </c>
      <c r="K63" s="59">
        <f t="shared" si="25"/>
        <v>0.28443325345781689</v>
      </c>
      <c r="L63" s="189">
        <f t="shared" si="26"/>
        <v>0.5635549947370263</v>
      </c>
    </row>
    <row r="64" spans="1:12">
      <c r="A64" s="326"/>
      <c r="B64" s="59">
        <f t="shared" si="21"/>
        <v>0.64999999999999991</v>
      </c>
      <c r="C64" s="59">
        <v>0.7</v>
      </c>
      <c r="D64" s="59">
        <f>J7</f>
        <v>5.45103350208909E-2</v>
      </c>
      <c r="E64" s="59">
        <f t="shared" si="22"/>
        <v>0.36515869462048811</v>
      </c>
      <c r="F64" s="173">
        <f t="shared" si="20"/>
        <v>3</v>
      </c>
      <c r="G64" s="173">
        <f t="shared" si="27"/>
        <v>750</v>
      </c>
      <c r="H64" s="173">
        <f>SUM(F64:F68)</f>
        <v>13</v>
      </c>
      <c r="I64" s="190">
        <f t="shared" si="23"/>
        <v>5.2568257192286503E-3</v>
      </c>
      <c r="J64" s="175">
        <f t="shared" si="24"/>
        <v>0.14210778192269691</v>
      </c>
      <c r="K64" s="59">
        <f t="shared" si="25"/>
        <v>0.2230509126977912</v>
      </c>
      <c r="L64" s="189">
        <f t="shared" si="26"/>
        <v>0.50726647654318502</v>
      </c>
    </row>
    <row r="65" spans="1:12">
      <c r="A65" s="326"/>
      <c r="B65" s="59">
        <f t="shared" si="21"/>
        <v>0.75</v>
      </c>
      <c r="C65" s="59">
        <v>0.8</v>
      </c>
      <c r="D65" s="59">
        <f>K7</f>
        <v>4.6975533292095903E-2</v>
      </c>
      <c r="E65" s="59">
        <f t="shared" si="22"/>
        <v>0.31064835959959719</v>
      </c>
      <c r="F65" s="173">
        <f t="shared" si="20"/>
        <v>3</v>
      </c>
      <c r="G65" s="173">
        <f t="shared" si="27"/>
        <v>753</v>
      </c>
      <c r="H65" s="173">
        <f>SUM(F65:F68)</f>
        <v>10</v>
      </c>
      <c r="I65" s="190">
        <f t="shared" si="23"/>
        <v>5.8084376361606004E-3</v>
      </c>
      <c r="J65" s="175">
        <f t="shared" si="24"/>
        <v>0.14937768917436955</v>
      </c>
      <c r="K65" s="59">
        <f t="shared" si="25"/>
        <v>0.16127067042522764</v>
      </c>
      <c r="L65" s="189">
        <f t="shared" si="26"/>
        <v>0.46002604877396674</v>
      </c>
    </row>
    <row r="66" spans="1:12">
      <c r="A66" s="326"/>
      <c r="B66" s="59">
        <f t="shared" si="21"/>
        <v>0.85000000000000009</v>
      </c>
      <c r="C66" s="59">
        <v>0.9</v>
      </c>
      <c r="D66" s="59">
        <f>L7</f>
        <v>9.4941942789193309E-2</v>
      </c>
      <c r="E66" s="59">
        <f t="shared" si="22"/>
        <v>0.26367282630750127</v>
      </c>
      <c r="F66" s="173">
        <f t="shared" si="20"/>
        <v>3</v>
      </c>
      <c r="G66" s="173">
        <f t="shared" si="27"/>
        <v>756</v>
      </c>
      <c r="H66" s="173">
        <f>SUM(F66:F68)</f>
        <v>7</v>
      </c>
      <c r="I66" s="190">
        <f t="shared" si="23"/>
        <v>6.7933989622805E-3</v>
      </c>
      <c r="J66" s="175">
        <f t="shared" si="24"/>
        <v>0.16154727312306069</v>
      </c>
      <c r="K66" s="59">
        <f t="shared" si="25"/>
        <v>0.10212555318444058</v>
      </c>
      <c r="L66" s="189">
        <f t="shared" si="26"/>
        <v>0.42522009943056194</v>
      </c>
    </row>
    <row r="67" spans="1:12">
      <c r="A67" s="326"/>
      <c r="B67" s="59">
        <f>C67</f>
        <v>0.95</v>
      </c>
      <c r="C67" s="59">
        <v>0.95</v>
      </c>
      <c r="D67" s="59">
        <f>M7</f>
        <v>0.16873088351831</v>
      </c>
      <c r="E67" s="59">
        <f t="shared" si="22"/>
        <v>0.16873088351830795</v>
      </c>
      <c r="F67" s="173">
        <f t="shared" si="20"/>
        <v>4</v>
      </c>
      <c r="G67" s="173">
        <f t="shared" si="27"/>
        <v>759</v>
      </c>
      <c r="H67" s="173">
        <f>SUM(F67:F68)</f>
        <v>4</v>
      </c>
      <c r="I67" s="190">
        <f t="shared" si="23"/>
        <v>6.1802385191267678E-3</v>
      </c>
      <c r="J67" s="175">
        <f t="shared" si="24"/>
        <v>0.15408440639817317</v>
      </c>
      <c r="K67" s="59">
        <f t="shared" si="25"/>
        <v>1.4646477120134782E-2</v>
      </c>
      <c r="L67" s="189">
        <f t="shared" si="26"/>
        <v>0.32281528991648112</v>
      </c>
    </row>
    <row r="68" spans="1:12">
      <c r="A68" s="520"/>
      <c r="B68" s="187">
        <f>C68</f>
        <v>1</v>
      </c>
      <c r="C68" s="187">
        <v>1</v>
      </c>
      <c r="D68" s="187">
        <f>N7</f>
        <v>0</v>
      </c>
      <c r="E68" s="59">
        <f t="shared" si="22"/>
        <v>-2.0539125955565396E-15</v>
      </c>
      <c r="F68" s="126">
        <f t="shared" si="20"/>
        <v>0</v>
      </c>
      <c r="G68" s="126">
        <f t="shared" si="27"/>
        <v>763</v>
      </c>
      <c r="H68" s="126">
        <f>SUM(F68)</f>
        <v>0</v>
      </c>
      <c r="I68" s="191" t="e">
        <f t="shared" si="23"/>
        <v>#DIV/0!</v>
      </c>
      <c r="J68" s="192" t="e">
        <f t="shared" si="24"/>
        <v>#DIV/0!</v>
      </c>
      <c r="K68" s="59" t="e">
        <f t="shared" ref="K68" si="28">E68-J68</f>
        <v>#DIV/0!</v>
      </c>
      <c r="L68" s="189" t="e">
        <f t="shared" ref="L68" si="29">E68+J68</f>
        <v>#DIV/0!</v>
      </c>
    </row>
    <row r="69" spans="1:12">
      <c r="A69" s="519" t="s">
        <v>5</v>
      </c>
      <c r="B69" s="186">
        <v>0</v>
      </c>
      <c r="C69" s="186">
        <v>0</v>
      </c>
      <c r="D69" s="186">
        <f>C8</f>
        <v>0</v>
      </c>
      <c r="E69" s="186">
        <v>1</v>
      </c>
      <c r="F69" s="128">
        <f>I14</f>
        <v>2861</v>
      </c>
      <c r="G69" s="128"/>
      <c r="H69" s="128"/>
      <c r="I69" s="180" t="s">
        <v>72</v>
      </c>
      <c r="J69" s="185" t="s">
        <v>72</v>
      </c>
      <c r="K69" s="186">
        <v>1</v>
      </c>
      <c r="L69" s="188">
        <v>1</v>
      </c>
    </row>
    <row r="70" spans="1:12">
      <c r="A70" s="326"/>
      <c r="B70" s="59">
        <f>(C69+C70)/2</f>
        <v>0.05</v>
      </c>
      <c r="C70" s="59">
        <v>0.1</v>
      </c>
      <c r="D70" s="59">
        <f>D8</f>
        <v>0.105708946827112</v>
      </c>
      <c r="E70" s="59">
        <f>E69-D69</f>
        <v>1</v>
      </c>
      <c r="F70" s="173">
        <f t="shared" ref="F70:F80" si="30">I15*$I$26</f>
        <v>1115</v>
      </c>
      <c r="G70" s="173">
        <f>F69</f>
        <v>2861</v>
      </c>
      <c r="H70" s="173">
        <f>SUM(F70:F80)</f>
        <v>1559</v>
      </c>
      <c r="I70" s="190">
        <f>1.25*(E70^2)*((1-E70)^2)*((1/G70)+(1/H70))</f>
        <v>0</v>
      </c>
      <c r="J70" s="175">
        <f>1.96*SQRT(I70)</f>
        <v>0</v>
      </c>
      <c r="K70" s="59">
        <f>E70-J70</f>
        <v>1</v>
      </c>
      <c r="L70" s="189">
        <f>E70+J70</f>
        <v>1</v>
      </c>
    </row>
    <row r="71" spans="1:12">
      <c r="A71" s="326"/>
      <c r="B71" s="59">
        <f t="shared" ref="B71:B78" si="31">(C70+C71)/2</f>
        <v>0.15000000000000002</v>
      </c>
      <c r="C71" s="59">
        <v>0.2</v>
      </c>
      <c r="D71" s="59">
        <f>E8</f>
        <v>9.4929647458564401E-2</v>
      </c>
      <c r="E71" s="59">
        <f t="shared" ref="E71:E80" si="32">E70-D70</f>
        <v>0.89429105317288804</v>
      </c>
      <c r="F71" s="173">
        <f t="shared" si="30"/>
        <v>146</v>
      </c>
      <c r="G71" s="173">
        <f>F70+G70</f>
        <v>3976</v>
      </c>
      <c r="H71" s="173">
        <f>SUM(F71:F80)</f>
        <v>444</v>
      </c>
      <c r="I71" s="190">
        <f t="shared" ref="I71:I80" si="33">1.25*(E71^2)*((1-E71)^2)*((1/G71)+(1/H71))</f>
        <v>2.7969467646630475E-5</v>
      </c>
      <c r="J71" s="175">
        <f t="shared" ref="J71:J80" si="34">1.96*SQRT(I71)</f>
        <v>1.0365688926033602E-2</v>
      </c>
      <c r="K71" s="59">
        <f t="shared" ref="K71:K79" si="35">E71-J71</f>
        <v>0.88392536424685442</v>
      </c>
      <c r="L71" s="189">
        <f t="shared" ref="L71:L79" si="36">E71+J71</f>
        <v>0.90465674209892166</v>
      </c>
    </row>
    <row r="72" spans="1:12">
      <c r="A72" s="326"/>
      <c r="B72" s="59">
        <f t="shared" si="31"/>
        <v>0.25</v>
      </c>
      <c r="C72" s="59">
        <v>0.3</v>
      </c>
      <c r="D72" s="59">
        <f>F8</f>
        <v>7.3867272521868796E-2</v>
      </c>
      <c r="E72" s="59">
        <f t="shared" si="32"/>
        <v>0.79936140571432368</v>
      </c>
      <c r="F72" s="173">
        <f t="shared" si="30"/>
        <v>67</v>
      </c>
      <c r="G72" s="173">
        <f t="shared" ref="G72:G80" si="37">F71+G71</f>
        <v>4122</v>
      </c>
      <c r="H72" s="173">
        <f>SUM(F72:F80)</f>
        <v>298</v>
      </c>
      <c r="I72" s="190">
        <f t="shared" si="33"/>
        <v>1.156973297781465E-4</v>
      </c>
      <c r="J72" s="175">
        <f t="shared" si="34"/>
        <v>2.1082287875743646E-2</v>
      </c>
      <c r="K72" s="59">
        <f t="shared" si="35"/>
        <v>0.77827911783858006</v>
      </c>
      <c r="L72" s="189">
        <f t="shared" si="36"/>
        <v>0.8204436935900673</v>
      </c>
    </row>
    <row r="73" spans="1:12" ht="15" customHeight="1">
      <c r="A73" s="326"/>
      <c r="B73" s="59">
        <f t="shared" si="31"/>
        <v>0.35</v>
      </c>
      <c r="C73" s="59">
        <v>0.4</v>
      </c>
      <c r="D73" s="59">
        <f>G8</f>
        <v>6.0885135236106301E-2</v>
      </c>
      <c r="E73" s="59">
        <f t="shared" si="32"/>
        <v>0.72549413319245493</v>
      </c>
      <c r="F73" s="173">
        <f t="shared" si="30"/>
        <v>38</v>
      </c>
      <c r="G73" s="173">
        <f t="shared" si="37"/>
        <v>4189</v>
      </c>
      <c r="H73" s="173">
        <f>SUM(F73:F80)</f>
        <v>231</v>
      </c>
      <c r="I73" s="190">
        <f t="shared" si="33"/>
        <v>2.2645453023270124E-4</v>
      </c>
      <c r="J73" s="175">
        <f t="shared" si="34"/>
        <v>2.9494876221844785E-2</v>
      </c>
      <c r="K73" s="59">
        <f t="shared" si="35"/>
        <v>0.69599925697061016</v>
      </c>
      <c r="L73" s="189">
        <f t="shared" si="36"/>
        <v>0.75498900941429969</v>
      </c>
    </row>
    <row r="74" spans="1:12">
      <c r="A74" s="326"/>
      <c r="B74" s="59">
        <f t="shared" si="31"/>
        <v>0.45</v>
      </c>
      <c r="C74" s="59">
        <v>0.5</v>
      </c>
      <c r="D74" s="59">
        <f>H8</f>
        <v>4.7191870785282794E-2</v>
      </c>
      <c r="E74" s="59">
        <f t="shared" si="32"/>
        <v>0.66460899795634865</v>
      </c>
      <c r="F74" s="173">
        <f t="shared" si="30"/>
        <v>30</v>
      </c>
      <c r="G74" s="173">
        <f t="shared" si="37"/>
        <v>4227</v>
      </c>
      <c r="H74" s="173">
        <f>SUM(F74:F80)</f>
        <v>193</v>
      </c>
      <c r="I74" s="190">
        <f t="shared" si="33"/>
        <v>3.3649450241391907E-4</v>
      </c>
      <c r="J74" s="175">
        <f t="shared" si="34"/>
        <v>3.5953821500270475E-2</v>
      </c>
      <c r="K74" s="59">
        <f t="shared" si="35"/>
        <v>0.62865517645607816</v>
      </c>
      <c r="L74" s="189">
        <f t="shared" si="36"/>
        <v>0.70056281945661913</v>
      </c>
    </row>
    <row r="75" spans="1:12">
      <c r="A75" s="326"/>
      <c r="B75" s="59">
        <f t="shared" si="31"/>
        <v>0.55000000000000004</v>
      </c>
      <c r="C75" s="59">
        <v>0.6</v>
      </c>
      <c r="D75" s="59">
        <f>I8</f>
        <v>4.2311563698167499E-2</v>
      </c>
      <c r="E75" s="59">
        <f t="shared" si="32"/>
        <v>0.61741712717106589</v>
      </c>
      <c r="F75" s="173">
        <f t="shared" si="30"/>
        <v>18</v>
      </c>
      <c r="G75" s="173">
        <f t="shared" si="37"/>
        <v>4257</v>
      </c>
      <c r="H75" s="173">
        <f>SUM(F75:F80)</f>
        <v>163</v>
      </c>
      <c r="I75" s="190">
        <f t="shared" si="33"/>
        <v>4.4427248908245607E-4</v>
      </c>
      <c r="J75" s="175">
        <f t="shared" si="34"/>
        <v>4.1312433891737284E-2</v>
      </c>
      <c r="K75" s="59">
        <f t="shared" si="35"/>
        <v>0.57610469327932856</v>
      </c>
      <c r="L75" s="189">
        <f t="shared" si="36"/>
        <v>0.65872956106280323</v>
      </c>
    </row>
    <row r="76" spans="1:12">
      <c r="A76" s="326"/>
      <c r="B76" s="59">
        <f t="shared" si="31"/>
        <v>0.64999999999999991</v>
      </c>
      <c r="C76" s="59">
        <v>0.7</v>
      </c>
      <c r="D76" s="59">
        <f>J8</f>
        <v>7.09465675692076E-2</v>
      </c>
      <c r="E76" s="59">
        <f t="shared" si="32"/>
        <v>0.57510556347289843</v>
      </c>
      <c r="F76" s="173">
        <f t="shared" si="30"/>
        <v>24</v>
      </c>
      <c r="G76" s="173">
        <f t="shared" si="37"/>
        <v>4275</v>
      </c>
      <c r="H76" s="173">
        <f>SUM(F76:F80)</f>
        <v>145</v>
      </c>
      <c r="I76" s="190">
        <f t="shared" si="33"/>
        <v>5.3221288904868331E-4</v>
      </c>
      <c r="J76" s="175">
        <f t="shared" si="34"/>
        <v>4.5216689778990037E-2</v>
      </c>
      <c r="K76" s="59">
        <f t="shared" si="35"/>
        <v>0.52988887369390836</v>
      </c>
      <c r="L76" s="189">
        <f t="shared" si="36"/>
        <v>0.6203222532518885</v>
      </c>
    </row>
    <row r="77" spans="1:12">
      <c r="A77" s="326"/>
      <c r="B77" s="59">
        <f t="shared" si="31"/>
        <v>0.75</v>
      </c>
      <c r="C77" s="59">
        <v>0.8</v>
      </c>
      <c r="D77" s="59">
        <f>K8</f>
        <v>4.1139399713680198E-2</v>
      </c>
      <c r="E77" s="59">
        <f t="shared" si="32"/>
        <v>0.50415899590369084</v>
      </c>
      <c r="F77" s="173">
        <f t="shared" si="30"/>
        <v>17</v>
      </c>
      <c r="G77" s="173">
        <f t="shared" si="37"/>
        <v>4299</v>
      </c>
      <c r="H77" s="173">
        <f>SUM(F77:F80)</f>
        <v>121</v>
      </c>
      <c r="I77" s="190">
        <f t="shared" si="33"/>
        <v>6.6374213109028884E-4</v>
      </c>
      <c r="J77" s="175">
        <f t="shared" si="34"/>
        <v>5.0495858947011224E-2</v>
      </c>
      <c r="K77" s="59">
        <f t="shared" si="35"/>
        <v>0.45366313695667959</v>
      </c>
      <c r="L77" s="189">
        <f t="shared" si="36"/>
        <v>0.55465485485070209</v>
      </c>
    </row>
    <row r="78" spans="1:12">
      <c r="A78" s="326"/>
      <c r="B78" s="59">
        <f t="shared" si="31"/>
        <v>0.85000000000000009</v>
      </c>
      <c r="C78" s="59">
        <v>0.9</v>
      </c>
      <c r="D78" s="59">
        <f>L8</f>
        <v>0.11391819328835</v>
      </c>
      <c r="E78" s="59">
        <f t="shared" si="32"/>
        <v>0.46301959619001065</v>
      </c>
      <c r="F78" s="173">
        <f t="shared" si="30"/>
        <v>24</v>
      </c>
      <c r="G78" s="173">
        <f t="shared" si="37"/>
        <v>4316</v>
      </c>
      <c r="H78" s="173">
        <f>SUM(F78:F80)</f>
        <v>104</v>
      </c>
      <c r="I78" s="190">
        <f t="shared" si="33"/>
        <v>7.6090970808679508E-4</v>
      </c>
      <c r="J78" s="175">
        <f t="shared" si="34"/>
        <v>5.4065800045742705E-2</v>
      </c>
      <c r="K78" s="59">
        <f t="shared" si="35"/>
        <v>0.40895379614426797</v>
      </c>
      <c r="L78" s="189">
        <f t="shared" si="36"/>
        <v>0.51708539623575334</v>
      </c>
    </row>
    <row r="79" spans="1:12">
      <c r="A79" s="326"/>
      <c r="B79" s="59">
        <f>C79</f>
        <v>0.95</v>
      </c>
      <c r="C79" s="59">
        <v>0.95</v>
      </c>
      <c r="D79" s="59">
        <f>M8</f>
        <v>0.34323338096557299</v>
      </c>
      <c r="E79" s="59">
        <f t="shared" si="32"/>
        <v>0.34910140290166064</v>
      </c>
      <c r="F79" s="173">
        <f t="shared" si="30"/>
        <v>80</v>
      </c>
      <c r="G79" s="173">
        <f t="shared" si="37"/>
        <v>4340</v>
      </c>
      <c r="H79" s="173">
        <f>SUM(F79:F80)</f>
        <v>80</v>
      </c>
      <c r="I79" s="190">
        <f t="shared" si="33"/>
        <v>8.2164161015837122E-4</v>
      </c>
      <c r="J79" s="175">
        <f t="shared" si="34"/>
        <v>5.6182011441246911E-2</v>
      </c>
      <c r="K79" s="59">
        <f t="shared" si="35"/>
        <v>0.29291939146041374</v>
      </c>
      <c r="L79" s="189">
        <f t="shared" si="36"/>
        <v>0.40528341434290754</v>
      </c>
    </row>
    <row r="80" spans="1:12">
      <c r="A80" s="520"/>
      <c r="B80" s="187">
        <f>C80</f>
        <v>1</v>
      </c>
      <c r="C80" s="187">
        <v>1</v>
      </c>
      <c r="D80" s="187">
        <f>N8</f>
        <v>5.8680219360854402E-3</v>
      </c>
      <c r="E80" s="59">
        <f t="shared" si="32"/>
        <v>5.8680219360876529E-3</v>
      </c>
      <c r="F80" s="126">
        <f t="shared" si="30"/>
        <v>0</v>
      </c>
      <c r="G80" s="126">
        <f t="shared" si="37"/>
        <v>4420</v>
      </c>
      <c r="H80" s="126">
        <f>SUM(F80)</f>
        <v>0</v>
      </c>
      <c r="I80" s="191" t="e">
        <f t="shared" si="33"/>
        <v>#DIV/0!</v>
      </c>
      <c r="J80" s="192" t="e">
        <f t="shared" si="34"/>
        <v>#DIV/0!</v>
      </c>
      <c r="K80" s="59" t="e">
        <f t="shared" ref="K80" si="38">E80-J80</f>
        <v>#DIV/0!</v>
      </c>
      <c r="L80" s="189" t="e">
        <f t="shared" ref="L80" si="39">E80+J80</f>
        <v>#DIV/0!</v>
      </c>
    </row>
    <row r="81" spans="1:14">
      <c r="A81" s="518" t="s">
        <v>4</v>
      </c>
      <c r="B81" s="186">
        <v>0</v>
      </c>
      <c r="C81" s="186">
        <v>0</v>
      </c>
      <c r="D81" s="59">
        <f>C9</f>
        <v>0</v>
      </c>
      <c r="E81" s="186">
        <v>1</v>
      </c>
      <c r="F81" s="173">
        <f>K14</f>
        <v>162122</v>
      </c>
      <c r="G81" s="177"/>
      <c r="H81" s="177"/>
      <c r="I81" s="180" t="s">
        <v>72</v>
      </c>
      <c r="J81" s="185" t="s">
        <v>72</v>
      </c>
      <c r="K81" s="186">
        <v>1</v>
      </c>
      <c r="L81" s="188">
        <v>1</v>
      </c>
    </row>
    <row r="82" spans="1:14">
      <c r="A82" s="326"/>
      <c r="B82" s="59">
        <f>(C81+C82)/2</f>
        <v>0.05</v>
      </c>
      <c r="C82" s="59">
        <v>0.1</v>
      </c>
      <c r="D82" s="59">
        <f>D9</f>
        <v>3.4085562553528299E-2</v>
      </c>
      <c r="E82" s="59">
        <f>E81-D81</f>
        <v>1</v>
      </c>
      <c r="F82" s="173">
        <f t="shared" ref="F82:F92" si="40">K15*$K$26</f>
        <v>2567</v>
      </c>
      <c r="G82" s="173">
        <f>F81</f>
        <v>162122</v>
      </c>
      <c r="H82" s="173">
        <f>SUM(F82:F92)</f>
        <v>19799</v>
      </c>
      <c r="I82" s="190">
        <f>1.25*(E82^2)*((1-E82)^2)*((1/G82)+(1/H82))</f>
        <v>0</v>
      </c>
      <c r="J82" s="175">
        <f>1.96*SQRT(I82)</f>
        <v>0</v>
      </c>
      <c r="K82" s="59">
        <f>E82-J82</f>
        <v>1</v>
      </c>
      <c r="L82" s="189">
        <f>E82+J82</f>
        <v>1</v>
      </c>
    </row>
    <row r="83" spans="1:14">
      <c r="A83" s="326"/>
      <c r="B83" s="59">
        <f t="shared" ref="B83:B90" si="41">(C82+C83)/2</f>
        <v>0.15000000000000002</v>
      </c>
      <c r="C83" s="59">
        <v>0.2</v>
      </c>
      <c r="D83" s="59">
        <f>E9</f>
        <v>3.7321876629319205E-2</v>
      </c>
      <c r="E83" s="59">
        <f t="shared" ref="E83:E92" si="42">E82-D82</f>
        <v>0.96591443744647165</v>
      </c>
      <c r="F83" s="173">
        <f t="shared" si="40"/>
        <v>1787.0000000000002</v>
      </c>
      <c r="G83" s="173">
        <f>F82+G82</f>
        <v>164689</v>
      </c>
      <c r="H83" s="173">
        <f>SUM(F83:F92)</f>
        <v>17232</v>
      </c>
      <c r="I83" s="190">
        <f t="shared" ref="I83:I92" si="43">1.25*(E83^2)*((1-E83)^2)*((1/G83)+(1/H83))</f>
        <v>8.6858198241638779E-8</v>
      </c>
      <c r="J83" s="175">
        <f t="shared" ref="J83:J92" si="44">1.96*SQRT(I83)</f>
        <v>5.7764561312718336E-4</v>
      </c>
      <c r="K83" s="59">
        <f t="shared" ref="K83:K91" si="45">E83-J83</f>
        <v>0.96533679183334442</v>
      </c>
      <c r="L83" s="189">
        <f t="shared" ref="L83:L91" si="46">E83+J83</f>
        <v>0.96649208305959888</v>
      </c>
    </row>
    <row r="84" spans="1:14">
      <c r="A84" s="326"/>
      <c r="B84" s="59">
        <f t="shared" si="41"/>
        <v>0.25</v>
      </c>
      <c r="C84" s="59">
        <v>0.3</v>
      </c>
      <c r="D84" s="59">
        <f>F9</f>
        <v>3.0904467125836298E-2</v>
      </c>
      <c r="E84" s="59">
        <f t="shared" si="42"/>
        <v>0.92859256081715247</v>
      </c>
      <c r="F84" s="173">
        <f t="shared" si="40"/>
        <v>970</v>
      </c>
      <c r="G84" s="173">
        <f t="shared" ref="G84:G92" si="47">F83+G83</f>
        <v>166476</v>
      </c>
      <c r="H84" s="173">
        <f>SUM(F84:F92)</f>
        <v>15445</v>
      </c>
      <c r="I84" s="190">
        <f t="shared" si="43"/>
        <v>3.8885762577865649E-7</v>
      </c>
      <c r="J84" s="175">
        <f t="shared" si="44"/>
        <v>1.2222256155028362E-3</v>
      </c>
      <c r="K84" s="59">
        <f t="shared" si="45"/>
        <v>0.92737033520164969</v>
      </c>
      <c r="L84" s="189">
        <f t="shared" si="46"/>
        <v>0.92981478643265525</v>
      </c>
    </row>
    <row r="85" spans="1:14">
      <c r="A85" s="326"/>
      <c r="B85" s="59">
        <f t="shared" si="41"/>
        <v>0.35</v>
      </c>
      <c r="C85" s="59">
        <v>0.4</v>
      </c>
      <c r="D85" s="59">
        <f>G9</f>
        <v>3.0259079871178499E-2</v>
      </c>
      <c r="E85" s="59">
        <f t="shared" si="42"/>
        <v>0.89768809369131619</v>
      </c>
      <c r="F85" s="173">
        <f t="shared" si="40"/>
        <v>1204</v>
      </c>
      <c r="G85" s="173">
        <f t="shared" si="47"/>
        <v>167446</v>
      </c>
      <c r="H85" s="173">
        <f>SUM(F85:F92)</f>
        <v>14475</v>
      </c>
      <c r="I85" s="190">
        <f t="shared" si="43"/>
        <v>7.9141227351910002E-7</v>
      </c>
      <c r="J85" s="175">
        <f t="shared" si="44"/>
        <v>1.7436425637013379E-3</v>
      </c>
      <c r="K85" s="59">
        <f t="shared" si="45"/>
        <v>0.89594445112761489</v>
      </c>
      <c r="L85" s="189">
        <f t="shared" si="46"/>
        <v>0.89943173625501749</v>
      </c>
    </row>
    <row r="86" spans="1:14">
      <c r="A86" s="326"/>
      <c r="B86" s="59">
        <f t="shared" si="41"/>
        <v>0.45</v>
      </c>
      <c r="C86" s="59">
        <v>0.5</v>
      </c>
      <c r="D86" s="59">
        <f>H9</f>
        <v>3.2715188122332102E-2</v>
      </c>
      <c r="E86" s="59">
        <f t="shared" si="42"/>
        <v>0.86742901382013771</v>
      </c>
      <c r="F86" s="173">
        <f t="shared" si="40"/>
        <v>412</v>
      </c>
      <c r="G86" s="173">
        <f t="shared" si="47"/>
        <v>168650</v>
      </c>
      <c r="H86" s="173">
        <f>SUM(F86:F92)</f>
        <v>13271</v>
      </c>
      <c r="I86" s="190">
        <f t="shared" si="43"/>
        <v>1.3435929475222478E-6</v>
      </c>
      <c r="J86" s="175">
        <f t="shared" si="44"/>
        <v>2.2719037539476595E-3</v>
      </c>
      <c r="K86" s="59">
        <f t="shared" si="45"/>
        <v>0.86515711006619</v>
      </c>
      <c r="L86" s="189">
        <f t="shared" si="46"/>
        <v>0.86970091757408541</v>
      </c>
    </row>
    <row r="87" spans="1:14" ht="15" customHeight="1">
      <c r="A87" s="326"/>
      <c r="B87" s="59">
        <f t="shared" si="41"/>
        <v>0.55000000000000004</v>
      </c>
      <c r="C87" s="59">
        <v>0.6</v>
      </c>
      <c r="D87" s="59">
        <f>I9</f>
        <v>3.4092393361074398E-2</v>
      </c>
      <c r="E87" s="59">
        <f t="shared" si="42"/>
        <v>0.83471382569780561</v>
      </c>
      <c r="F87" s="173">
        <f t="shared" si="40"/>
        <v>368</v>
      </c>
      <c r="G87" s="173">
        <f t="shared" si="47"/>
        <v>169062</v>
      </c>
      <c r="H87" s="173">
        <f>SUM(F87:F92)</f>
        <v>12859</v>
      </c>
      <c r="I87" s="190">
        <f t="shared" si="43"/>
        <v>1.9910763697112252E-6</v>
      </c>
      <c r="J87" s="175">
        <f t="shared" si="44"/>
        <v>2.7656679088210578E-3</v>
      </c>
      <c r="K87" s="59">
        <f t="shared" si="45"/>
        <v>0.83194815778898457</v>
      </c>
      <c r="L87" s="189">
        <f t="shared" si="46"/>
        <v>0.83747949360662666</v>
      </c>
    </row>
    <row r="88" spans="1:14">
      <c r="A88" s="326"/>
      <c r="B88" s="59">
        <f t="shared" si="41"/>
        <v>0.64999999999999991</v>
      </c>
      <c r="C88" s="59">
        <v>0.7</v>
      </c>
      <c r="D88" s="59">
        <f>J9</f>
        <v>5.0049255996179598E-2</v>
      </c>
      <c r="E88" s="59">
        <f t="shared" si="42"/>
        <v>0.80062143233673122</v>
      </c>
      <c r="F88" s="173">
        <f t="shared" si="40"/>
        <v>932</v>
      </c>
      <c r="G88" s="173">
        <f t="shared" si="47"/>
        <v>169430</v>
      </c>
      <c r="H88" s="173">
        <f>SUM(F88:F92)</f>
        <v>12491</v>
      </c>
      <c r="I88" s="190">
        <f t="shared" si="43"/>
        <v>2.7378944126345642E-6</v>
      </c>
      <c r="J88" s="175">
        <f t="shared" si="44"/>
        <v>3.2431304592286971E-3</v>
      </c>
      <c r="K88" s="59">
        <f t="shared" si="45"/>
        <v>0.79737830187750247</v>
      </c>
      <c r="L88" s="189">
        <f t="shared" si="46"/>
        <v>0.80386456279595997</v>
      </c>
    </row>
    <row r="89" spans="1:14">
      <c r="A89" s="326"/>
      <c r="B89" s="59">
        <f t="shared" si="41"/>
        <v>0.75</v>
      </c>
      <c r="C89" s="59">
        <v>0.8</v>
      </c>
      <c r="D89" s="59">
        <f>K9</f>
        <v>7.2887643277249892E-2</v>
      </c>
      <c r="E89" s="59">
        <f t="shared" si="42"/>
        <v>0.75057217634055162</v>
      </c>
      <c r="F89" s="173">
        <f t="shared" si="40"/>
        <v>1124</v>
      </c>
      <c r="G89" s="173">
        <f t="shared" si="47"/>
        <v>170362</v>
      </c>
      <c r="H89" s="173">
        <f>SUM(F89:F92)</f>
        <v>11559</v>
      </c>
      <c r="I89" s="190">
        <f t="shared" si="43"/>
        <v>4.0473854950018618E-6</v>
      </c>
      <c r="J89" s="175">
        <f t="shared" si="44"/>
        <v>3.943150531947665E-3</v>
      </c>
      <c r="K89" s="59">
        <f t="shared" si="45"/>
        <v>0.74662902580860391</v>
      </c>
      <c r="L89" s="189">
        <f t="shared" si="46"/>
        <v>0.75451532687249934</v>
      </c>
    </row>
    <row r="90" spans="1:14">
      <c r="A90" s="326"/>
      <c r="B90" s="59">
        <f t="shared" si="41"/>
        <v>0.85000000000000009</v>
      </c>
      <c r="C90" s="59">
        <v>0.9</v>
      </c>
      <c r="D90" s="59">
        <f>L9</f>
        <v>0.15842528892350599</v>
      </c>
      <c r="E90" s="59">
        <f t="shared" si="42"/>
        <v>0.67768453306330168</v>
      </c>
      <c r="F90" s="173">
        <f t="shared" si="40"/>
        <v>1249.9999999999998</v>
      </c>
      <c r="G90" s="173">
        <f t="shared" si="47"/>
        <v>171486</v>
      </c>
      <c r="H90" s="173">
        <f>SUM(F90:F92)</f>
        <v>10435</v>
      </c>
      <c r="I90" s="190">
        <f t="shared" si="43"/>
        <v>6.0630222832028219E-6</v>
      </c>
      <c r="J90" s="175">
        <f t="shared" si="44"/>
        <v>4.8261481953160079E-3</v>
      </c>
      <c r="K90" s="59">
        <f t="shared" si="45"/>
        <v>0.67285838486798566</v>
      </c>
      <c r="L90" s="189">
        <f t="shared" si="46"/>
        <v>0.68251068125861769</v>
      </c>
    </row>
    <row r="91" spans="1:14">
      <c r="A91" s="326"/>
      <c r="B91" s="59">
        <f>C91</f>
        <v>0.95</v>
      </c>
      <c r="C91" s="59">
        <v>0.95</v>
      </c>
      <c r="D91" s="59">
        <f>M9</f>
        <v>0.39871379083981601</v>
      </c>
      <c r="E91" s="59">
        <f t="shared" si="42"/>
        <v>0.51925924413979563</v>
      </c>
      <c r="F91" s="173">
        <f t="shared" si="40"/>
        <v>9185</v>
      </c>
      <c r="G91" s="173">
        <f t="shared" si="47"/>
        <v>172736</v>
      </c>
      <c r="H91" s="173">
        <f>SUM(F91:F92)</f>
        <v>9185</v>
      </c>
      <c r="I91" s="190">
        <f t="shared" si="43"/>
        <v>8.9314338504225537E-6</v>
      </c>
      <c r="J91" s="175">
        <f t="shared" si="44"/>
        <v>5.8575589010938069E-3</v>
      </c>
      <c r="K91" s="59">
        <f t="shared" si="45"/>
        <v>0.51340168523870178</v>
      </c>
      <c r="L91" s="189">
        <f t="shared" si="46"/>
        <v>0.52511680304088948</v>
      </c>
    </row>
    <row r="92" spans="1:14" ht="16" thickBot="1">
      <c r="A92" s="327"/>
      <c r="B92" s="193">
        <f>C92</f>
        <v>1</v>
      </c>
      <c r="C92" s="193">
        <v>1</v>
      </c>
      <c r="D92" s="193">
        <f>N9</f>
        <v>0.12054545329978099</v>
      </c>
      <c r="E92" s="193">
        <f t="shared" si="42"/>
        <v>0.12054545329997962</v>
      </c>
      <c r="F92" s="174">
        <f t="shared" si="40"/>
        <v>0</v>
      </c>
      <c r="G92" s="174">
        <f t="shared" si="47"/>
        <v>181921</v>
      </c>
      <c r="H92" s="174">
        <f>SUM(F92)</f>
        <v>0</v>
      </c>
      <c r="I92" s="194" t="e">
        <f t="shared" si="43"/>
        <v>#DIV/0!</v>
      </c>
      <c r="J92" s="176" t="e">
        <f t="shared" si="44"/>
        <v>#DIV/0!</v>
      </c>
      <c r="K92" s="193" t="e">
        <f t="shared" ref="K92" si="48">E92-J92</f>
        <v>#DIV/0!</v>
      </c>
      <c r="L92" s="195" t="e">
        <f t="shared" ref="L92" si="49">E92+J92</f>
        <v>#DIV/0!</v>
      </c>
    </row>
    <row r="93" spans="1:14">
      <c r="M93" s="108"/>
      <c r="N93" s="108"/>
    </row>
    <row r="94" spans="1:14">
      <c r="M94" s="108"/>
      <c r="N94" s="108"/>
    </row>
    <row r="95" spans="1:14">
      <c r="M95" s="108"/>
      <c r="N95" s="108"/>
    </row>
    <row r="96" spans="1:14">
      <c r="M96" s="108"/>
      <c r="N96" s="108"/>
    </row>
    <row r="97" spans="13:14">
      <c r="M97" s="108"/>
      <c r="N97" s="108"/>
    </row>
    <row r="98" spans="13:14">
      <c r="M98" s="108"/>
      <c r="N98" s="108"/>
    </row>
    <row r="99" spans="13:14">
      <c r="M99" s="108"/>
      <c r="N99" s="108"/>
    </row>
  </sheetData>
  <mergeCells count="25">
    <mergeCell ref="L31:L32"/>
    <mergeCell ref="D31:D32"/>
    <mergeCell ref="A12:A13"/>
    <mergeCell ref="A5:A10"/>
    <mergeCell ref="E31:E32"/>
    <mergeCell ref="F31:F32"/>
    <mergeCell ref="G31:G32"/>
    <mergeCell ref="H31:H32"/>
    <mergeCell ref="K31:K32"/>
    <mergeCell ref="A31:A32"/>
    <mergeCell ref="I31:I32"/>
    <mergeCell ref="J31:J32"/>
    <mergeCell ref="A2:N2"/>
    <mergeCell ref="B12:C12"/>
    <mergeCell ref="D12:E12"/>
    <mergeCell ref="F12:G12"/>
    <mergeCell ref="H12:I12"/>
    <mergeCell ref="J12:K12"/>
    <mergeCell ref="C3:N3"/>
    <mergeCell ref="A81:A92"/>
    <mergeCell ref="A33:A44"/>
    <mergeCell ref="A45:A56"/>
    <mergeCell ref="A57:A68"/>
    <mergeCell ref="B31:C32"/>
    <mergeCell ref="A69:A80"/>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FA1C-245A-D04B-A94F-53140B1329BF}">
  <dimension ref="A1:AK94"/>
  <sheetViews>
    <sheetView zoomScale="84" zoomScaleNormal="64" workbookViewId="0"/>
  </sheetViews>
  <sheetFormatPr baseColWidth="10" defaultColWidth="8.83203125" defaultRowHeight="15"/>
  <cols>
    <col min="1" max="1" width="30.5" style="119" bestFit="1" customWidth="1"/>
    <col min="2" max="2" width="22.6640625" style="119" customWidth="1"/>
    <col min="3" max="3" width="23.83203125" style="119" customWidth="1"/>
    <col min="4" max="4" width="18.6640625" style="119" customWidth="1"/>
    <col min="5" max="5" width="17.1640625" style="119" bestFit="1" customWidth="1"/>
    <col min="6" max="6" width="20.1640625" style="119" customWidth="1"/>
    <col min="7" max="7" width="16" style="119" bestFit="1" customWidth="1"/>
    <col min="8" max="8" width="11.6640625" style="119" bestFit="1" customWidth="1"/>
    <col min="9" max="9" width="14.1640625" style="119" bestFit="1" customWidth="1"/>
    <col min="10" max="10" width="13.6640625" style="119" bestFit="1" customWidth="1"/>
    <col min="11" max="11" width="15.33203125" style="119" bestFit="1" customWidth="1"/>
    <col min="12" max="12" width="12.1640625" style="119" bestFit="1" customWidth="1"/>
    <col min="13" max="13" width="11.5" style="119" bestFit="1" customWidth="1"/>
    <col min="14" max="17" width="8.83203125" style="119"/>
    <col min="18" max="18" width="32.6640625" style="119" bestFit="1" customWidth="1"/>
    <col min="19" max="21" width="8.83203125" style="119"/>
    <col min="22" max="22" width="14.5" style="119" bestFit="1" customWidth="1"/>
    <col min="23" max="23" width="14.33203125" style="119" bestFit="1" customWidth="1"/>
    <col min="24" max="16384" width="8.83203125" style="119"/>
  </cols>
  <sheetData>
    <row r="1" spans="1:30" ht="16" thickBot="1"/>
    <row r="2" spans="1:30" ht="16" thickBot="1">
      <c r="A2" s="523" t="s">
        <v>246</v>
      </c>
      <c r="B2" s="524"/>
      <c r="C2" s="524"/>
      <c r="D2" s="524"/>
      <c r="E2" s="524"/>
      <c r="F2" s="524"/>
      <c r="G2" s="524"/>
      <c r="H2" s="524"/>
      <c r="I2" s="524"/>
      <c r="J2" s="524"/>
      <c r="K2" s="524"/>
      <c r="L2" s="524"/>
      <c r="M2" s="524"/>
      <c r="N2" s="525"/>
      <c r="O2" s="103"/>
    </row>
    <row r="3" spans="1:30">
      <c r="A3" s="181"/>
      <c r="B3" s="61" t="s">
        <v>23</v>
      </c>
      <c r="C3" s="527" t="s">
        <v>152</v>
      </c>
      <c r="D3" s="527"/>
      <c r="E3" s="527"/>
      <c r="F3" s="527"/>
      <c r="G3" s="527"/>
      <c r="H3" s="527"/>
      <c r="I3" s="527"/>
      <c r="J3" s="527"/>
      <c r="K3" s="527"/>
      <c r="L3" s="527"/>
      <c r="M3" s="527"/>
      <c r="N3" s="528"/>
      <c r="O3" s="104"/>
    </row>
    <row r="4" spans="1:30">
      <c r="A4" s="181" t="s">
        <v>23</v>
      </c>
      <c r="B4" s="61" t="s">
        <v>23</v>
      </c>
      <c r="C4" s="61" t="s">
        <v>153</v>
      </c>
      <c r="D4" s="61" t="s">
        <v>154</v>
      </c>
      <c r="E4" s="61" t="s">
        <v>155</v>
      </c>
      <c r="F4" s="61" t="s">
        <v>156</v>
      </c>
      <c r="G4" s="61" t="s">
        <v>157</v>
      </c>
      <c r="H4" s="61" t="s">
        <v>158</v>
      </c>
      <c r="I4" s="61" t="s">
        <v>159</v>
      </c>
      <c r="J4" s="61" t="s">
        <v>160</v>
      </c>
      <c r="K4" s="61" t="s">
        <v>161</v>
      </c>
      <c r="L4" s="61" t="s">
        <v>162</v>
      </c>
      <c r="M4" s="61" t="s">
        <v>163</v>
      </c>
      <c r="N4" s="144" t="s">
        <v>164</v>
      </c>
      <c r="O4" s="105"/>
    </row>
    <row r="5" spans="1:30">
      <c r="A5" s="532" t="s">
        <v>165</v>
      </c>
      <c r="B5" s="61" t="s">
        <v>8</v>
      </c>
      <c r="C5" s="62">
        <v>0</v>
      </c>
      <c r="D5" s="62">
        <v>0.22888557671021001</v>
      </c>
      <c r="E5" s="62">
        <v>0.211633817747475</v>
      </c>
      <c r="F5" s="62">
        <v>0.24378576053333798</v>
      </c>
      <c r="G5" s="62">
        <v>0.130199714144213</v>
      </c>
      <c r="H5" s="62">
        <v>4.3559761188418804E-2</v>
      </c>
      <c r="I5" s="62">
        <v>2.69379080559774E-2</v>
      </c>
      <c r="J5" s="62">
        <v>2.01783500033446E-2</v>
      </c>
      <c r="K5" s="62">
        <v>7.1364231447514401E-2</v>
      </c>
      <c r="L5" s="62">
        <v>2.34548801695099E-2</v>
      </c>
      <c r="M5" s="62">
        <v>0</v>
      </c>
      <c r="N5" s="131">
        <v>0</v>
      </c>
      <c r="O5" s="120"/>
      <c r="P5" s="107"/>
      <c r="Q5" s="107"/>
    </row>
    <row r="6" spans="1:30">
      <c r="A6" s="532"/>
      <c r="B6" s="145" t="s">
        <v>7</v>
      </c>
      <c r="C6" s="62">
        <v>0</v>
      </c>
      <c r="D6" s="62">
        <v>0.19609610871549599</v>
      </c>
      <c r="E6" s="62">
        <v>0.202502658315272</v>
      </c>
      <c r="F6" s="62">
        <v>0.17456817890074749</v>
      </c>
      <c r="G6" s="62">
        <v>0.14536327178891401</v>
      </c>
      <c r="H6" s="62">
        <v>6.4126528695371152E-2</v>
      </c>
      <c r="I6" s="62">
        <v>6.0477037607466554E-2</v>
      </c>
      <c r="J6" s="62">
        <v>6.3778021809664395E-2</v>
      </c>
      <c r="K6" s="62">
        <v>5.4632342499921452E-2</v>
      </c>
      <c r="L6" s="62">
        <v>2.0833567104758349E-2</v>
      </c>
      <c r="M6" s="62">
        <v>1.7622284562388051E-2</v>
      </c>
      <c r="N6" s="131">
        <v>0</v>
      </c>
      <c r="O6" s="120"/>
      <c r="P6" s="107"/>
      <c r="Q6" s="107"/>
    </row>
    <row r="7" spans="1:30">
      <c r="A7" s="532"/>
      <c r="B7" s="61" t="s">
        <v>6</v>
      </c>
      <c r="C7" s="62">
        <v>0</v>
      </c>
      <c r="D7" s="62">
        <v>0.17631952888855801</v>
      </c>
      <c r="E7" s="62">
        <v>0.15012533253971</v>
      </c>
      <c r="F7" s="62">
        <v>0.13491681268105102</v>
      </c>
      <c r="G7" s="62">
        <v>0.12915648281060899</v>
      </c>
      <c r="H7" s="62">
        <v>6.5315286288171293E-2</v>
      </c>
      <c r="I7" s="62">
        <v>6.4419668879911601E-2</v>
      </c>
      <c r="J7" s="62">
        <v>7.8553644719569302E-3</v>
      </c>
      <c r="K7" s="62">
        <v>5.7779654159561697E-2</v>
      </c>
      <c r="L7" s="62">
        <v>6.2587069656327501E-2</v>
      </c>
      <c r="M7" s="62">
        <v>0.151524799624142</v>
      </c>
      <c r="N7" s="131">
        <v>0</v>
      </c>
      <c r="O7" s="120"/>
      <c r="P7" s="107"/>
      <c r="Q7" s="107"/>
    </row>
    <row r="8" spans="1:30">
      <c r="A8" s="532"/>
      <c r="B8" s="61" t="s">
        <v>5</v>
      </c>
      <c r="C8" s="62">
        <v>0</v>
      </c>
      <c r="D8" s="62">
        <v>6.1719353319779395E-2</v>
      </c>
      <c r="E8" s="62">
        <v>7.51086336237511E-2</v>
      </c>
      <c r="F8" s="62">
        <v>5.7999210348637698E-2</v>
      </c>
      <c r="G8" s="62">
        <v>4.4079646780563399E-2</v>
      </c>
      <c r="H8" s="62">
        <v>5.01496926940471E-2</v>
      </c>
      <c r="I8" s="62">
        <v>4.3686285967156506E-2</v>
      </c>
      <c r="J8" s="62">
        <v>3.6667413505845001E-2</v>
      </c>
      <c r="K8" s="62">
        <v>5.59135767455241E-2</v>
      </c>
      <c r="L8" s="62">
        <v>0.105784306487827</v>
      </c>
      <c r="M8" s="62">
        <v>0.448602020329259</v>
      </c>
      <c r="N8" s="131">
        <v>2.0289860197612503E-2</v>
      </c>
      <c r="O8" s="120"/>
      <c r="P8" s="107"/>
      <c r="Q8" s="107"/>
    </row>
    <row r="9" spans="1:30">
      <c r="A9" s="532"/>
      <c r="B9" s="61" t="s">
        <v>4</v>
      </c>
      <c r="C9" s="62">
        <v>0</v>
      </c>
      <c r="D9" s="62">
        <v>1.1021345281561299E-2</v>
      </c>
      <c r="E9" s="62">
        <v>1.1488740376548101E-2</v>
      </c>
      <c r="F9" s="62">
        <v>1.0518404997707001E-2</v>
      </c>
      <c r="G9" s="62">
        <v>1.1427696806596499E-2</v>
      </c>
      <c r="H9" s="62">
        <v>1.8005842060185101E-2</v>
      </c>
      <c r="I9" s="62">
        <v>9.4465417270763602E-3</v>
      </c>
      <c r="J9" s="62">
        <v>2.3734450729566699E-2</v>
      </c>
      <c r="K9" s="62">
        <v>3.5763079189760801E-2</v>
      </c>
      <c r="L9" s="62">
        <v>7.58505306954214E-2</v>
      </c>
      <c r="M9" s="62">
        <v>0.481879029578415</v>
      </c>
      <c r="N9" s="131">
        <v>0.310864338557238</v>
      </c>
      <c r="O9" s="120"/>
      <c r="P9" s="107"/>
      <c r="Q9" s="107"/>
    </row>
    <row r="10" spans="1:30" ht="16" thickBot="1">
      <c r="A10" s="533"/>
      <c r="B10" s="69" t="s">
        <v>166</v>
      </c>
      <c r="C10" s="70">
        <v>0</v>
      </c>
      <c r="D10" s="70">
        <v>0.18327083625763901</v>
      </c>
      <c r="E10" s="70">
        <v>0.17227086836577002</v>
      </c>
      <c r="F10" s="70">
        <v>0.18702022728098699</v>
      </c>
      <c r="G10" s="70">
        <v>0.11150369646615201</v>
      </c>
      <c r="H10" s="70">
        <v>4.4862282347912202E-2</v>
      </c>
      <c r="I10" s="70">
        <v>3.2284619085117795E-2</v>
      </c>
      <c r="J10" s="70">
        <v>2.60209548710547E-2</v>
      </c>
      <c r="K10" s="70">
        <v>6.2945223299557998E-2</v>
      </c>
      <c r="L10" s="70">
        <v>3.7649170946463702E-2</v>
      </c>
      <c r="M10" s="70">
        <v>0.10184193901852601</v>
      </c>
      <c r="N10" s="106">
        <v>4.0330182060828897E-2</v>
      </c>
      <c r="O10" s="120"/>
      <c r="P10" s="107"/>
      <c r="Q10" s="107"/>
    </row>
    <row r="11" spans="1:30" ht="16" thickBot="1">
      <c r="B11" s="104"/>
      <c r="C11" s="105"/>
      <c r="D11" s="105"/>
      <c r="E11" s="105"/>
      <c r="F11" s="105"/>
      <c r="G11" s="105"/>
      <c r="H11" s="105"/>
      <c r="I11" s="105"/>
      <c r="J11" s="105"/>
      <c r="K11" s="105"/>
      <c r="L11" s="105"/>
      <c r="M11" s="105"/>
      <c r="N11" s="105"/>
      <c r="O11" s="103"/>
    </row>
    <row r="12" spans="1:30" ht="15" customHeight="1">
      <c r="A12" s="495"/>
      <c r="B12" s="505" t="s">
        <v>8</v>
      </c>
      <c r="C12" s="505"/>
      <c r="D12" s="505" t="s">
        <v>7</v>
      </c>
      <c r="E12" s="505"/>
      <c r="F12" s="505" t="s">
        <v>6</v>
      </c>
      <c r="G12" s="505"/>
      <c r="H12" s="505" t="s">
        <v>5</v>
      </c>
      <c r="I12" s="505"/>
      <c r="J12" s="505" t="s">
        <v>4</v>
      </c>
      <c r="K12" s="526"/>
    </row>
    <row r="13" spans="1:30">
      <c r="A13" s="531" t="s">
        <v>167</v>
      </c>
      <c r="B13" s="182" t="s">
        <v>168</v>
      </c>
      <c r="C13" s="182" t="s">
        <v>169</v>
      </c>
      <c r="D13" s="137" t="s">
        <v>168</v>
      </c>
      <c r="E13" s="182" t="s">
        <v>169</v>
      </c>
      <c r="F13" s="137" t="s">
        <v>168</v>
      </c>
      <c r="G13" s="182" t="s">
        <v>169</v>
      </c>
      <c r="H13" s="137" t="s">
        <v>168</v>
      </c>
      <c r="I13" s="182" t="s">
        <v>169</v>
      </c>
      <c r="J13" s="137" t="s">
        <v>168</v>
      </c>
      <c r="K13" s="138" t="s">
        <v>169</v>
      </c>
    </row>
    <row r="14" spans="1:30">
      <c r="A14" s="139">
        <v>0</v>
      </c>
      <c r="B14" s="128">
        <v>1933.6512118790899</v>
      </c>
      <c r="C14" s="127">
        <v>49</v>
      </c>
      <c r="D14" s="140">
        <v>1357.98698741867</v>
      </c>
      <c r="E14" s="127">
        <v>505</v>
      </c>
      <c r="F14" s="127">
        <v>444.86462555544603</v>
      </c>
      <c r="G14" s="127">
        <v>1628</v>
      </c>
      <c r="H14" s="140">
        <v>206.34523502286501</v>
      </c>
      <c r="I14" s="127">
        <v>7495</v>
      </c>
      <c r="J14" s="140">
        <v>19.984601616735699</v>
      </c>
      <c r="K14" s="129">
        <v>620592</v>
      </c>
      <c r="AD14" s="105"/>
    </row>
    <row r="15" spans="1:30">
      <c r="A15" s="172">
        <v>0.05</v>
      </c>
      <c r="B15" s="173">
        <v>2856.3891055955401</v>
      </c>
      <c r="C15" s="177">
        <v>0.84042553191489366</v>
      </c>
      <c r="D15" s="62">
        <v>0</v>
      </c>
      <c r="E15" s="177">
        <v>0.8174114021571649</v>
      </c>
      <c r="F15" s="177">
        <v>511.477431911113</v>
      </c>
      <c r="G15" s="177">
        <v>0.77857142857142858</v>
      </c>
      <c r="H15" s="62">
        <v>232.00531241590301</v>
      </c>
      <c r="I15" s="177">
        <v>0.68431372549019609</v>
      </c>
      <c r="J15" s="62">
        <v>61.307461071671099</v>
      </c>
      <c r="K15" s="178">
        <v>4.5848983292319651E-2</v>
      </c>
      <c r="AD15" s="105"/>
    </row>
    <row r="16" spans="1:30">
      <c r="A16" s="172">
        <v>0.15000000000000002</v>
      </c>
      <c r="B16" s="173">
        <v>2719.8124357483798</v>
      </c>
      <c r="C16" s="177">
        <v>8.085106382978724E-2</v>
      </c>
      <c r="D16" s="62">
        <v>1563.7916101141</v>
      </c>
      <c r="E16" s="177">
        <v>8.9368258859784278E-2</v>
      </c>
      <c r="F16" s="177">
        <v>452.81417893506602</v>
      </c>
      <c r="G16" s="177">
        <v>8.2142857142857142E-2</v>
      </c>
      <c r="H16" s="62">
        <v>229.75925229318</v>
      </c>
      <c r="I16" s="177">
        <v>7.0261437908496732E-2</v>
      </c>
      <c r="J16" s="62">
        <v>31.099765138364099</v>
      </c>
      <c r="K16" s="178">
        <v>2.7846133920476621E-2</v>
      </c>
      <c r="AD16" s="105"/>
    </row>
    <row r="17" spans="1:37">
      <c r="A17" s="172">
        <v>0.25</v>
      </c>
      <c r="B17" s="173">
        <v>3302.7537990206802</v>
      </c>
      <c r="C17" s="177">
        <v>3.8297872340425532E-2</v>
      </c>
      <c r="D17" s="62">
        <v>1526.5368068862299</v>
      </c>
      <c r="E17" s="177">
        <v>4.3913713405238829E-2</v>
      </c>
      <c r="F17" s="177">
        <v>429.051624502376</v>
      </c>
      <c r="G17" s="177">
        <v>5.0892857142857142E-2</v>
      </c>
      <c r="H17" s="62">
        <v>214.2296030871</v>
      </c>
      <c r="I17" s="177">
        <v>3.5294117647058823E-2</v>
      </c>
      <c r="J17" s="62">
        <v>29.482078545703899</v>
      </c>
      <c r="K17" s="178">
        <v>2.0485256659327374E-2</v>
      </c>
      <c r="P17" s="103"/>
      <c r="Q17" s="104"/>
      <c r="R17" s="105"/>
      <c r="S17" s="105"/>
      <c r="T17" s="105"/>
      <c r="U17" s="105"/>
      <c r="V17" s="105"/>
      <c r="W17" s="105"/>
      <c r="X17" s="105"/>
      <c r="Y17" s="105"/>
      <c r="Z17" s="105"/>
      <c r="AA17" s="105"/>
      <c r="AB17" s="105"/>
      <c r="AC17" s="105"/>
      <c r="AD17" s="105"/>
    </row>
    <row r="18" spans="1:37">
      <c r="A18" s="172">
        <v>0.35</v>
      </c>
      <c r="B18" s="173">
        <v>2526.21418919402</v>
      </c>
      <c r="C18" s="177">
        <v>2.1276595744680851E-2</v>
      </c>
      <c r="D18" s="62">
        <v>1630.46267758107</v>
      </c>
      <c r="E18" s="177">
        <v>2.465331278890601E-2</v>
      </c>
      <c r="F18" s="177">
        <v>473.07398745510898</v>
      </c>
      <c r="G18" s="177">
        <v>2.8571428571428571E-2</v>
      </c>
      <c r="H18" s="62">
        <v>206.02667427430299</v>
      </c>
      <c r="I18" s="177">
        <v>2.3856209150326796E-2</v>
      </c>
      <c r="J18" s="62">
        <v>22.106245159473598</v>
      </c>
      <c r="K18" s="178">
        <v>2.8385787678625395E-2</v>
      </c>
      <c r="P18" s="103"/>
      <c r="Q18" s="104"/>
      <c r="R18" s="105"/>
      <c r="S18" s="105"/>
      <c r="T18" s="105"/>
      <c r="U18" s="105"/>
      <c r="V18" s="105"/>
      <c r="W18" s="105"/>
      <c r="X18" s="105"/>
      <c r="Y18" s="105"/>
      <c r="Z18" s="105"/>
      <c r="AA18" s="105"/>
      <c r="AB18" s="105"/>
      <c r="AC18" s="105"/>
      <c r="AD18" s="105"/>
    </row>
    <row r="19" spans="1:37">
      <c r="A19" s="172">
        <v>0.45</v>
      </c>
      <c r="B19" s="173">
        <v>2402.95482295482</v>
      </c>
      <c r="C19" s="177">
        <v>8.5106382978723406E-3</v>
      </c>
      <c r="D19" s="62">
        <v>1538.4177374747201</v>
      </c>
      <c r="E19" s="177">
        <v>8.4745762711864406E-3</v>
      </c>
      <c r="F19" s="177">
        <v>349.10432663570703</v>
      </c>
      <c r="G19" s="177">
        <v>1.7857142857142856E-2</v>
      </c>
      <c r="H19" s="62">
        <v>208.93626626174699</v>
      </c>
      <c r="I19" s="177">
        <v>1.8627450980392157E-2</v>
      </c>
      <c r="J19" s="62">
        <v>38.160159434731497</v>
      </c>
      <c r="K19" s="178">
        <v>5.0511591762725039E-3</v>
      </c>
      <c r="P19" s="103"/>
      <c r="Q19" s="104"/>
      <c r="R19" s="105"/>
      <c r="S19" s="105"/>
      <c r="T19" s="105"/>
      <c r="U19" s="105"/>
      <c r="V19" s="105"/>
      <c r="W19" s="105"/>
      <c r="X19" s="105"/>
      <c r="Y19" s="105"/>
      <c r="Z19" s="105"/>
      <c r="AA19" s="105"/>
      <c r="AB19" s="105"/>
      <c r="AC19" s="105"/>
      <c r="AD19" s="105"/>
    </row>
    <row r="20" spans="1:37">
      <c r="A20" s="172">
        <v>0.55000000000000004</v>
      </c>
      <c r="B20" s="173">
        <v>1976.98455390763</v>
      </c>
      <c r="C20" s="177">
        <v>2.1276595744680851E-3</v>
      </c>
      <c r="D20" s="62">
        <v>1892.14072487919</v>
      </c>
      <c r="E20" s="177">
        <v>5.3929121725731898E-3</v>
      </c>
      <c r="F20" s="177">
        <v>451.659641728135</v>
      </c>
      <c r="G20" s="177">
        <v>1.0714285714285714E-2</v>
      </c>
      <c r="H20" s="62">
        <v>212.68477943324601</v>
      </c>
      <c r="I20" s="177">
        <v>1.3725490196078431E-2</v>
      </c>
      <c r="J20" s="62">
        <v>29.156094870380599</v>
      </c>
      <c r="K20" s="178">
        <v>4.6410223200794368E-3</v>
      </c>
      <c r="P20" s="103"/>
      <c r="Q20" s="104"/>
      <c r="R20" s="105"/>
      <c r="S20" s="105"/>
      <c r="T20" s="105"/>
      <c r="U20" s="105"/>
      <c r="V20" s="105"/>
      <c r="W20" s="105"/>
      <c r="X20" s="105"/>
      <c r="Y20" s="105"/>
      <c r="Z20" s="105"/>
      <c r="AA20" s="105"/>
      <c r="AB20" s="105"/>
      <c r="AC20" s="105"/>
      <c r="AD20" s="105"/>
    </row>
    <row r="21" spans="1:37">
      <c r="A21" s="172">
        <v>0.65</v>
      </c>
      <c r="B21" s="173">
        <v>1891.1032470354501</v>
      </c>
      <c r="C21" s="177">
        <v>2.1276595744680851E-3</v>
      </c>
      <c r="D21" s="62">
        <v>1886.7845747424999</v>
      </c>
      <c r="E21" s="177">
        <v>3.852080123266564E-3</v>
      </c>
      <c r="F21" s="177">
        <v>287.925824175824</v>
      </c>
      <c r="G21" s="177">
        <v>2.6785714285714286E-3</v>
      </c>
      <c r="H21" s="62">
        <v>206.28864301985001</v>
      </c>
      <c r="I21" s="177">
        <v>9.8039215686274508E-3</v>
      </c>
      <c r="J21" s="62">
        <v>26.4153956719639</v>
      </c>
      <c r="K21" s="178">
        <v>2.1866770280188231E-2</v>
      </c>
      <c r="P21" s="103"/>
      <c r="Q21" s="104"/>
      <c r="R21" s="105"/>
      <c r="S21" s="105"/>
      <c r="T21" s="105"/>
      <c r="U21" s="105"/>
      <c r="V21" s="105"/>
      <c r="W21" s="105"/>
      <c r="X21" s="105"/>
      <c r="Y21" s="105"/>
      <c r="Z21" s="105"/>
      <c r="AA21" s="105"/>
      <c r="AB21" s="105"/>
      <c r="AC21" s="105"/>
      <c r="AD21" s="105"/>
    </row>
    <row r="22" spans="1:37">
      <c r="A22" s="172">
        <v>0.75</v>
      </c>
      <c r="B22" s="173">
        <v>3043.75441072689</v>
      </c>
      <c r="C22" s="177">
        <v>4.2553191489361703E-3</v>
      </c>
      <c r="D22" s="62">
        <v>1453.8807532056501</v>
      </c>
      <c r="E22" s="177">
        <v>4.6224961479198771E-3</v>
      </c>
      <c r="F22" s="177">
        <v>437.470504955168</v>
      </c>
      <c r="G22" s="177">
        <v>8.0357142857142849E-3</v>
      </c>
      <c r="H22" s="62">
        <v>221.34388639176601</v>
      </c>
      <c r="I22" s="177">
        <v>1.3725490196078431E-2</v>
      </c>
      <c r="J22" s="62">
        <v>27.557121503309801</v>
      </c>
      <c r="K22" s="131">
        <v>1.8153952424124681E-2</v>
      </c>
      <c r="L22" s="105"/>
      <c r="M22" s="105"/>
      <c r="N22" s="105"/>
    </row>
    <row r="23" spans="1:37">
      <c r="A23" s="172">
        <v>0.85</v>
      </c>
      <c r="B23" s="173">
        <v>3299.1452991453002</v>
      </c>
      <c r="C23" s="177">
        <v>2.1276595744680851E-3</v>
      </c>
      <c r="D23" s="62">
        <v>1414.60970640302</v>
      </c>
      <c r="E23" s="177">
        <v>1.5408320493066256E-3</v>
      </c>
      <c r="F23" s="177">
        <v>528.69256727524396</v>
      </c>
      <c r="G23" s="177">
        <v>4.464285714285714E-3</v>
      </c>
      <c r="H23" s="62">
        <v>220.36194659033001</v>
      </c>
      <c r="I23" s="177">
        <v>2.2222222222222223E-2</v>
      </c>
      <c r="J23" s="62">
        <v>35.131840346758104</v>
      </c>
      <c r="K23" s="131">
        <v>2.2535940940292709E-2</v>
      </c>
      <c r="L23" s="105"/>
      <c r="M23" s="105"/>
      <c r="N23" s="105"/>
      <c r="P23" s="103"/>
      <c r="Q23" s="103"/>
      <c r="R23" s="103"/>
      <c r="S23" s="103"/>
      <c r="T23" s="103"/>
      <c r="U23" s="103"/>
      <c r="V23" s="103"/>
      <c r="W23" s="103"/>
      <c r="X23" s="103"/>
      <c r="Y23" s="103"/>
      <c r="Z23" s="103"/>
      <c r="AA23" s="103"/>
      <c r="AB23" s="103"/>
      <c r="AC23" s="103"/>
      <c r="AD23" s="103"/>
    </row>
    <row r="24" spans="1:37">
      <c r="A24" s="172">
        <v>0.95</v>
      </c>
      <c r="B24" s="173">
        <v>0</v>
      </c>
      <c r="C24" s="177">
        <v>0</v>
      </c>
      <c r="D24" s="62">
        <v>1931.97863588925</v>
      </c>
      <c r="E24" s="177">
        <v>7.7041602465331282E-4</v>
      </c>
      <c r="F24" s="177">
        <v>395.12001800514702</v>
      </c>
      <c r="G24" s="177">
        <v>1.607142857142857E-2</v>
      </c>
      <c r="H24" s="62">
        <v>201.27819548872199</v>
      </c>
      <c r="I24" s="177">
        <v>0.10816993464052288</v>
      </c>
      <c r="J24" s="62">
        <v>26.685266661330399</v>
      </c>
      <c r="K24" s="131">
        <v>0.80518499330829341</v>
      </c>
      <c r="P24" s="103"/>
      <c r="Q24" s="103"/>
      <c r="R24" s="103"/>
      <c r="S24" s="103"/>
      <c r="T24" s="103"/>
      <c r="U24" s="103"/>
      <c r="V24" s="103"/>
      <c r="W24" s="103"/>
      <c r="X24" s="105"/>
      <c r="Z24" s="105"/>
      <c r="AB24" s="103"/>
      <c r="AC24" s="103"/>
      <c r="AD24" s="103"/>
    </row>
    <row r="25" spans="1:37">
      <c r="A25" s="141">
        <v>1</v>
      </c>
      <c r="B25" s="125">
        <v>0</v>
      </c>
      <c r="C25" s="125">
        <v>0</v>
      </c>
      <c r="D25" s="125">
        <v>0</v>
      </c>
      <c r="E25" s="125">
        <v>0</v>
      </c>
      <c r="F25" s="142">
        <v>0</v>
      </c>
      <c r="G25" s="142">
        <v>0</v>
      </c>
      <c r="H25" s="179">
        <v>0</v>
      </c>
      <c r="I25" s="179">
        <v>0</v>
      </c>
      <c r="J25" s="125">
        <v>0</v>
      </c>
      <c r="K25" s="143">
        <v>0</v>
      </c>
      <c r="L25" s="103"/>
      <c r="M25" s="103"/>
      <c r="N25" s="103"/>
      <c r="P25" s="103"/>
      <c r="Q25" s="103"/>
      <c r="R25" s="105"/>
      <c r="S25" s="105"/>
      <c r="T25" s="105"/>
      <c r="U25" s="105"/>
      <c r="V25" s="105"/>
      <c r="W25" s="105"/>
      <c r="AB25" s="105"/>
      <c r="AC25" s="105"/>
      <c r="AD25" s="105"/>
      <c r="AE25" s="108"/>
    </row>
    <row r="26" spans="1:37" ht="15" customHeight="1">
      <c r="A26" s="170" t="s">
        <v>170</v>
      </c>
      <c r="B26" s="132">
        <v>8.2553191489361716E-2</v>
      </c>
      <c r="C26" s="133">
        <v>470</v>
      </c>
      <c r="D26" s="132">
        <v>8.8674884437596302E-2</v>
      </c>
      <c r="E26" s="133">
        <v>1298</v>
      </c>
      <c r="F26" s="132">
        <v>0.11473214285714285</v>
      </c>
      <c r="G26" s="133">
        <v>1120</v>
      </c>
      <c r="H26" s="132">
        <v>0.2161764705882353</v>
      </c>
      <c r="I26" s="133">
        <v>3060</v>
      </c>
      <c r="J26" s="132">
        <v>0.83826145145274789</v>
      </c>
      <c r="K26" s="134">
        <v>46326</v>
      </c>
      <c r="L26" s="104"/>
      <c r="M26" s="104"/>
      <c r="N26" s="104"/>
      <c r="P26" s="103"/>
      <c r="Q26" s="103"/>
      <c r="R26" s="105"/>
      <c r="S26" s="105"/>
      <c r="T26" s="105"/>
      <c r="U26" s="105"/>
      <c r="V26" s="105"/>
      <c r="W26" s="105"/>
      <c r="AB26" s="105"/>
      <c r="AC26" s="105"/>
      <c r="AD26" s="105"/>
    </row>
    <row r="27" spans="1:37" ht="16" thickBot="1">
      <c r="A27" s="171" t="s">
        <v>171</v>
      </c>
      <c r="B27" s="65">
        <v>4350</v>
      </c>
      <c r="C27" s="65"/>
      <c r="D27" s="65">
        <v>1500</v>
      </c>
      <c r="E27" s="65"/>
      <c r="F27" s="69">
        <v>712.5</v>
      </c>
      <c r="G27" s="69"/>
      <c r="H27" s="65">
        <v>287.5</v>
      </c>
      <c r="I27" s="65"/>
      <c r="J27" s="65">
        <v>75</v>
      </c>
      <c r="K27" s="135"/>
      <c r="L27" s="105"/>
      <c r="M27" s="105"/>
      <c r="N27" s="105"/>
    </row>
    <row r="28" spans="1:37">
      <c r="A28" s="103"/>
      <c r="B28" s="104"/>
      <c r="C28" s="105"/>
      <c r="D28" s="105"/>
      <c r="E28" s="105"/>
      <c r="F28" s="105"/>
      <c r="G28" s="105"/>
      <c r="H28" s="105"/>
      <c r="I28" s="105"/>
      <c r="J28" s="105"/>
      <c r="K28" s="105"/>
      <c r="L28" s="105"/>
      <c r="M28" s="105"/>
      <c r="N28" s="105"/>
    </row>
    <row r="29" spans="1:37">
      <c r="B29" s="104"/>
      <c r="C29" s="105"/>
      <c r="D29" s="105"/>
      <c r="E29" s="105"/>
      <c r="F29" s="105"/>
      <c r="G29" s="105"/>
      <c r="H29" s="105"/>
      <c r="I29" s="105"/>
      <c r="J29" s="105"/>
      <c r="K29" s="105"/>
      <c r="L29" s="105"/>
      <c r="M29" s="105"/>
      <c r="N29" s="105"/>
      <c r="X29" s="103"/>
      <c r="Y29" s="103"/>
      <c r="Z29" s="103"/>
      <c r="AA29" s="103"/>
      <c r="AB29" s="103"/>
      <c r="AC29" s="103"/>
      <c r="AD29" s="103"/>
      <c r="AE29" s="103"/>
      <c r="AF29" s="103"/>
      <c r="AG29" s="103" t="s">
        <v>23</v>
      </c>
      <c r="AH29" s="103" t="s">
        <v>23</v>
      </c>
      <c r="AI29" s="103" t="s">
        <v>23</v>
      </c>
      <c r="AJ29" s="103" t="s">
        <v>23</v>
      </c>
      <c r="AK29" s="103" t="s">
        <v>23</v>
      </c>
    </row>
    <row r="30" spans="1:37" ht="16" thickBot="1">
      <c r="B30" s="104"/>
      <c r="C30" s="105"/>
      <c r="D30" s="105"/>
      <c r="E30" s="105"/>
      <c r="F30" s="105"/>
      <c r="G30" s="105"/>
      <c r="H30" s="105"/>
      <c r="I30" s="105"/>
      <c r="J30" s="105"/>
      <c r="K30" s="105"/>
      <c r="L30" s="105"/>
      <c r="M30" s="105"/>
      <c r="N30" s="105"/>
      <c r="X30" s="103"/>
      <c r="Y30" s="103"/>
      <c r="Z30" s="103"/>
      <c r="AA30" s="103"/>
      <c r="AB30" s="103"/>
      <c r="AC30" s="103"/>
      <c r="AD30" s="103"/>
      <c r="AE30" s="103"/>
      <c r="AF30" s="103"/>
      <c r="AG30" s="103"/>
      <c r="AH30" s="103"/>
      <c r="AI30" s="103"/>
      <c r="AJ30" s="103"/>
      <c r="AK30" s="103"/>
    </row>
    <row r="31" spans="1:37" ht="15" customHeight="1">
      <c r="A31" s="325"/>
      <c r="B31" s="521" t="s">
        <v>172</v>
      </c>
      <c r="C31" s="521"/>
      <c r="D31" s="521" t="s">
        <v>247</v>
      </c>
      <c r="E31" s="521" t="s">
        <v>248</v>
      </c>
      <c r="F31" s="521" t="s">
        <v>173</v>
      </c>
      <c r="G31" s="508" t="s">
        <v>174</v>
      </c>
      <c r="H31" s="508" t="s">
        <v>175</v>
      </c>
      <c r="I31" s="508" t="s">
        <v>249</v>
      </c>
      <c r="J31" s="508" t="s">
        <v>250</v>
      </c>
      <c r="K31" s="521" t="s">
        <v>203</v>
      </c>
      <c r="L31" s="529" t="s">
        <v>204</v>
      </c>
      <c r="W31" s="103"/>
      <c r="X31" s="103"/>
      <c r="Y31" s="105"/>
      <c r="Z31" s="105"/>
      <c r="AA31" s="105"/>
      <c r="AB31" s="105"/>
      <c r="AC31" s="105"/>
      <c r="AD31" s="105"/>
      <c r="AE31" s="105"/>
      <c r="AF31" s="105"/>
      <c r="AG31" s="105"/>
      <c r="AH31" s="105"/>
      <c r="AI31" s="105"/>
      <c r="AJ31" s="105"/>
      <c r="AK31" s="108"/>
    </row>
    <row r="32" spans="1:37" ht="26" customHeight="1">
      <c r="A32" s="520"/>
      <c r="B32" s="522"/>
      <c r="C32" s="522"/>
      <c r="D32" s="522"/>
      <c r="E32" s="522"/>
      <c r="F32" s="522"/>
      <c r="G32" s="534"/>
      <c r="H32" s="534"/>
      <c r="I32" s="534"/>
      <c r="J32" s="534"/>
      <c r="K32" s="522"/>
      <c r="L32" s="530"/>
      <c r="W32" s="103"/>
      <c r="X32" s="103"/>
      <c r="Y32" s="105"/>
      <c r="Z32" s="105"/>
      <c r="AA32" s="105"/>
      <c r="AB32" s="105"/>
      <c r="AC32" s="105"/>
      <c r="AD32" s="105"/>
      <c r="AE32" s="105"/>
      <c r="AF32" s="105"/>
      <c r="AG32" s="105"/>
      <c r="AH32" s="105"/>
      <c r="AI32" s="105"/>
      <c r="AJ32" s="105"/>
      <c r="AK32" s="108"/>
    </row>
    <row r="33" spans="1:37">
      <c r="A33" s="519" t="s">
        <v>8</v>
      </c>
      <c r="B33" s="186">
        <v>0</v>
      </c>
      <c r="C33" s="186">
        <v>0</v>
      </c>
      <c r="D33" s="186">
        <f>C5</f>
        <v>0</v>
      </c>
      <c r="E33" s="186">
        <v>1</v>
      </c>
      <c r="F33" s="128">
        <f>C14</f>
        <v>49</v>
      </c>
      <c r="G33" s="184" t="s">
        <v>72</v>
      </c>
      <c r="H33" s="184" t="s">
        <v>72</v>
      </c>
      <c r="I33" s="180" t="s">
        <v>72</v>
      </c>
      <c r="J33" s="185" t="s">
        <v>72</v>
      </c>
      <c r="K33" s="186">
        <v>1</v>
      </c>
      <c r="L33" s="188">
        <v>1</v>
      </c>
      <c r="W33" s="103"/>
      <c r="X33" s="103"/>
      <c r="Y33" s="105"/>
      <c r="Z33" s="105"/>
      <c r="AA33" s="105"/>
      <c r="AB33" s="105"/>
      <c r="AC33" s="105"/>
      <c r="AD33" s="105"/>
      <c r="AE33" s="105"/>
      <c r="AF33" s="105"/>
      <c r="AG33" s="105"/>
      <c r="AH33" s="105"/>
      <c r="AI33" s="105"/>
      <c r="AJ33" s="105"/>
      <c r="AK33" s="108"/>
    </row>
    <row r="34" spans="1:37">
      <c r="A34" s="326"/>
      <c r="B34" s="59">
        <f>(C33+C34)/2</f>
        <v>0.05</v>
      </c>
      <c r="C34" s="59">
        <v>0.1</v>
      </c>
      <c r="D34" s="59">
        <f>D5</f>
        <v>0.22888557671021001</v>
      </c>
      <c r="E34" s="59">
        <f>E33-D33</f>
        <v>1</v>
      </c>
      <c r="F34" s="173">
        <f t="shared" ref="F34:F44" si="0">C15*$C$26</f>
        <v>395</v>
      </c>
      <c r="G34" s="173">
        <f>F33</f>
        <v>49</v>
      </c>
      <c r="H34" s="173">
        <f>SUM(F34:F44)</f>
        <v>470</v>
      </c>
      <c r="I34" s="190">
        <f>1.25*(E34^2)*((1-E34)^2)*((1/G34)+(1/H34))</f>
        <v>0</v>
      </c>
      <c r="J34" s="175">
        <f>1.96*SQRT(I34)</f>
        <v>0</v>
      </c>
      <c r="K34" s="59">
        <f>E34-J34</f>
        <v>1</v>
      </c>
      <c r="L34" s="189">
        <f>E34+J34</f>
        <v>1</v>
      </c>
      <c r="W34" s="103"/>
      <c r="X34" s="103"/>
      <c r="Y34" s="105"/>
      <c r="Z34" s="105"/>
      <c r="AA34" s="105"/>
      <c r="AB34" s="105"/>
      <c r="AC34" s="105"/>
      <c r="AD34" s="105"/>
      <c r="AE34" s="105"/>
      <c r="AF34" s="105"/>
      <c r="AG34" s="105"/>
      <c r="AH34" s="105"/>
      <c r="AI34" s="105"/>
      <c r="AJ34" s="105"/>
      <c r="AK34" s="108"/>
    </row>
    <row r="35" spans="1:37">
      <c r="A35" s="326"/>
      <c r="B35" s="59">
        <f t="shared" ref="B35:B42" si="1">(C34+C35)/2</f>
        <v>0.15000000000000002</v>
      </c>
      <c r="C35" s="59">
        <v>0.2</v>
      </c>
      <c r="D35" s="59">
        <f>E5</f>
        <v>0.211633817747475</v>
      </c>
      <c r="E35" s="59">
        <f t="shared" ref="E35:E44" si="2">E34-D34</f>
        <v>0.77111442328978996</v>
      </c>
      <c r="F35" s="173">
        <f t="shared" si="0"/>
        <v>38</v>
      </c>
      <c r="G35" s="173">
        <f>F34+G34</f>
        <v>444</v>
      </c>
      <c r="H35" s="173">
        <f>SUM(F35:F44)</f>
        <v>75</v>
      </c>
      <c r="I35" s="190">
        <f t="shared" ref="I35:I44" si="3">1.25*(E35^2)*((1-E35)^2)*((1/G35)+(1/H35))</f>
        <v>6.0688673209709112E-4</v>
      </c>
      <c r="J35" s="175">
        <f t="shared" ref="J35:J44" si="4">1.96*SQRT(I35)</f>
        <v>4.8284739514925262E-2</v>
      </c>
      <c r="K35" s="59">
        <f t="shared" ref="K35:K43" si="5">E35-J35</f>
        <v>0.72282968377486467</v>
      </c>
      <c r="L35" s="189">
        <f t="shared" ref="L35:L43" si="6">E35+J35</f>
        <v>0.81939916280471525</v>
      </c>
      <c r="W35" s="103"/>
      <c r="X35" s="103"/>
      <c r="Y35" s="105"/>
      <c r="Z35" s="105"/>
      <c r="AA35" s="105"/>
      <c r="AB35" s="105"/>
      <c r="AC35" s="105"/>
      <c r="AD35" s="105"/>
      <c r="AE35" s="105"/>
      <c r="AF35" s="105"/>
      <c r="AG35" s="105"/>
      <c r="AH35" s="105"/>
      <c r="AI35" s="105"/>
      <c r="AJ35" s="105"/>
      <c r="AK35" s="108"/>
    </row>
    <row r="36" spans="1:37">
      <c r="A36" s="326"/>
      <c r="B36" s="59">
        <f t="shared" si="1"/>
        <v>0.25</v>
      </c>
      <c r="C36" s="59">
        <v>0.3</v>
      </c>
      <c r="D36" s="59">
        <f>F5</f>
        <v>0.24378576053333798</v>
      </c>
      <c r="E36" s="59">
        <f t="shared" si="2"/>
        <v>0.55948060554231493</v>
      </c>
      <c r="F36" s="173">
        <f t="shared" si="0"/>
        <v>18</v>
      </c>
      <c r="G36" s="173">
        <f t="shared" ref="G36:G44" si="7">F35+G35</f>
        <v>482</v>
      </c>
      <c r="H36" s="173">
        <f>SUM(F36:F44)</f>
        <v>37</v>
      </c>
      <c r="I36" s="190">
        <f t="shared" si="3"/>
        <v>2.2096767606802244E-3</v>
      </c>
      <c r="J36" s="175">
        <f t="shared" si="4"/>
        <v>9.213411009951282E-2</v>
      </c>
      <c r="K36" s="59">
        <f t="shared" si="5"/>
        <v>0.4673464954428021</v>
      </c>
      <c r="L36" s="189">
        <f t="shared" si="6"/>
        <v>0.65161471564182771</v>
      </c>
      <c r="W36" s="103"/>
      <c r="X36" s="103"/>
      <c r="Y36" s="105"/>
      <c r="Z36" s="105"/>
      <c r="AA36" s="105"/>
      <c r="AB36" s="105"/>
      <c r="AC36" s="105"/>
      <c r="AD36" s="105"/>
      <c r="AE36" s="105"/>
      <c r="AF36" s="105"/>
      <c r="AG36" s="105"/>
      <c r="AH36" s="105"/>
      <c r="AI36" s="105"/>
      <c r="AJ36" s="105"/>
      <c r="AK36" s="108"/>
    </row>
    <row r="37" spans="1:37">
      <c r="A37" s="326"/>
      <c r="B37" s="59">
        <f t="shared" si="1"/>
        <v>0.35</v>
      </c>
      <c r="C37" s="59">
        <v>0.4</v>
      </c>
      <c r="D37" s="59">
        <f>G5</f>
        <v>0.130199714144213</v>
      </c>
      <c r="E37" s="59">
        <f t="shared" si="2"/>
        <v>0.31569484500897693</v>
      </c>
      <c r="F37" s="173">
        <f t="shared" si="0"/>
        <v>10</v>
      </c>
      <c r="G37" s="173">
        <f>F36+G36</f>
        <v>500</v>
      </c>
      <c r="H37" s="173">
        <f>SUM(F37:F44)</f>
        <v>19</v>
      </c>
      <c r="I37" s="190">
        <f t="shared" si="3"/>
        <v>3.1870462761078547E-3</v>
      </c>
      <c r="J37" s="175">
        <f t="shared" si="4"/>
        <v>0.11064970390514352</v>
      </c>
      <c r="K37" s="59">
        <f t="shared" si="5"/>
        <v>0.20504514110383343</v>
      </c>
      <c r="L37" s="189">
        <f t="shared" si="6"/>
        <v>0.42634454891412044</v>
      </c>
      <c r="W37" s="103"/>
      <c r="X37" s="103"/>
      <c r="Y37" s="105"/>
      <c r="Z37" s="105"/>
      <c r="AA37" s="105"/>
      <c r="AB37" s="105"/>
      <c r="AC37" s="105"/>
      <c r="AD37" s="105"/>
      <c r="AE37" s="105"/>
      <c r="AF37" s="105"/>
      <c r="AG37" s="105"/>
      <c r="AH37" s="105"/>
      <c r="AI37" s="105"/>
      <c r="AJ37" s="105"/>
      <c r="AK37" s="108"/>
    </row>
    <row r="38" spans="1:37">
      <c r="A38" s="326"/>
      <c r="B38" s="59">
        <f t="shared" si="1"/>
        <v>0.45</v>
      </c>
      <c r="C38" s="59">
        <v>0.5</v>
      </c>
      <c r="D38" s="59">
        <f>H5</f>
        <v>4.3559761188418804E-2</v>
      </c>
      <c r="E38" s="59">
        <f t="shared" si="2"/>
        <v>0.18549513086476394</v>
      </c>
      <c r="F38" s="173">
        <f t="shared" si="0"/>
        <v>4</v>
      </c>
      <c r="G38" s="173">
        <f t="shared" si="7"/>
        <v>510</v>
      </c>
      <c r="H38" s="173">
        <f>SUM(F38:F44)</f>
        <v>9</v>
      </c>
      <c r="I38" s="190">
        <f t="shared" si="3"/>
        <v>3.2263916374231875E-3</v>
      </c>
      <c r="J38" s="175">
        <f t="shared" si="4"/>
        <v>0.11133061624874316</v>
      </c>
      <c r="K38" s="59">
        <f t="shared" si="5"/>
        <v>7.4164514616020777E-2</v>
      </c>
      <c r="L38" s="189">
        <f t="shared" si="6"/>
        <v>0.29682574711350707</v>
      </c>
    </row>
    <row r="39" spans="1:37">
      <c r="A39" s="326"/>
      <c r="B39" s="59">
        <f t="shared" si="1"/>
        <v>0.55000000000000004</v>
      </c>
      <c r="C39" s="59">
        <v>0.6</v>
      </c>
      <c r="D39" s="59">
        <f>I5</f>
        <v>2.69379080559774E-2</v>
      </c>
      <c r="E39" s="59">
        <f t="shared" si="2"/>
        <v>0.14193536967634512</v>
      </c>
      <c r="F39" s="173">
        <f t="shared" si="0"/>
        <v>1</v>
      </c>
      <c r="G39" s="173">
        <f t="shared" si="7"/>
        <v>514</v>
      </c>
      <c r="H39" s="173">
        <f>SUM(F39:F44)</f>
        <v>5</v>
      </c>
      <c r="I39" s="190">
        <f t="shared" si="3"/>
        <v>3.7442558343958451E-3</v>
      </c>
      <c r="J39" s="175">
        <f t="shared" si="4"/>
        <v>0.1199330363720317</v>
      </c>
      <c r="K39" s="59">
        <f t="shared" si="5"/>
        <v>2.2002333304313421E-2</v>
      </c>
      <c r="L39" s="189">
        <f t="shared" si="6"/>
        <v>0.2618684060483768</v>
      </c>
      <c r="W39" s="103"/>
      <c r="X39" s="103"/>
      <c r="Y39" s="103"/>
      <c r="Z39" s="103"/>
      <c r="AA39" s="103"/>
      <c r="AB39" s="103"/>
      <c r="AC39" s="103"/>
      <c r="AD39" s="103"/>
      <c r="AE39" s="103"/>
      <c r="AF39" s="103"/>
      <c r="AG39" s="103"/>
      <c r="AH39" s="103"/>
      <c r="AI39" s="103"/>
      <c r="AJ39" s="103"/>
    </row>
    <row r="40" spans="1:37">
      <c r="A40" s="326"/>
      <c r="B40" s="59">
        <f t="shared" si="1"/>
        <v>0.64999999999999991</v>
      </c>
      <c r="C40" s="59">
        <v>0.7</v>
      </c>
      <c r="D40" s="59">
        <f>J5</f>
        <v>2.01783500033446E-2</v>
      </c>
      <c r="E40" s="59">
        <f t="shared" si="2"/>
        <v>0.11499746162036772</v>
      </c>
      <c r="F40" s="173">
        <f t="shared" si="0"/>
        <v>1</v>
      </c>
      <c r="G40" s="173">
        <f t="shared" si="7"/>
        <v>515</v>
      </c>
      <c r="H40" s="173">
        <f>SUM(F40:F44)</f>
        <v>4</v>
      </c>
      <c r="I40" s="190">
        <f t="shared" si="3"/>
        <v>3.2619379198917699E-3</v>
      </c>
      <c r="J40" s="175">
        <f t="shared" si="4"/>
        <v>0.11194222042221703</v>
      </c>
      <c r="K40" s="59">
        <f t="shared" si="5"/>
        <v>3.0552411981506905E-3</v>
      </c>
      <c r="L40" s="189">
        <f t="shared" si="6"/>
        <v>0.22693968204258474</v>
      </c>
      <c r="W40" s="103"/>
      <c r="X40" s="103"/>
      <c r="Y40" s="103"/>
      <c r="Z40" s="103"/>
      <c r="AA40" s="103"/>
      <c r="AB40" s="103"/>
      <c r="AC40" s="103"/>
      <c r="AD40" s="103"/>
      <c r="AE40" s="103"/>
      <c r="AF40" s="103"/>
      <c r="AG40" s="103"/>
      <c r="AH40" s="103"/>
      <c r="AI40" s="103"/>
      <c r="AJ40" s="103"/>
    </row>
    <row r="41" spans="1:37">
      <c r="A41" s="326"/>
      <c r="B41" s="59">
        <f t="shared" si="1"/>
        <v>0.75</v>
      </c>
      <c r="C41" s="59">
        <v>0.8</v>
      </c>
      <c r="D41" s="59">
        <f>K5</f>
        <v>7.1364231447514401E-2</v>
      </c>
      <c r="E41" s="59">
        <f t="shared" si="2"/>
        <v>9.4819111617023125E-2</v>
      </c>
      <c r="F41" s="173">
        <f t="shared" si="0"/>
        <v>2</v>
      </c>
      <c r="G41" s="173">
        <f t="shared" si="7"/>
        <v>516</v>
      </c>
      <c r="H41" s="173">
        <f>SUM(F41:F44)</f>
        <v>3</v>
      </c>
      <c r="I41" s="190">
        <f t="shared" si="3"/>
        <v>3.0872296048039816E-3</v>
      </c>
      <c r="J41" s="175">
        <f t="shared" si="4"/>
        <v>0.10890317373619088</v>
      </c>
      <c r="K41" s="59">
        <v>0</v>
      </c>
      <c r="L41" s="189">
        <f t="shared" si="6"/>
        <v>0.20372228535321402</v>
      </c>
      <c r="W41" s="103"/>
      <c r="X41" s="103"/>
      <c r="Y41" s="105"/>
      <c r="Z41" s="105"/>
      <c r="AA41" s="105"/>
      <c r="AB41" s="105"/>
      <c r="AC41" s="105"/>
      <c r="AD41" s="105"/>
      <c r="AE41" s="105"/>
      <c r="AF41" s="105"/>
      <c r="AG41" s="105"/>
      <c r="AH41" s="105"/>
      <c r="AI41" s="105"/>
      <c r="AJ41" s="105"/>
    </row>
    <row r="42" spans="1:37">
      <c r="A42" s="326"/>
      <c r="B42" s="59">
        <f t="shared" si="1"/>
        <v>0.85000000000000009</v>
      </c>
      <c r="C42" s="59">
        <v>0.9</v>
      </c>
      <c r="D42" s="59">
        <f>L5</f>
        <v>2.34548801695099E-2</v>
      </c>
      <c r="E42" s="59">
        <f t="shared" si="2"/>
        <v>2.3454880169508724E-2</v>
      </c>
      <c r="F42" s="173">
        <f t="shared" si="0"/>
        <v>1</v>
      </c>
      <c r="G42" s="173">
        <f t="shared" si="7"/>
        <v>518</v>
      </c>
      <c r="H42" s="173">
        <f>SUM(F42:F44)</f>
        <v>1</v>
      </c>
      <c r="I42" s="190">
        <f t="shared" si="3"/>
        <v>6.5705038806783346E-4</v>
      </c>
      <c r="J42" s="175">
        <f t="shared" si="4"/>
        <v>5.0240668494770137E-2</v>
      </c>
      <c r="K42" s="59">
        <v>0</v>
      </c>
      <c r="L42" s="189">
        <f t="shared" si="6"/>
        <v>7.3695548664278854E-2</v>
      </c>
      <c r="W42" s="103"/>
      <c r="X42" s="103"/>
      <c r="Y42" s="105"/>
      <c r="Z42" s="105"/>
      <c r="AA42" s="105"/>
      <c r="AB42" s="105"/>
      <c r="AC42" s="105"/>
      <c r="AD42" s="105"/>
      <c r="AE42" s="105"/>
      <c r="AF42" s="105"/>
      <c r="AG42" s="105"/>
      <c r="AH42" s="105"/>
      <c r="AI42" s="105"/>
      <c r="AJ42" s="105"/>
    </row>
    <row r="43" spans="1:37">
      <c r="A43" s="326"/>
      <c r="B43" s="59">
        <f>C43</f>
        <v>0.95</v>
      </c>
      <c r="C43" s="59">
        <v>0.95</v>
      </c>
      <c r="D43" s="59">
        <f>M5</f>
        <v>0</v>
      </c>
      <c r="E43" s="59">
        <f t="shared" si="2"/>
        <v>-1.1761425167122752E-15</v>
      </c>
      <c r="F43" s="173">
        <f t="shared" si="0"/>
        <v>0</v>
      </c>
      <c r="G43" s="173">
        <f t="shared" si="7"/>
        <v>519</v>
      </c>
      <c r="H43" s="173">
        <f>SUM(F43:F44)</f>
        <v>0</v>
      </c>
      <c r="I43" s="190" t="e">
        <f t="shared" si="3"/>
        <v>#DIV/0!</v>
      </c>
      <c r="J43" s="175" t="e">
        <f t="shared" si="4"/>
        <v>#DIV/0!</v>
      </c>
      <c r="K43" s="59" t="e">
        <f t="shared" si="5"/>
        <v>#DIV/0!</v>
      </c>
      <c r="L43" s="189" t="e">
        <f t="shared" si="6"/>
        <v>#DIV/0!</v>
      </c>
      <c r="W43" s="103"/>
      <c r="X43" s="103"/>
      <c r="Y43" s="105"/>
      <c r="Z43" s="105"/>
      <c r="AA43" s="105"/>
      <c r="AB43" s="105"/>
      <c r="AC43" s="105"/>
      <c r="AD43" s="105"/>
      <c r="AE43" s="105"/>
      <c r="AF43" s="105"/>
      <c r="AG43" s="105"/>
      <c r="AH43" s="105"/>
      <c r="AI43" s="105"/>
      <c r="AJ43" s="105"/>
    </row>
    <row r="44" spans="1:37">
      <c r="A44" s="520"/>
      <c r="B44" s="187">
        <f>C44</f>
        <v>1</v>
      </c>
      <c r="C44" s="187">
        <v>1</v>
      </c>
      <c r="D44" s="187">
        <f>N5</f>
        <v>0</v>
      </c>
      <c r="E44" s="59">
        <f t="shared" si="2"/>
        <v>-1.1761425167122752E-15</v>
      </c>
      <c r="F44" s="126">
        <f t="shared" si="0"/>
        <v>0</v>
      </c>
      <c r="G44" s="126">
        <f t="shared" si="7"/>
        <v>519</v>
      </c>
      <c r="H44" s="126">
        <f>SUM(F44)</f>
        <v>0</v>
      </c>
      <c r="I44" s="191" t="e">
        <f t="shared" si="3"/>
        <v>#DIV/0!</v>
      </c>
      <c r="J44" s="192" t="e">
        <f t="shared" si="4"/>
        <v>#DIV/0!</v>
      </c>
      <c r="K44" s="59" t="e">
        <f>E44-J44</f>
        <v>#DIV/0!</v>
      </c>
      <c r="L44" s="189" t="e">
        <f>E44+J44</f>
        <v>#DIV/0!</v>
      </c>
      <c r="W44" s="103"/>
      <c r="X44" s="103"/>
      <c r="Y44" s="105"/>
      <c r="Z44" s="105"/>
      <c r="AA44" s="105"/>
      <c r="AB44" s="105"/>
      <c r="AC44" s="105"/>
      <c r="AD44" s="105"/>
      <c r="AE44" s="105"/>
      <c r="AF44" s="105"/>
      <c r="AG44" s="105"/>
      <c r="AH44" s="105"/>
      <c r="AI44" s="105"/>
      <c r="AJ44" s="105"/>
    </row>
    <row r="45" spans="1:37" ht="15" customHeight="1">
      <c r="A45" s="519" t="s">
        <v>7</v>
      </c>
      <c r="B45" s="186">
        <v>0</v>
      </c>
      <c r="C45" s="186">
        <v>0</v>
      </c>
      <c r="D45" s="186">
        <f>C6</f>
        <v>0</v>
      </c>
      <c r="E45" s="186">
        <v>1</v>
      </c>
      <c r="F45" s="128">
        <f>E14</f>
        <v>505</v>
      </c>
      <c r="G45" s="128"/>
      <c r="H45" s="128"/>
      <c r="I45" s="180" t="s">
        <v>72</v>
      </c>
      <c r="J45" s="185" t="s">
        <v>72</v>
      </c>
      <c r="K45" s="186">
        <v>1</v>
      </c>
      <c r="L45" s="188">
        <v>1</v>
      </c>
      <c r="W45" s="103"/>
      <c r="X45" s="103"/>
      <c r="Y45" s="105"/>
      <c r="Z45" s="105"/>
      <c r="AA45" s="105"/>
      <c r="AB45" s="105"/>
      <c r="AC45" s="105"/>
      <c r="AD45" s="105"/>
      <c r="AE45" s="105"/>
      <c r="AF45" s="105"/>
      <c r="AG45" s="105"/>
      <c r="AH45" s="105"/>
      <c r="AI45" s="105"/>
      <c r="AJ45" s="105"/>
    </row>
    <row r="46" spans="1:37">
      <c r="A46" s="326"/>
      <c r="B46" s="59">
        <f>(C45+C46)/2</f>
        <v>0.05</v>
      </c>
      <c r="C46" s="59">
        <v>0.1</v>
      </c>
      <c r="D46" s="59">
        <f>D6</f>
        <v>0.19609610871549599</v>
      </c>
      <c r="E46" s="59">
        <f>E45-D45</f>
        <v>1</v>
      </c>
      <c r="F46" s="173">
        <f t="shared" ref="F46:F56" si="8">E15*$E$26</f>
        <v>1061</v>
      </c>
      <c r="G46" s="173">
        <f>F45</f>
        <v>505</v>
      </c>
      <c r="H46" s="173">
        <f>SUM(F46:F56)</f>
        <v>1298</v>
      </c>
      <c r="I46" s="190">
        <f>1.25*(E46^2)*((1-E46)^2)*((1/G46)+(1/H46))</f>
        <v>0</v>
      </c>
      <c r="J46" s="175">
        <f>1.96*SQRT(I46)</f>
        <v>0</v>
      </c>
      <c r="K46" s="59">
        <f>E46-J46</f>
        <v>1</v>
      </c>
      <c r="L46" s="189">
        <f>E46+J46</f>
        <v>1</v>
      </c>
      <c r="W46" s="103"/>
      <c r="X46" s="103"/>
      <c r="Y46" s="105"/>
      <c r="Z46" s="105"/>
      <c r="AA46" s="105"/>
      <c r="AB46" s="105"/>
      <c r="AC46" s="105"/>
      <c r="AD46" s="105"/>
      <c r="AE46" s="105"/>
      <c r="AF46" s="105"/>
      <c r="AG46" s="105"/>
      <c r="AH46" s="105"/>
      <c r="AI46" s="105"/>
      <c r="AJ46" s="105"/>
    </row>
    <row r="47" spans="1:37">
      <c r="A47" s="326"/>
      <c r="B47" s="59">
        <f t="shared" ref="B47:B54" si="9">(C46+C47)/2</f>
        <v>0.15000000000000002</v>
      </c>
      <c r="C47" s="59">
        <v>0.2</v>
      </c>
      <c r="D47" s="59">
        <f>E6</f>
        <v>0.202502658315272</v>
      </c>
      <c r="E47" s="59">
        <f t="shared" ref="E47:E56" si="10">E46-D46</f>
        <v>0.80390389128450401</v>
      </c>
      <c r="F47" s="173">
        <f t="shared" si="8"/>
        <v>115.99999999999999</v>
      </c>
      <c r="G47" s="173">
        <f>F46+G46</f>
        <v>1566</v>
      </c>
      <c r="H47" s="173">
        <f>SUM(F47:F56)</f>
        <v>237</v>
      </c>
      <c r="I47" s="190">
        <f t="shared" ref="I47:I56" si="11">1.25*(E47^2)*((1-E47)^2)*((1/G47)+(1/H47))</f>
        <v>1.5090785606282432E-4</v>
      </c>
      <c r="J47" s="175">
        <f t="shared" ref="J47:J56" si="12">1.96*SQRT(I47)</f>
        <v>2.4077533508458582E-2</v>
      </c>
      <c r="K47" s="59">
        <f t="shared" ref="K47:K53" si="13">E47-J47</f>
        <v>0.77982635777604548</v>
      </c>
      <c r="L47" s="189">
        <f t="shared" ref="L47:L55" si="14">E47+J47</f>
        <v>0.82798142479296255</v>
      </c>
      <c r="W47" s="103"/>
      <c r="X47" s="103"/>
      <c r="Y47" s="105"/>
      <c r="Z47" s="105"/>
      <c r="AA47" s="105"/>
      <c r="AB47" s="105"/>
      <c r="AC47" s="105"/>
      <c r="AD47" s="105"/>
      <c r="AE47" s="105"/>
      <c r="AF47" s="105"/>
      <c r="AG47" s="105"/>
      <c r="AH47" s="105"/>
      <c r="AI47" s="105"/>
      <c r="AJ47" s="105"/>
    </row>
    <row r="48" spans="1:37">
      <c r="A48" s="326"/>
      <c r="B48" s="59">
        <f t="shared" si="9"/>
        <v>0.25</v>
      </c>
      <c r="C48" s="59">
        <v>0.3</v>
      </c>
      <c r="D48" s="59">
        <f>F6</f>
        <v>0.17456817890074749</v>
      </c>
      <c r="E48" s="59">
        <f t="shared" si="10"/>
        <v>0.60140123296923198</v>
      </c>
      <c r="F48" s="173">
        <f t="shared" si="8"/>
        <v>57</v>
      </c>
      <c r="G48" s="173">
        <f t="shared" ref="G48:G56" si="15">F47+G47</f>
        <v>1682</v>
      </c>
      <c r="H48" s="173">
        <f>SUM(F48:F56)</f>
        <v>121</v>
      </c>
      <c r="I48" s="190">
        <f t="shared" si="11"/>
        <v>6.3634832924562687E-4</v>
      </c>
      <c r="J48" s="175">
        <f t="shared" si="12"/>
        <v>4.9442853291754921E-2</v>
      </c>
      <c r="K48" s="59">
        <f t="shared" si="13"/>
        <v>0.55195837967747707</v>
      </c>
      <c r="L48" s="189">
        <f t="shared" si="14"/>
        <v>0.65084408626098689</v>
      </c>
    </row>
    <row r="49" spans="1:12">
      <c r="A49" s="326"/>
      <c r="B49" s="59">
        <f t="shared" si="9"/>
        <v>0.35</v>
      </c>
      <c r="C49" s="59">
        <v>0.4</v>
      </c>
      <c r="D49" s="59">
        <f>G6</f>
        <v>0.14536327178891401</v>
      </c>
      <c r="E49" s="59">
        <f t="shared" si="10"/>
        <v>0.42683305406848449</v>
      </c>
      <c r="F49" s="173">
        <f t="shared" si="8"/>
        <v>32</v>
      </c>
      <c r="G49" s="173">
        <f t="shared" si="15"/>
        <v>1739</v>
      </c>
      <c r="H49" s="173">
        <f>SUM(F49:F56)</f>
        <v>64</v>
      </c>
      <c r="I49" s="190">
        <f t="shared" si="11"/>
        <v>1.2120053746027502E-3</v>
      </c>
      <c r="J49" s="175">
        <f t="shared" si="12"/>
        <v>6.8235180420908426E-2</v>
      </c>
      <c r="K49" s="59">
        <f t="shared" si="13"/>
        <v>0.35859787364757606</v>
      </c>
      <c r="L49" s="189">
        <f t="shared" si="14"/>
        <v>0.49506823448939291</v>
      </c>
    </row>
    <row r="50" spans="1:12">
      <c r="A50" s="326"/>
      <c r="B50" s="59">
        <f t="shared" si="9"/>
        <v>0.45</v>
      </c>
      <c r="C50" s="59">
        <v>0.5</v>
      </c>
      <c r="D50" s="59">
        <f>H6</f>
        <v>6.4126528695371152E-2</v>
      </c>
      <c r="E50" s="59">
        <f t="shared" si="10"/>
        <v>0.28146978227957048</v>
      </c>
      <c r="F50" s="173">
        <f t="shared" si="8"/>
        <v>11</v>
      </c>
      <c r="G50" s="173">
        <f t="shared" si="15"/>
        <v>1771</v>
      </c>
      <c r="H50" s="173">
        <f>SUM(F50:F56)</f>
        <v>32</v>
      </c>
      <c r="I50" s="190">
        <f t="shared" si="11"/>
        <v>1.6266376818620928E-3</v>
      </c>
      <c r="J50" s="175">
        <f t="shared" si="12"/>
        <v>7.9049929276637662E-2</v>
      </c>
      <c r="K50" s="59">
        <f t="shared" si="13"/>
        <v>0.2024198530029328</v>
      </c>
      <c r="L50" s="189">
        <f t="shared" si="14"/>
        <v>0.36051971155620816</v>
      </c>
    </row>
    <row r="51" spans="1:12">
      <c r="A51" s="326"/>
      <c r="B51" s="59">
        <f t="shared" si="9"/>
        <v>0.55000000000000004</v>
      </c>
      <c r="C51" s="59">
        <v>0.6</v>
      </c>
      <c r="D51" s="59">
        <f>I6</f>
        <v>6.0477037607466554E-2</v>
      </c>
      <c r="E51" s="59">
        <f t="shared" si="10"/>
        <v>0.21734325358419931</v>
      </c>
      <c r="F51" s="173">
        <f t="shared" si="8"/>
        <v>7</v>
      </c>
      <c r="G51" s="173">
        <f t="shared" si="15"/>
        <v>1782</v>
      </c>
      <c r="H51" s="173">
        <f>SUM(F51:F56)</f>
        <v>21</v>
      </c>
      <c r="I51" s="190">
        <f t="shared" si="11"/>
        <v>1.7426643216201293E-3</v>
      </c>
      <c r="J51" s="175">
        <f t="shared" si="12"/>
        <v>8.1820653003602264E-2</v>
      </c>
      <c r="K51" s="59">
        <f t="shared" si="13"/>
        <v>0.13552260058059706</v>
      </c>
      <c r="L51" s="189">
        <f t="shared" si="14"/>
        <v>0.29916390658780156</v>
      </c>
    </row>
    <row r="52" spans="1:12">
      <c r="A52" s="326"/>
      <c r="B52" s="59">
        <f t="shared" si="9"/>
        <v>0.64999999999999991</v>
      </c>
      <c r="C52" s="59">
        <v>0.7</v>
      </c>
      <c r="D52" s="59">
        <f>J6</f>
        <v>6.3778021809664395E-2</v>
      </c>
      <c r="E52" s="59">
        <f t="shared" si="10"/>
        <v>0.15686621597673275</v>
      </c>
      <c r="F52" s="173">
        <f t="shared" si="8"/>
        <v>5</v>
      </c>
      <c r="G52" s="173">
        <f t="shared" si="15"/>
        <v>1789</v>
      </c>
      <c r="H52" s="173">
        <f>SUM(F52:F56)</f>
        <v>14</v>
      </c>
      <c r="I52" s="190">
        <f t="shared" si="11"/>
        <v>1.5740524059111552E-3</v>
      </c>
      <c r="J52" s="175">
        <f t="shared" si="12"/>
        <v>7.7761685440506573E-2</v>
      </c>
      <c r="K52" s="59">
        <f t="shared" si="13"/>
        <v>7.9104530536226181E-2</v>
      </c>
      <c r="L52" s="189">
        <f t="shared" si="14"/>
        <v>0.23462790141723933</v>
      </c>
    </row>
    <row r="53" spans="1:12">
      <c r="A53" s="326"/>
      <c r="B53" s="59">
        <f t="shared" si="9"/>
        <v>0.75</v>
      </c>
      <c r="C53" s="59">
        <v>0.8</v>
      </c>
      <c r="D53" s="59">
        <f>K6</f>
        <v>5.4632342499921452E-2</v>
      </c>
      <c r="E53" s="59">
        <f t="shared" si="10"/>
        <v>9.3088194167068358E-2</v>
      </c>
      <c r="F53" s="173">
        <f t="shared" si="8"/>
        <v>6.0000000000000009</v>
      </c>
      <c r="G53" s="173">
        <f t="shared" si="15"/>
        <v>1794</v>
      </c>
      <c r="H53" s="173">
        <f>SUM(F53:F56)</f>
        <v>9</v>
      </c>
      <c r="I53" s="190">
        <f t="shared" si="11"/>
        <v>9.948557474625465E-4</v>
      </c>
      <c r="J53" s="175">
        <f t="shared" si="12"/>
        <v>6.1821014545639083E-2</v>
      </c>
      <c r="K53" s="59">
        <f t="shared" si="13"/>
        <v>3.1267179621429275E-2</v>
      </c>
      <c r="L53" s="189">
        <f t="shared" si="14"/>
        <v>0.15490920871270744</v>
      </c>
    </row>
    <row r="54" spans="1:12">
      <c r="A54" s="326"/>
      <c r="B54" s="59">
        <f t="shared" si="9"/>
        <v>0.85000000000000009</v>
      </c>
      <c r="C54" s="59">
        <v>0.9</v>
      </c>
      <c r="D54" s="59">
        <f>L6</f>
        <v>2.0833567104758349E-2</v>
      </c>
      <c r="E54" s="59">
        <f t="shared" si="10"/>
        <v>3.8455851667146906E-2</v>
      </c>
      <c r="F54" s="173">
        <f t="shared" si="8"/>
        <v>2</v>
      </c>
      <c r="G54" s="173">
        <f t="shared" si="15"/>
        <v>1800</v>
      </c>
      <c r="H54" s="173">
        <f>SUM(F54:F56)</f>
        <v>3</v>
      </c>
      <c r="I54" s="190">
        <f t="shared" si="11"/>
        <v>5.7065720673045819E-4</v>
      </c>
      <c r="J54" s="175">
        <f t="shared" si="12"/>
        <v>4.6821327676345621E-2</v>
      </c>
      <c r="K54" s="59">
        <v>0</v>
      </c>
      <c r="L54" s="189">
        <f t="shared" si="14"/>
        <v>8.5277179343492521E-2</v>
      </c>
    </row>
    <row r="55" spans="1:12">
      <c r="A55" s="326"/>
      <c r="B55" s="59">
        <f>C55</f>
        <v>0.95</v>
      </c>
      <c r="C55" s="59">
        <v>0.95</v>
      </c>
      <c r="D55" s="59">
        <f>M6</f>
        <v>1.7622284562388051E-2</v>
      </c>
      <c r="E55" s="59">
        <f t="shared" si="10"/>
        <v>1.7622284562388558E-2</v>
      </c>
      <c r="F55" s="173">
        <f t="shared" si="8"/>
        <v>1</v>
      </c>
      <c r="G55" s="173">
        <f t="shared" si="15"/>
        <v>1802</v>
      </c>
      <c r="H55" s="173">
        <f>SUM(F55:F56)</f>
        <v>1</v>
      </c>
      <c r="I55" s="190">
        <f t="shared" si="11"/>
        <v>3.7482830356236005E-4</v>
      </c>
      <c r="J55" s="175">
        <f t="shared" si="12"/>
        <v>3.7946546759424132E-2</v>
      </c>
      <c r="K55" s="59">
        <v>0</v>
      </c>
      <c r="L55" s="189">
        <f t="shared" si="14"/>
        <v>5.5568831321812687E-2</v>
      </c>
    </row>
    <row r="56" spans="1:12">
      <c r="A56" s="520"/>
      <c r="B56" s="187">
        <f>C56</f>
        <v>1</v>
      </c>
      <c r="C56" s="187">
        <v>1</v>
      </c>
      <c r="D56" s="187">
        <f>N6</f>
        <v>0</v>
      </c>
      <c r="E56" s="59">
        <f t="shared" si="10"/>
        <v>5.0653925498522767E-16</v>
      </c>
      <c r="F56" s="126">
        <f t="shared" si="8"/>
        <v>0</v>
      </c>
      <c r="G56" s="126">
        <f t="shared" si="15"/>
        <v>1803</v>
      </c>
      <c r="H56" s="126">
        <f>SUM(F56)</f>
        <v>0</v>
      </c>
      <c r="I56" s="191" t="e">
        <f t="shared" si="11"/>
        <v>#DIV/0!</v>
      </c>
      <c r="J56" s="192" t="e">
        <f t="shared" si="12"/>
        <v>#DIV/0!</v>
      </c>
      <c r="K56" s="59" t="e">
        <f t="shared" ref="K56" si="16">E56-J56</f>
        <v>#DIV/0!</v>
      </c>
      <c r="L56" s="189" t="e">
        <f t="shared" ref="L56" si="17">E56+J56</f>
        <v>#DIV/0!</v>
      </c>
    </row>
    <row r="57" spans="1:12">
      <c r="A57" s="519" t="s">
        <v>6</v>
      </c>
      <c r="B57" s="186">
        <v>0</v>
      </c>
      <c r="C57" s="186">
        <v>0</v>
      </c>
      <c r="D57" s="186">
        <f>C7</f>
        <v>0</v>
      </c>
      <c r="E57" s="186">
        <v>1</v>
      </c>
      <c r="F57" s="128">
        <f>G14</f>
        <v>1628</v>
      </c>
      <c r="G57" s="128"/>
      <c r="H57" s="128"/>
      <c r="I57" s="180" t="s">
        <v>72</v>
      </c>
      <c r="J57" s="185" t="s">
        <v>72</v>
      </c>
      <c r="K57" s="186">
        <v>1</v>
      </c>
      <c r="L57" s="188">
        <v>1</v>
      </c>
    </row>
    <row r="58" spans="1:12">
      <c r="A58" s="326"/>
      <c r="B58" s="59">
        <f>(C57+C58)/2</f>
        <v>0.05</v>
      </c>
      <c r="C58" s="59">
        <v>0.1</v>
      </c>
      <c r="D58" s="59">
        <f>D7</f>
        <v>0.17631952888855801</v>
      </c>
      <c r="E58" s="59">
        <f>E57-D57</f>
        <v>1</v>
      </c>
      <c r="F58" s="173">
        <f t="shared" ref="F58:F68" si="18">G15*$G$26</f>
        <v>872</v>
      </c>
      <c r="G58" s="173">
        <f>F57</f>
        <v>1628</v>
      </c>
      <c r="H58" s="173">
        <f>SUM(F58:F68)</f>
        <v>1120</v>
      </c>
      <c r="I58" s="190">
        <f>1.25*(E58^2)*((1-E58)^2)*((1/G58)+(1/H58))</f>
        <v>0</v>
      </c>
      <c r="J58" s="175">
        <f>1.96*SQRT(I58)</f>
        <v>0</v>
      </c>
      <c r="K58" s="59">
        <f>E58-J58</f>
        <v>1</v>
      </c>
      <c r="L58" s="189">
        <f>E58+J58</f>
        <v>1</v>
      </c>
    </row>
    <row r="59" spans="1:12" ht="15" customHeight="1">
      <c r="A59" s="326"/>
      <c r="B59" s="59">
        <f t="shared" ref="B59:B66" si="19">(C58+C59)/2</f>
        <v>0.15000000000000002</v>
      </c>
      <c r="C59" s="59">
        <v>0.2</v>
      </c>
      <c r="D59" s="59">
        <f>E7</f>
        <v>0.15012533253971</v>
      </c>
      <c r="E59" s="59">
        <f t="shared" ref="E59:E68" si="20">E58-D58</f>
        <v>0.82368047111144205</v>
      </c>
      <c r="F59" s="173">
        <f t="shared" si="18"/>
        <v>92</v>
      </c>
      <c r="G59" s="173">
        <f>F58+G58</f>
        <v>2500</v>
      </c>
      <c r="H59" s="173">
        <f>SUM(F59:F68)</f>
        <v>248</v>
      </c>
      <c r="I59" s="190">
        <f t="shared" ref="I59:I68" si="21">1.25*(E59^2)*((1-E59)^2)*((1/G59)+(1/H59))</f>
        <v>1.168566478602219E-4</v>
      </c>
      <c r="J59" s="175">
        <f t="shared" ref="J59:J68" si="22">1.96*SQRT(I59)</f>
        <v>2.1187649667195947E-2</v>
      </c>
      <c r="K59" s="59">
        <f t="shared" ref="K59:K67" si="23">E59-J59</f>
        <v>0.80249282144424605</v>
      </c>
      <c r="L59" s="189">
        <f t="shared" ref="L59:L67" si="24">E59+J59</f>
        <v>0.84486812077863804</v>
      </c>
    </row>
    <row r="60" spans="1:12">
      <c r="A60" s="326"/>
      <c r="B60" s="59">
        <f t="shared" si="19"/>
        <v>0.25</v>
      </c>
      <c r="C60" s="59">
        <v>0.3</v>
      </c>
      <c r="D60" s="59">
        <f>F7</f>
        <v>0.13491681268105102</v>
      </c>
      <c r="E60" s="59">
        <f t="shared" si="20"/>
        <v>0.67355513857173199</v>
      </c>
      <c r="F60" s="173">
        <f t="shared" si="18"/>
        <v>57</v>
      </c>
      <c r="G60" s="173">
        <f>F59+G59</f>
        <v>2592</v>
      </c>
      <c r="H60" s="173">
        <f>SUM(F60:F68)</f>
        <v>156</v>
      </c>
      <c r="I60" s="190">
        <f t="shared" si="21"/>
        <v>4.1070796638701008E-4</v>
      </c>
      <c r="J60" s="175">
        <f t="shared" si="22"/>
        <v>3.9721225102863307E-2</v>
      </c>
      <c r="K60" s="59">
        <f t="shared" si="23"/>
        <v>0.63383391346886864</v>
      </c>
      <c r="L60" s="189">
        <f t="shared" si="24"/>
        <v>0.71327636367459535</v>
      </c>
    </row>
    <row r="61" spans="1:12">
      <c r="A61" s="326"/>
      <c r="B61" s="59">
        <f t="shared" si="19"/>
        <v>0.35</v>
      </c>
      <c r="C61" s="59">
        <v>0.4</v>
      </c>
      <c r="D61" s="59">
        <f>G7</f>
        <v>0.12915648281060899</v>
      </c>
      <c r="E61" s="59">
        <f t="shared" si="20"/>
        <v>0.53863832589068095</v>
      </c>
      <c r="F61" s="173">
        <f t="shared" si="18"/>
        <v>32</v>
      </c>
      <c r="G61" s="173">
        <f t="shared" ref="G61:G68" si="25">F60+G60</f>
        <v>2649</v>
      </c>
      <c r="H61" s="173">
        <f>SUM(F61:F68)</f>
        <v>99</v>
      </c>
      <c r="I61" s="190">
        <f t="shared" si="21"/>
        <v>8.088856304614919E-4</v>
      </c>
      <c r="J61" s="175">
        <f t="shared" si="22"/>
        <v>5.5744192863300721E-2</v>
      </c>
      <c r="K61" s="59">
        <f t="shared" si="23"/>
        <v>0.48289413302738021</v>
      </c>
      <c r="L61" s="189">
        <f t="shared" si="24"/>
        <v>0.59438251875398163</v>
      </c>
    </row>
    <row r="62" spans="1:12">
      <c r="A62" s="326"/>
      <c r="B62" s="59">
        <f t="shared" si="19"/>
        <v>0.45</v>
      </c>
      <c r="C62" s="59">
        <v>0.5</v>
      </c>
      <c r="D62" s="59">
        <f>H7</f>
        <v>6.5315286288171293E-2</v>
      </c>
      <c r="E62" s="59">
        <f t="shared" si="20"/>
        <v>0.40948184308007196</v>
      </c>
      <c r="F62" s="173">
        <f t="shared" si="18"/>
        <v>20</v>
      </c>
      <c r="G62" s="173">
        <f t="shared" si="25"/>
        <v>2681</v>
      </c>
      <c r="H62" s="173">
        <f>SUM(F62:F68)</f>
        <v>67</v>
      </c>
      <c r="I62" s="190">
        <f t="shared" si="21"/>
        <v>1.1181264849061854E-3</v>
      </c>
      <c r="J62" s="175">
        <f t="shared" si="22"/>
        <v>6.5539260786307327E-2</v>
      </c>
      <c r="K62" s="59">
        <f t="shared" si="23"/>
        <v>0.34394258229376462</v>
      </c>
      <c r="L62" s="189">
        <f t="shared" si="24"/>
        <v>0.4750211038663793</v>
      </c>
    </row>
    <row r="63" spans="1:12">
      <c r="A63" s="326"/>
      <c r="B63" s="59">
        <f t="shared" si="19"/>
        <v>0.55000000000000004</v>
      </c>
      <c r="C63" s="59">
        <v>0.6</v>
      </c>
      <c r="D63" s="59">
        <f>I7</f>
        <v>6.4419668879911601E-2</v>
      </c>
      <c r="E63" s="59">
        <f t="shared" si="20"/>
        <v>0.34416655679190067</v>
      </c>
      <c r="F63" s="173">
        <f t="shared" si="18"/>
        <v>12</v>
      </c>
      <c r="G63" s="173">
        <f t="shared" si="25"/>
        <v>2701</v>
      </c>
      <c r="H63" s="173">
        <f>SUM(F63:F68)</f>
        <v>47</v>
      </c>
      <c r="I63" s="190">
        <f t="shared" si="21"/>
        <v>1.3785697716184151E-3</v>
      </c>
      <c r="J63" s="175">
        <f t="shared" si="22"/>
        <v>7.2773028208597323E-2</v>
      </c>
      <c r="K63" s="59">
        <f t="shared" si="23"/>
        <v>0.27139352858330335</v>
      </c>
      <c r="L63" s="189">
        <f t="shared" si="24"/>
        <v>0.41693958500049799</v>
      </c>
    </row>
    <row r="64" spans="1:12">
      <c r="A64" s="326"/>
      <c r="B64" s="59">
        <f t="shared" si="19"/>
        <v>0.64999999999999991</v>
      </c>
      <c r="C64" s="59">
        <v>0.7</v>
      </c>
      <c r="D64" s="59">
        <f>J7</f>
        <v>7.8553644719569302E-3</v>
      </c>
      <c r="E64" s="59">
        <f t="shared" si="20"/>
        <v>0.27974688791198909</v>
      </c>
      <c r="F64" s="173">
        <f t="shared" si="18"/>
        <v>3</v>
      </c>
      <c r="G64" s="173">
        <f t="shared" si="25"/>
        <v>2713</v>
      </c>
      <c r="H64" s="173">
        <f>SUM(F64:F68)</f>
        <v>35</v>
      </c>
      <c r="I64" s="190">
        <f t="shared" si="21"/>
        <v>1.4686209457928973E-3</v>
      </c>
      <c r="J64" s="175">
        <f t="shared" si="22"/>
        <v>7.5112277460865171E-2</v>
      </c>
      <c r="K64" s="59">
        <f t="shared" si="23"/>
        <v>0.20463461045112391</v>
      </c>
      <c r="L64" s="189">
        <f t="shared" si="24"/>
        <v>0.35485916537285428</v>
      </c>
    </row>
    <row r="65" spans="1:12">
      <c r="A65" s="326"/>
      <c r="B65" s="59">
        <f t="shared" si="19"/>
        <v>0.75</v>
      </c>
      <c r="C65" s="59">
        <v>0.8</v>
      </c>
      <c r="D65" s="59">
        <f>K7</f>
        <v>5.7779654159561697E-2</v>
      </c>
      <c r="E65" s="59">
        <f t="shared" si="20"/>
        <v>0.27189152344003215</v>
      </c>
      <c r="F65" s="173">
        <f t="shared" si="18"/>
        <v>9</v>
      </c>
      <c r="G65" s="173">
        <f t="shared" si="25"/>
        <v>2716</v>
      </c>
      <c r="H65" s="173">
        <f>SUM(F65:F68)</f>
        <v>32</v>
      </c>
      <c r="I65" s="190">
        <f t="shared" si="21"/>
        <v>1.5489254224829957E-3</v>
      </c>
      <c r="J65" s="175">
        <f t="shared" si="22"/>
        <v>7.713852411739984E-2</v>
      </c>
      <c r="K65" s="59">
        <f t="shared" si="23"/>
        <v>0.19475299932263229</v>
      </c>
      <c r="L65" s="189">
        <f t="shared" si="24"/>
        <v>0.349030047557432</v>
      </c>
    </row>
    <row r="66" spans="1:12">
      <c r="A66" s="326"/>
      <c r="B66" s="59">
        <f t="shared" si="19"/>
        <v>0.85000000000000009</v>
      </c>
      <c r="C66" s="59">
        <v>0.9</v>
      </c>
      <c r="D66" s="59">
        <f>L7</f>
        <v>6.2587069656327501E-2</v>
      </c>
      <c r="E66" s="59">
        <f t="shared" si="20"/>
        <v>0.21411186928047043</v>
      </c>
      <c r="F66" s="173">
        <f t="shared" si="18"/>
        <v>5</v>
      </c>
      <c r="G66" s="173">
        <f t="shared" si="25"/>
        <v>2725</v>
      </c>
      <c r="H66" s="173">
        <f>SUM(F66:F68)</f>
        <v>23</v>
      </c>
      <c r="I66" s="190">
        <f t="shared" si="21"/>
        <v>1.5517985588583035E-3</v>
      </c>
      <c r="J66" s="175">
        <f t="shared" si="22"/>
        <v>7.7210033957446605E-2</v>
      </c>
      <c r="K66" s="59">
        <f t="shared" si="23"/>
        <v>0.13690183532302383</v>
      </c>
      <c r="L66" s="189">
        <f t="shared" si="24"/>
        <v>0.29132190323791707</v>
      </c>
    </row>
    <row r="67" spans="1:12">
      <c r="A67" s="326"/>
      <c r="B67" s="59">
        <f>C67</f>
        <v>0.95</v>
      </c>
      <c r="C67" s="59">
        <v>0.95</v>
      </c>
      <c r="D67" s="59">
        <f>M7</f>
        <v>0.151524799624142</v>
      </c>
      <c r="E67" s="59">
        <f t="shared" si="20"/>
        <v>0.15152479962414295</v>
      </c>
      <c r="F67" s="173">
        <f t="shared" si="18"/>
        <v>18</v>
      </c>
      <c r="G67" s="173">
        <f t="shared" si="25"/>
        <v>2730</v>
      </c>
      <c r="H67" s="173">
        <f>SUM(F67:F68)</f>
        <v>18</v>
      </c>
      <c r="I67" s="190">
        <f t="shared" si="21"/>
        <v>1.1554132195091783E-3</v>
      </c>
      <c r="J67" s="175">
        <f t="shared" si="22"/>
        <v>6.66230847684679E-2</v>
      </c>
      <c r="K67" s="59">
        <f t="shared" si="23"/>
        <v>8.4901714855675048E-2</v>
      </c>
      <c r="L67" s="189">
        <f t="shared" si="24"/>
        <v>0.21814788439261085</v>
      </c>
    </row>
    <row r="68" spans="1:12">
      <c r="A68" s="520"/>
      <c r="B68" s="187">
        <f>C68</f>
        <v>1</v>
      </c>
      <c r="C68" s="187">
        <v>1</v>
      </c>
      <c r="D68" s="187">
        <f>N7</f>
        <v>0</v>
      </c>
      <c r="E68" s="59">
        <f t="shared" si="20"/>
        <v>9.4368957093138306E-16</v>
      </c>
      <c r="F68" s="126">
        <f t="shared" si="18"/>
        <v>0</v>
      </c>
      <c r="G68" s="126">
        <f t="shared" si="25"/>
        <v>2748</v>
      </c>
      <c r="H68" s="126">
        <f>SUM(F68)</f>
        <v>0</v>
      </c>
      <c r="I68" s="191" t="e">
        <f t="shared" si="21"/>
        <v>#DIV/0!</v>
      </c>
      <c r="J68" s="192" t="e">
        <f t="shared" si="22"/>
        <v>#DIV/0!</v>
      </c>
      <c r="K68" s="59" t="e">
        <f t="shared" ref="K68" si="26">E68-J68</f>
        <v>#DIV/0!</v>
      </c>
      <c r="L68" s="189" t="e">
        <f t="shared" ref="L68" si="27">E68+J68</f>
        <v>#DIV/0!</v>
      </c>
    </row>
    <row r="69" spans="1:12">
      <c r="A69" s="519" t="s">
        <v>5</v>
      </c>
      <c r="B69" s="186">
        <v>0</v>
      </c>
      <c r="C69" s="186">
        <v>0</v>
      </c>
      <c r="D69" s="186">
        <f>C8</f>
        <v>0</v>
      </c>
      <c r="E69" s="186">
        <v>1</v>
      </c>
      <c r="F69" s="128">
        <f>I14</f>
        <v>7495</v>
      </c>
      <c r="G69" s="128"/>
      <c r="H69" s="128"/>
      <c r="I69" s="180" t="s">
        <v>72</v>
      </c>
      <c r="J69" s="185" t="s">
        <v>72</v>
      </c>
      <c r="K69" s="186">
        <v>1</v>
      </c>
      <c r="L69" s="188">
        <v>1</v>
      </c>
    </row>
    <row r="70" spans="1:12">
      <c r="A70" s="326"/>
      <c r="B70" s="59">
        <f>(C69+C70)/2</f>
        <v>0.05</v>
      </c>
      <c r="C70" s="59">
        <v>0.1</v>
      </c>
      <c r="D70" s="59">
        <f>D8</f>
        <v>6.1719353319779395E-2</v>
      </c>
      <c r="E70" s="59">
        <f>E69-D69</f>
        <v>1</v>
      </c>
      <c r="F70" s="173">
        <f t="shared" ref="F70:F80" si="28">I15*$I$26</f>
        <v>2094</v>
      </c>
      <c r="G70" s="173">
        <f>F69</f>
        <v>7495</v>
      </c>
      <c r="H70" s="173">
        <f>SUM(F70:F80)</f>
        <v>3060</v>
      </c>
      <c r="I70" s="190">
        <f>1.25*(E70^2)*((1-E70)^2)*((1/G70)+(1/H70))</f>
        <v>0</v>
      </c>
      <c r="J70" s="175">
        <f>1.96*SQRT(I70)</f>
        <v>0</v>
      </c>
      <c r="K70" s="59">
        <f>E70-J70</f>
        <v>1</v>
      </c>
      <c r="L70" s="189">
        <f>E70+J70</f>
        <v>1</v>
      </c>
    </row>
    <row r="71" spans="1:12">
      <c r="A71" s="326"/>
      <c r="B71" s="59">
        <f t="shared" ref="B71:B78" si="29">(C70+C71)/2</f>
        <v>0.15000000000000002</v>
      </c>
      <c r="C71" s="59">
        <v>0.2</v>
      </c>
      <c r="D71" s="59">
        <f>E8</f>
        <v>7.51086336237511E-2</v>
      </c>
      <c r="E71" s="59">
        <f t="shared" ref="E71:E80" si="30">E70-D70</f>
        <v>0.9382806466802206</v>
      </c>
      <c r="F71" s="173">
        <f t="shared" si="28"/>
        <v>215</v>
      </c>
      <c r="G71" s="173">
        <f>F70+G70</f>
        <v>9589</v>
      </c>
      <c r="H71" s="173">
        <f>SUM(F71:F80)</f>
        <v>966</v>
      </c>
      <c r="I71" s="190">
        <f t="shared" ref="I71:I80" si="31">1.25*(E71^2)*((1-E71)^2)*((1/G71)+(1/H71))</f>
        <v>4.7766789951218657E-6</v>
      </c>
      <c r="J71" s="175">
        <f t="shared" ref="J71:J80" si="32">1.96*SQRT(I71)</f>
        <v>4.2837005062982825E-3</v>
      </c>
      <c r="K71" s="59">
        <f t="shared" ref="K71:K79" si="33">E71-J71</f>
        <v>0.93399694617392237</v>
      </c>
      <c r="L71" s="189">
        <f t="shared" ref="L71:L79" si="34">E71+J71</f>
        <v>0.94256434718651882</v>
      </c>
    </row>
    <row r="72" spans="1:12">
      <c r="A72" s="326"/>
      <c r="B72" s="59">
        <f t="shared" si="29"/>
        <v>0.25</v>
      </c>
      <c r="C72" s="59">
        <v>0.3</v>
      </c>
      <c r="D72" s="59">
        <f>F8</f>
        <v>5.7999210348637698E-2</v>
      </c>
      <c r="E72" s="59">
        <f t="shared" si="30"/>
        <v>0.86317201305646951</v>
      </c>
      <c r="F72" s="173">
        <f t="shared" si="28"/>
        <v>108</v>
      </c>
      <c r="G72" s="173">
        <f t="shared" ref="G72:G80" si="35">F71+G71</f>
        <v>9804</v>
      </c>
      <c r="H72" s="173">
        <f>SUM(F72:F80)</f>
        <v>751</v>
      </c>
      <c r="I72" s="190">
        <f t="shared" si="31"/>
        <v>2.499594655177766E-5</v>
      </c>
      <c r="J72" s="175">
        <f t="shared" si="32"/>
        <v>9.7992054919421433E-3</v>
      </c>
      <c r="K72" s="59">
        <f t="shared" si="33"/>
        <v>0.85337280756452738</v>
      </c>
      <c r="L72" s="189">
        <f t="shared" si="34"/>
        <v>0.87297121854841164</v>
      </c>
    </row>
    <row r="73" spans="1:12" ht="15" customHeight="1">
      <c r="A73" s="326"/>
      <c r="B73" s="59">
        <f t="shared" si="29"/>
        <v>0.35</v>
      </c>
      <c r="C73" s="59">
        <v>0.4</v>
      </c>
      <c r="D73" s="59">
        <f>G8</f>
        <v>4.4079646780563399E-2</v>
      </c>
      <c r="E73" s="59">
        <f t="shared" si="30"/>
        <v>0.80517280270783176</v>
      </c>
      <c r="F73" s="173">
        <f t="shared" si="28"/>
        <v>73</v>
      </c>
      <c r="G73" s="173">
        <f t="shared" si="35"/>
        <v>9912</v>
      </c>
      <c r="H73" s="173">
        <f>SUM(F73:F80)</f>
        <v>643</v>
      </c>
      <c r="I73" s="190">
        <f t="shared" si="31"/>
        <v>5.0941689437897877E-5</v>
      </c>
      <c r="J73" s="175">
        <f t="shared" si="32"/>
        <v>1.398919562178714E-2</v>
      </c>
      <c r="K73" s="59">
        <f t="shared" si="33"/>
        <v>0.79118360708604463</v>
      </c>
      <c r="L73" s="189">
        <f t="shared" si="34"/>
        <v>0.81916199832961889</v>
      </c>
    </row>
    <row r="74" spans="1:12">
      <c r="A74" s="326"/>
      <c r="B74" s="59">
        <f t="shared" si="29"/>
        <v>0.45</v>
      </c>
      <c r="C74" s="59">
        <v>0.5</v>
      </c>
      <c r="D74" s="59">
        <f>H8</f>
        <v>5.01496926940471E-2</v>
      </c>
      <c r="E74" s="59">
        <f t="shared" si="30"/>
        <v>0.76109315592726834</v>
      </c>
      <c r="F74" s="173">
        <f t="shared" si="28"/>
        <v>57</v>
      </c>
      <c r="G74" s="173">
        <f t="shared" si="35"/>
        <v>9985</v>
      </c>
      <c r="H74" s="173">
        <f>SUM(F74:F80)</f>
        <v>570</v>
      </c>
      <c r="I74" s="190">
        <f t="shared" si="31"/>
        <v>7.664399637906212E-5</v>
      </c>
      <c r="J74" s="175">
        <f t="shared" si="32"/>
        <v>1.7159125166796966E-2</v>
      </c>
      <c r="K74" s="59">
        <f t="shared" si="33"/>
        <v>0.74393403076047138</v>
      </c>
      <c r="L74" s="189">
        <f t="shared" si="34"/>
        <v>0.7782522810940653</v>
      </c>
    </row>
    <row r="75" spans="1:12">
      <c r="A75" s="326"/>
      <c r="B75" s="59">
        <f t="shared" si="29"/>
        <v>0.55000000000000004</v>
      </c>
      <c r="C75" s="59">
        <v>0.6</v>
      </c>
      <c r="D75" s="59">
        <f>I8</f>
        <v>4.3686285967156506E-2</v>
      </c>
      <c r="E75" s="59">
        <f t="shared" si="30"/>
        <v>0.71094346323322122</v>
      </c>
      <c r="F75" s="173">
        <f t="shared" si="28"/>
        <v>42</v>
      </c>
      <c r="G75" s="173">
        <f t="shared" si="35"/>
        <v>10042</v>
      </c>
      <c r="H75" s="173">
        <f>SUM(F75:F80)</f>
        <v>513</v>
      </c>
      <c r="I75" s="190">
        <f t="shared" si="31"/>
        <v>1.0815992798822951E-4</v>
      </c>
      <c r="J75" s="175">
        <f t="shared" si="32"/>
        <v>2.0383993214274344E-2</v>
      </c>
      <c r="K75" s="59">
        <f t="shared" si="33"/>
        <v>0.69055947001894691</v>
      </c>
      <c r="L75" s="189">
        <f t="shared" si="34"/>
        <v>0.73132745644749553</v>
      </c>
    </row>
    <row r="76" spans="1:12">
      <c r="A76" s="326"/>
      <c r="B76" s="59">
        <f t="shared" si="29"/>
        <v>0.64999999999999991</v>
      </c>
      <c r="C76" s="59">
        <v>0.7</v>
      </c>
      <c r="D76" s="59">
        <f>J8</f>
        <v>3.6667413505845001E-2</v>
      </c>
      <c r="E76" s="59">
        <f t="shared" si="30"/>
        <v>0.6672571772660647</v>
      </c>
      <c r="F76" s="173">
        <f t="shared" si="28"/>
        <v>30</v>
      </c>
      <c r="G76" s="173">
        <f t="shared" si="35"/>
        <v>10084</v>
      </c>
      <c r="H76" s="173">
        <f>SUM(F76:F80)</f>
        <v>471</v>
      </c>
      <c r="I76" s="190">
        <f t="shared" si="31"/>
        <v>1.3693624269710066E-4</v>
      </c>
      <c r="J76" s="175">
        <f t="shared" si="32"/>
        <v>2.2935872992872582E-2</v>
      </c>
      <c r="K76" s="59">
        <f t="shared" si="33"/>
        <v>0.64432130427319212</v>
      </c>
      <c r="L76" s="189">
        <f t="shared" si="34"/>
        <v>0.69019305025893729</v>
      </c>
    </row>
    <row r="77" spans="1:12">
      <c r="A77" s="326"/>
      <c r="B77" s="59">
        <f t="shared" si="29"/>
        <v>0.75</v>
      </c>
      <c r="C77" s="59">
        <v>0.8</v>
      </c>
      <c r="D77" s="59">
        <f>K8</f>
        <v>5.59135767455241E-2</v>
      </c>
      <c r="E77" s="59">
        <f t="shared" si="30"/>
        <v>0.63058976376021969</v>
      </c>
      <c r="F77" s="173">
        <f t="shared" si="28"/>
        <v>42</v>
      </c>
      <c r="G77" s="173">
        <f t="shared" si="35"/>
        <v>10114</v>
      </c>
      <c r="H77" s="173">
        <f>SUM(F77:F80)</f>
        <v>441</v>
      </c>
      <c r="I77" s="190">
        <f t="shared" si="31"/>
        <v>1.6051602488139301E-4</v>
      </c>
      <c r="J77" s="175">
        <f t="shared" si="32"/>
        <v>2.4832204114503396E-2</v>
      </c>
      <c r="K77" s="59">
        <f t="shared" si="33"/>
        <v>0.60575755964571631</v>
      </c>
      <c r="L77" s="189">
        <f t="shared" si="34"/>
        <v>0.65542196787472307</v>
      </c>
    </row>
    <row r="78" spans="1:12">
      <c r="A78" s="326"/>
      <c r="B78" s="59">
        <f t="shared" si="29"/>
        <v>0.85000000000000009</v>
      </c>
      <c r="C78" s="59">
        <v>0.9</v>
      </c>
      <c r="D78" s="59">
        <f>L8</f>
        <v>0.105784306487827</v>
      </c>
      <c r="E78" s="59">
        <f t="shared" si="30"/>
        <v>0.57467618701469558</v>
      </c>
      <c r="F78" s="173">
        <f t="shared" si="28"/>
        <v>68</v>
      </c>
      <c r="G78" s="173">
        <f t="shared" si="35"/>
        <v>10156</v>
      </c>
      <c r="H78" s="173">
        <f>SUM(F78:F80)</f>
        <v>399</v>
      </c>
      <c r="I78" s="190">
        <f t="shared" si="31"/>
        <v>1.9451740319988421E-4</v>
      </c>
      <c r="J78" s="175">
        <f t="shared" si="32"/>
        <v>2.7336021219860715E-2</v>
      </c>
      <c r="K78" s="59">
        <f t="shared" si="33"/>
        <v>0.54734016579483491</v>
      </c>
      <c r="L78" s="189">
        <f t="shared" si="34"/>
        <v>0.60201220823455626</v>
      </c>
    </row>
    <row r="79" spans="1:12">
      <c r="A79" s="326"/>
      <c r="B79" s="59">
        <f>C79</f>
        <v>0.95</v>
      </c>
      <c r="C79" s="59">
        <v>0.95</v>
      </c>
      <c r="D79" s="59">
        <f>M8</f>
        <v>0.448602020329259</v>
      </c>
      <c r="E79" s="59">
        <f t="shared" si="30"/>
        <v>0.46889188052686859</v>
      </c>
      <c r="F79" s="173">
        <f t="shared" si="28"/>
        <v>331</v>
      </c>
      <c r="G79" s="173">
        <f t="shared" si="35"/>
        <v>10224</v>
      </c>
      <c r="H79" s="173">
        <f>SUM(F79:F80)</f>
        <v>331</v>
      </c>
      <c r="I79" s="190">
        <f t="shared" si="31"/>
        <v>2.4178576179164572E-4</v>
      </c>
      <c r="J79" s="175">
        <f t="shared" si="32"/>
        <v>3.0476945097873347E-2</v>
      </c>
      <c r="K79" s="59">
        <f t="shared" si="33"/>
        <v>0.43841493542899523</v>
      </c>
      <c r="L79" s="189">
        <f t="shared" si="34"/>
        <v>0.49936882562474194</v>
      </c>
    </row>
    <row r="80" spans="1:12">
      <c r="A80" s="520"/>
      <c r="B80" s="187">
        <f>C80</f>
        <v>1</v>
      </c>
      <c r="C80" s="187">
        <v>1</v>
      </c>
      <c r="D80" s="187">
        <f>N8</f>
        <v>2.0289860197612503E-2</v>
      </c>
      <c r="E80" s="59">
        <f t="shared" si="30"/>
        <v>2.0289860197609588E-2</v>
      </c>
      <c r="F80" s="126">
        <f t="shared" si="28"/>
        <v>0</v>
      </c>
      <c r="G80" s="126">
        <f t="shared" si="35"/>
        <v>10555</v>
      </c>
      <c r="H80" s="126">
        <f>SUM(F80)</f>
        <v>0</v>
      </c>
      <c r="I80" s="191" t="e">
        <f t="shared" si="31"/>
        <v>#DIV/0!</v>
      </c>
      <c r="J80" s="192" t="e">
        <f t="shared" si="32"/>
        <v>#DIV/0!</v>
      </c>
      <c r="K80" s="59" t="e">
        <f t="shared" ref="K80" si="36">E80-J80</f>
        <v>#DIV/0!</v>
      </c>
      <c r="L80" s="189" t="e">
        <f t="shared" ref="L80" si="37">E80+J80</f>
        <v>#DIV/0!</v>
      </c>
    </row>
    <row r="81" spans="1:14">
      <c r="A81" s="518" t="s">
        <v>4</v>
      </c>
      <c r="B81" s="186">
        <v>0</v>
      </c>
      <c r="C81" s="186">
        <v>0</v>
      </c>
      <c r="D81" s="59">
        <f>C9</f>
        <v>0</v>
      </c>
      <c r="E81" s="186">
        <v>1</v>
      </c>
      <c r="F81" s="173">
        <f>K14</f>
        <v>620592</v>
      </c>
      <c r="G81" s="177"/>
      <c r="H81" s="177"/>
      <c r="I81" s="180" t="s">
        <v>72</v>
      </c>
      <c r="J81" s="185" t="s">
        <v>72</v>
      </c>
      <c r="K81" s="186">
        <v>1</v>
      </c>
      <c r="L81" s="188">
        <v>1</v>
      </c>
    </row>
    <row r="82" spans="1:14">
      <c r="A82" s="326"/>
      <c r="B82" s="59">
        <f>(C81+C82)/2</f>
        <v>0.05</v>
      </c>
      <c r="C82" s="59">
        <v>0.1</v>
      </c>
      <c r="D82" s="59">
        <f>D9</f>
        <v>1.1021345281561299E-2</v>
      </c>
      <c r="E82" s="59">
        <f>E81-D81</f>
        <v>1</v>
      </c>
      <c r="F82" s="173">
        <f t="shared" ref="F82:F92" si="38">K15*$K$26</f>
        <v>2124</v>
      </c>
      <c r="G82" s="173">
        <f>F81</f>
        <v>620592</v>
      </c>
      <c r="H82" s="173">
        <f>SUM(F82:F92)</f>
        <v>46326</v>
      </c>
      <c r="I82" s="190">
        <f>1.25*(E82^2)*((1-E82)^2)*((1/G82)+(1/H82))</f>
        <v>0</v>
      </c>
      <c r="J82" s="175">
        <f>1.96*SQRT(I82)</f>
        <v>0</v>
      </c>
      <c r="K82" s="59">
        <f>E82-J82</f>
        <v>1</v>
      </c>
      <c r="L82" s="189">
        <f>E82+J82</f>
        <v>1</v>
      </c>
    </row>
    <row r="83" spans="1:14">
      <c r="A83" s="326"/>
      <c r="B83" s="59">
        <f t="shared" ref="B83:B90" si="39">(C82+C83)/2</f>
        <v>0.15000000000000002</v>
      </c>
      <c r="C83" s="59">
        <v>0.2</v>
      </c>
      <c r="D83" s="59">
        <f>E9</f>
        <v>1.1488740376548101E-2</v>
      </c>
      <c r="E83" s="59">
        <f t="shared" ref="E83:E92" si="40">E82-D82</f>
        <v>0.98897865471843871</v>
      </c>
      <c r="F83" s="173">
        <f t="shared" si="38"/>
        <v>1290</v>
      </c>
      <c r="G83" s="173">
        <f>F82+G82</f>
        <v>622716</v>
      </c>
      <c r="H83" s="173">
        <f>SUM(F83:F92)</f>
        <v>44202</v>
      </c>
      <c r="I83" s="190">
        <f t="shared" ref="I83:I92" si="41">1.25*(E83^2)*((1-E83)^2)*((1/G83)+(1/H83))</f>
        <v>3.5982684470604476E-9</v>
      </c>
      <c r="J83" s="175">
        <f t="shared" ref="J83:J92" si="42">1.96*SQRT(I83)</f>
        <v>1.1757171456701402E-4</v>
      </c>
      <c r="K83" s="59">
        <f t="shared" ref="K83:K91" si="43">E83-J83</f>
        <v>0.98886108300387165</v>
      </c>
      <c r="L83" s="189">
        <f t="shared" ref="L83:L91" si="44">E83+J83</f>
        <v>0.98909622643300577</v>
      </c>
    </row>
    <row r="84" spans="1:14">
      <c r="A84" s="326"/>
      <c r="B84" s="59">
        <f t="shared" si="39"/>
        <v>0.25</v>
      </c>
      <c r="C84" s="59">
        <v>0.3</v>
      </c>
      <c r="D84" s="59">
        <f>F9</f>
        <v>1.0518404997707001E-2</v>
      </c>
      <c r="E84" s="59">
        <f t="shared" si="40"/>
        <v>0.97748991434189059</v>
      </c>
      <c r="F84" s="173">
        <f t="shared" si="38"/>
        <v>948.99999999999989</v>
      </c>
      <c r="G84" s="173">
        <f t="shared" ref="G84:G92" si="45">F83+G83</f>
        <v>624006</v>
      </c>
      <c r="H84" s="173">
        <f>SUM(F84:F92)</f>
        <v>42912</v>
      </c>
      <c r="I84" s="190">
        <f t="shared" si="41"/>
        <v>1.5072795114573895E-8</v>
      </c>
      <c r="J84" s="175">
        <f t="shared" si="42"/>
        <v>2.4063177203384234E-4</v>
      </c>
      <c r="K84" s="59">
        <f t="shared" si="43"/>
        <v>0.97724928256985677</v>
      </c>
      <c r="L84" s="189">
        <f t="shared" si="44"/>
        <v>0.9777305461139244</v>
      </c>
    </row>
    <row r="85" spans="1:14">
      <c r="A85" s="326"/>
      <c r="B85" s="59">
        <f t="shared" si="39"/>
        <v>0.35</v>
      </c>
      <c r="C85" s="59">
        <v>0.4</v>
      </c>
      <c r="D85" s="59">
        <f>G9</f>
        <v>1.1427696806596499E-2</v>
      </c>
      <c r="E85" s="59">
        <f t="shared" si="40"/>
        <v>0.96697150934418363</v>
      </c>
      <c r="F85" s="173">
        <f t="shared" si="38"/>
        <v>1315</v>
      </c>
      <c r="G85" s="173">
        <f t="shared" si="45"/>
        <v>624955</v>
      </c>
      <c r="H85" s="173">
        <f>SUM(F85:F92)</f>
        <v>41963</v>
      </c>
      <c r="I85" s="190">
        <f t="shared" si="41"/>
        <v>3.2424402956320621E-8</v>
      </c>
      <c r="J85" s="175">
        <f t="shared" si="42"/>
        <v>3.5293283553248671E-4</v>
      </c>
      <c r="K85" s="59">
        <f t="shared" si="43"/>
        <v>0.96661857650865113</v>
      </c>
      <c r="L85" s="189">
        <f t="shared" si="44"/>
        <v>0.96732444217971614</v>
      </c>
    </row>
    <row r="86" spans="1:14">
      <c r="A86" s="326"/>
      <c r="B86" s="59">
        <f t="shared" si="39"/>
        <v>0.45</v>
      </c>
      <c r="C86" s="59">
        <v>0.5</v>
      </c>
      <c r="D86" s="59">
        <f>H9</f>
        <v>1.8005842060185101E-2</v>
      </c>
      <c r="E86" s="59">
        <f t="shared" si="40"/>
        <v>0.95554381253758713</v>
      </c>
      <c r="F86" s="173">
        <f t="shared" si="38"/>
        <v>234.00000000000003</v>
      </c>
      <c r="G86" s="173">
        <f t="shared" si="45"/>
        <v>626270</v>
      </c>
      <c r="H86" s="173">
        <f>SUM(F86:F92)</f>
        <v>40648</v>
      </c>
      <c r="I86" s="190">
        <f t="shared" si="41"/>
        <v>5.9094532513601052E-8</v>
      </c>
      <c r="J86" s="175">
        <f t="shared" si="42"/>
        <v>4.7646359368187807E-4</v>
      </c>
      <c r="K86" s="59">
        <f t="shared" si="43"/>
        <v>0.95506734894390521</v>
      </c>
      <c r="L86" s="189">
        <f t="shared" si="44"/>
        <v>0.95602027613126905</v>
      </c>
    </row>
    <row r="87" spans="1:14" ht="15" customHeight="1">
      <c r="A87" s="326"/>
      <c r="B87" s="59">
        <f t="shared" si="39"/>
        <v>0.55000000000000004</v>
      </c>
      <c r="C87" s="59">
        <v>0.6</v>
      </c>
      <c r="D87" s="59">
        <f>I9</f>
        <v>9.4465417270763602E-3</v>
      </c>
      <c r="E87" s="59">
        <f t="shared" si="40"/>
        <v>0.93753797047740206</v>
      </c>
      <c r="F87" s="173">
        <f t="shared" si="38"/>
        <v>215</v>
      </c>
      <c r="G87" s="173">
        <f t="shared" si="45"/>
        <v>626504</v>
      </c>
      <c r="H87" s="173">
        <f>SUM(F87:F92)</f>
        <v>40414</v>
      </c>
      <c r="I87" s="190">
        <f t="shared" si="41"/>
        <v>1.1291111105153804E-7</v>
      </c>
      <c r="J87" s="175">
        <f t="shared" si="42"/>
        <v>6.5860407242560276E-4</v>
      </c>
      <c r="K87" s="59">
        <f t="shared" si="43"/>
        <v>0.93687936640497649</v>
      </c>
      <c r="L87" s="189">
        <f t="shared" si="44"/>
        <v>0.93819657454982763</v>
      </c>
    </row>
    <row r="88" spans="1:14">
      <c r="A88" s="326"/>
      <c r="B88" s="59">
        <f t="shared" si="39"/>
        <v>0.64999999999999991</v>
      </c>
      <c r="C88" s="59">
        <v>0.7</v>
      </c>
      <c r="D88" s="59">
        <f>J9</f>
        <v>2.3734450729566699E-2</v>
      </c>
      <c r="E88" s="59">
        <f t="shared" si="40"/>
        <v>0.92809142875032569</v>
      </c>
      <c r="F88" s="173">
        <f t="shared" si="38"/>
        <v>1013</v>
      </c>
      <c r="G88" s="173">
        <f t="shared" si="45"/>
        <v>626719</v>
      </c>
      <c r="H88" s="173">
        <f>SUM(F88:F92)</f>
        <v>40199</v>
      </c>
      <c r="I88" s="190">
        <f t="shared" si="41"/>
        <v>1.4737953591257614E-7</v>
      </c>
      <c r="J88" s="175">
        <f t="shared" si="42"/>
        <v>7.5244483197225325E-4</v>
      </c>
      <c r="K88" s="59">
        <f t="shared" si="43"/>
        <v>0.92733898391835345</v>
      </c>
      <c r="L88" s="189">
        <f t="shared" si="44"/>
        <v>0.92884387358229792</v>
      </c>
    </row>
    <row r="89" spans="1:14">
      <c r="A89" s="326"/>
      <c r="B89" s="59">
        <f t="shared" si="39"/>
        <v>0.75</v>
      </c>
      <c r="C89" s="59">
        <v>0.8</v>
      </c>
      <c r="D89" s="59">
        <f>K9</f>
        <v>3.5763079189760801E-2</v>
      </c>
      <c r="E89" s="59">
        <f t="shared" si="40"/>
        <v>0.90435697802075898</v>
      </c>
      <c r="F89" s="173">
        <f t="shared" si="38"/>
        <v>841</v>
      </c>
      <c r="G89" s="173">
        <f t="shared" si="45"/>
        <v>627732</v>
      </c>
      <c r="H89" s="173">
        <f>SUM(F89:F92)</f>
        <v>39186</v>
      </c>
      <c r="I89" s="190">
        <f t="shared" si="41"/>
        <v>2.5355000135178517E-7</v>
      </c>
      <c r="J89" s="175">
        <f t="shared" si="42"/>
        <v>9.8693347556611834E-4</v>
      </c>
      <c r="K89" s="59">
        <f t="shared" si="43"/>
        <v>0.90337004454519287</v>
      </c>
      <c r="L89" s="189">
        <f t="shared" si="44"/>
        <v>0.90534391149632509</v>
      </c>
    </row>
    <row r="90" spans="1:14">
      <c r="A90" s="326"/>
      <c r="B90" s="59">
        <f t="shared" si="39"/>
        <v>0.85000000000000009</v>
      </c>
      <c r="C90" s="59">
        <v>0.9</v>
      </c>
      <c r="D90" s="59">
        <f>L9</f>
        <v>7.58505306954214E-2</v>
      </c>
      <c r="E90" s="59">
        <f t="shared" si="40"/>
        <v>0.86859389883099813</v>
      </c>
      <c r="F90" s="173">
        <f t="shared" si="38"/>
        <v>1044</v>
      </c>
      <c r="G90" s="173">
        <f t="shared" si="45"/>
        <v>628573</v>
      </c>
      <c r="H90" s="173">
        <f>SUM(F90:F92)</f>
        <v>38345</v>
      </c>
      <c r="I90" s="190">
        <f t="shared" si="41"/>
        <v>4.5059108676653701E-7</v>
      </c>
      <c r="J90" s="175">
        <f t="shared" si="42"/>
        <v>1.3156712047173217E-3</v>
      </c>
      <c r="K90" s="59">
        <f t="shared" si="43"/>
        <v>0.86727822762628082</v>
      </c>
      <c r="L90" s="189">
        <f t="shared" si="44"/>
        <v>0.86990957003571545</v>
      </c>
    </row>
    <row r="91" spans="1:14">
      <c r="A91" s="326"/>
      <c r="B91" s="59">
        <f>C91</f>
        <v>0.95</v>
      </c>
      <c r="C91" s="59">
        <v>0.95</v>
      </c>
      <c r="D91" s="59">
        <f>M9</f>
        <v>0.481879029578415</v>
      </c>
      <c r="E91" s="59">
        <f t="shared" si="40"/>
        <v>0.79274336813557678</v>
      </c>
      <c r="F91" s="173">
        <f t="shared" si="38"/>
        <v>37301</v>
      </c>
      <c r="G91" s="173">
        <f t="shared" si="45"/>
        <v>629617</v>
      </c>
      <c r="H91" s="173">
        <f>SUM(F91:F92)</f>
        <v>37301</v>
      </c>
      <c r="I91" s="190">
        <f t="shared" si="41"/>
        <v>9.5822531210159494E-7</v>
      </c>
      <c r="J91" s="175">
        <f t="shared" si="42"/>
        <v>1.9186240796387102E-3</v>
      </c>
      <c r="K91" s="59">
        <f t="shared" si="43"/>
        <v>0.79082474405593806</v>
      </c>
      <c r="L91" s="189">
        <f t="shared" si="44"/>
        <v>0.7946619922152155</v>
      </c>
    </row>
    <row r="92" spans="1:14" ht="16" thickBot="1">
      <c r="A92" s="327"/>
      <c r="B92" s="193">
        <f>C92</f>
        <v>1</v>
      </c>
      <c r="C92" s="193">
        <v>1</v>
      </c>
      <c r="D92" s="193">
        <f>N9</f>
        <v>0.310864338557238</v>
      </c>
      <c r="E92" s="193">
        <f t="shared" si="40"/>
        <v>0.31086433855716178</v>
      </c>
      <c r="F92" s="174">
        <f t="shared" si="38"/>
        <v>0</v>
      </c>
      <c r="G92" s="174">
        <f t="shared" si="45"/>
        <v>666918</v>
      </c>
      <c r="H92" s="174">
        <f>SUM(F92)</f>
        <v>0</v>
      </c>
      <c r="I92" s="194" t="e">
        <f t="shared" si="41"/>
        <v>#DIV/0!</v>
      </c>
      <c r="J92" s="176" t="e">
        <f t="shared" si="42"/>
        <v>#DIV/0!</v>
      </c>
      <c r="K92" s="193" t="e">
        <f t="shared" ref="K92" si="46">E92-J92</f>
        <v>#DIV/0!</v>
      </c>
      <c r="L92" s="195" t="e">
        <f t="shared" ref="L92" si="47">E92+J92</f>
        <v>#DIV/0!</v>
      </c>
    </row>
    <row r="93" spans="1:14">
      <c r="M93" s="108"/>
      <c r="N93" s="108"/>
    </row>
    <row r="94" spans="1:14">
      <c r="M94" s="108"/>
      <c r="N94" s="108"/>
    </row>
  </sheetData>
  <mergeCells count="25">
    <mergeCell ref="A2:N2"/>
    <mergeCell ref="C3:N3"/>
    <mergeCell ref="A5:A10"/>
    <mergeCell ref="A12:A13"/>
    <mergeCell ref="B12:C12"/>
    <mergeCell ref="D12:E12"/>
    <mergeCell ref="F12:G12"/>
    <mergeCell ref="H12:I12"/>
    <mergeCell ref="J12:K12"/>
    <mergeCell ref="I31:I32"/>
    <mergeCell ref="J31:J32"/>
    <mergeCell ref="K31:K32"/>
    <mergeCell ref="L31:L32"/>
    <mergeCell ref="A33:A44"/>
    <mergeCell ref="A31:A32"/>
    <mergeCell ref="B31:C32"/>
    <mergeCell ref="D31:D32"/>
    <mergeCell ref="E31:E32"/>
    <mergeCell ref="F31:F32"/>
    <mergeCell ref="G31:G32"/>
    <mergeCell ref="A45:A56"/>
    <mergeCell ref="A57:A68"/>
    <mergeCell ref="A69:A80"/>
    <mergeCell ref="A81:A92"/>
    <mergeCell ref="H31:H3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46A52-7378-4D48-B9A0-4B9E207DEECE}">
  <dimension ref="A1:AK93"/>
  <sheetViews>
    <sheetView zoomScale="84" zoomScaleNormal="64" workbookViewId="0"/>
  </sheetViews>
  <sheetFormatPr baseColWidth="10" defaultColWidth="8.83203125" defaultRowHeight="15"/>
  <cols>
    <col min="1" max="1" width="30.5" style="119" bestFit="1" customWidth="1"/>
    <col min="2" max="2" width="22.6640625" style="119" customWidth="1"/>
    <col min="3" max="3" width="23.83203125" style="119" customWidth="1"/>
    <col min="4" max="4" width="18.6640625" style="119" customWidth="1"/>
    <col min="5" max="5" width="17.1640625" style="119" bestFit="1" customWidth="1"/>
    <col min="6" max="6" width="20.1640625" style="119" customWidth="1"/>
    <col min="7" max="7" width="16" style="119" bestFit="1" customWidth="1"/>
    <col min="8" max="8" width="11.6640625" style="119" bestFit="1" customWidth="1"/>
    <col min="9" max="9" width="14.1640625" style="119" bestFit="1" customWidth="1"/>
    <col min="10" max="10" width="13.6640625" style="119" bestFit="1" customWidth="1"/>
    <col min="11" max="11" width="15.33203125" style="119" bestFit="1" customWidth="1"/>
    <col min="12" max="12" width="12.1640625" style="119" bestFit="1" customWidth="1"/>
    <col min="13" max="13" width="11.5" style="119" bestFit="1" customWidth="1"/>
    <col min="14" max="17" width="8.83203125" style="119"/>
    <col min="18" max="18" width="32.6640625" style="119" bestFit="1" customWidth="1"/>
    <col min="19" max="21" width="8.83203125" style="119"/>
    <col min="22" max="22" width="14.5" style="119" bestFit="1" customWidth="1"/>
    <col min="23" max="23" width="14.33203125" style="119" bestFit="1" customWidth="1"/>
    <col min="24" max="16384" width="8.83203125" style="119"/>
  </cols>
  <sheetData>
    <row r="1" spans="1:30" ht="16" thickBot="1"/>
    <row r="2" spans="1:30" ht="16" thickBot="1">
      <c r="A2" s="523" t="s">
        <v>246</v>
      </c>
      <c r="B2" s="524"/>
      <c r="C2" s="524"/>
      <c r="D2" s="524"/>
      <c r="E2" s="524"/>
      <c r="F2" s="524"/>
      <c r="G2" s="524"/>
      <c r="H2" s="524"/>
      <c r="I2" s="524"/>
      <c r="J2" s="524"/>
      <c r="K2" s="524"/>
      <c r="L2" s="524"/>
      <c r="M2" s="524"/>
      <c r="N2" s="525"/>
      <c r="O2" s="103"/>
    </row>
    <row r="3" spans="1:30">
      <c r="A3" s="181"/>
      <c r="B3" s="61" t="s">
        <v>23</v>
      </c>
      <c r="C3" s="527" t="s">
        <v>152</v>
      </c>
      <c r="D3" s="527"/>
      <c r="E3" s="527"/>
      <c r="F3" s="527"/>
      <c r="G3" s="527"/>
      <c r="H3" s="527"/>
      <c r="I3" s="527"/>
      <c r="J3" s="527"/>
      <c r="K3" s="527"/>
      <c r="L3" s="527"/>
      <c r="M3" s="527"/>
      <c r="N3" s="528"/>
      <c r="O3" s="104"/>
    </row>
    <row r="4" spans="1:30">
      <c r="A4" s="181" t="s">
        <v>23</v>
      </c>
      <c r="B4" s="61" t="s">
        <v>23</v>
      </c>
      <c r="C4" s="61" t="s">
        <v>153</v>
      </c>
      <c r="D4" s="61" t="s">
        <v>154</v>
      </c>
      <c r="E4" s="61" t="s">
        <v>155</v>
      </c>
      <c r="F4" s="61" t="s">
        <v>156</v>
      </c>
      <c r="G4" s="61" t="s">
        <v>157</v>
      </c>
      <c r="H4" s="61" t="s">
        <v>158</v>
      </c>
      <c r="I4" s="61" t="s">
        <v>159</v>
      </c>
      <c r="J4" s="61" t="s">
        <v>160</v>
      </c>
      <c r="K4" s="61" t="s">
        <v>161</v>
      </c>
      <c r="L4" s="61" t="s">
        <v>162</v>
      </c>
      <c r="M4" s="61" t="s">
        <v>163</v>
      </c>
      <c r="N4" s="144" t="s">
        <v>164</v>
      </c>
      <c r="O4" s="105"/>
    </row>
    <row r="5" spans="1:30">
      <c r="A5" s="532" t="s">
        <v>165</v>
      </c>
      <c r="B5" s="61" t="s">
        <v>8</v>
      </c>
      <c r="C5" s="196">
        <v>0</v>
      </c>
      <c r="D5" s="196">
        <v>0.21148484817593602</v>
      </c>
      <c r="E5" s="196">
        <v>0.15750503841459898</v>
      </c>
      <c r="F5" s="196">
        <v>9.1489654406897991E-2</v>
      </c>
      <c r="G5" s="196">
        <v>9.9853800423712502E-2</v>
      </c>
      <c r="H5" s="196">
        <v>4.4979886613928599E-2</v>
      </c>
      <c r="I5" s="196">
        <v>5.8281621289760402E-2</v>
      </c>
      <c r="J5" s="196">
        <v>6.3481136981583794E-2</v>
      </c>
      <c r="K5" s="196">
        <v>9.9497792382914202E-2</v>
      </c>
      <c r="L5" s="196">
        <v>0.100042478503142</v>
      </c>
      <c r="M5" s="196">
        <v>7.3383742807525604E-2</v>
      </c>
      <c r="N5" s="197">
        <v>0</v>
      </c>
      <c r="O5" s="120"/>
      <c r="P5" s="107"/>
      <c r="Q5" s="107"/>
    </row>
    <row r="6" spans="1:30">
      <c r="A6" s="532"/>
      <c r="B6" s="145" t="s">
        <v>7</v>
      </c>
      <c r="C6" s="196">
        <v>0</v>
      </c>
      <c r="D6" s="196">
        <v>0.140105372343342</v>
      </c>
      <c r="E6" s="196">
        <v>0.122120096843475</v>
      </c>
      <c r="F6" s="196">
        <v>5.6327633270231603E-2</v>
      </c>
      <c r="G6" s="196">
        <v>6.4022186022396801E-2</v>
      </c>
      <c r="H6" s="196">
        <v>6.9236476391893204E-2</v>
      </c>
      <c r="I6" s="196">
        <v>4.1476739391196497E-2</v>
      </c>
      <c r="J6" s="196">
        <v>5.5509743316172103E-2</v>
      </c>
      <c r="K6" s="196">
        <v>5.8121531447797296E-2</v>
      </c>
      <c r="L6" s="196">
        <v>0.120957611004577</v>
      </c>
      <c r="M6" s="196">
        <v>0.27212260996891802</v>
      </c>
      <c r="N6" s="197">
        <v>0</v>
      </c>
      <c r="O6" s="120"/>
      <c r="P6" s="107"/>
      <c r="Q6" s="107"/>
    </row>
    <row r="7" spans="1:30">
      <c r="A7" s="532"/>
      <c r="B7" s="61" t="s">
        <v>6</v>
      </c>
      <c r="C7" s="196">
        <v>0</v>
      </c>
      <c r="D7" s="196">
        <v>0.19855249925056501</v>
      </c>
      <c r="E7" s="196">
        <v>0.11583405113404399</v>
      </c>
      <c r="F7" s="196">
        <v>7.2384488306902403E-2</v>
      </c>
      <c r="G7" s="196">
        <v>4.8901785041876797E-2</v>
      </c>
      <c r="H7" s="196">
        <v>4.5774465910180605E-2</v>
      </c>
      <c r="I7" s="196">
        <v>1.9814646248837501E-2</v>
      </c>
      <c r="J7" s="196">
        <v>2.6832165714986801E-2</v>
      </c>
      <c r="K7" s="196">
        <v>8.4579452714270809E-2</v>
      </c>
      <c r="L7" s="196">
        <v>0.118995843606287</v>
      </c>
      <c r="M7" s="196">
        <v>0.26682669130860398</v>
      </c>
      <c r="N7" s="197">
        <v>1.5039107634421899E-3</v>
      </c>
      <c r="O7" s="120"/>
      <c r="P7" s="107"/>
      <c r="Q7" s="107"/>
    </row>
    <row r="8" spans="1:30">
      <c r="A8" s="532"/>
      <c r="B8" s="61" t="s">
        <v>5</v>
      </c>
      <c r="C8" s="196">
        <v>0</v>
      </c>
      <c r="D8" s="196">
        <v>0.13183896600967801</v>
      </c>
      <c r="E8" s="196">
        <v>7.4921229917218696E-2</v>
      </c>
      <c r="F8" s="196">
        <v>5.6485508278907401E-2</v>
      </c>
      <c r="G8" s="196">
        <v>3.3147940770060301E-2</v>
      </c>
      <c r="H8" s="196">
        <v>2.0157061552958998E-2</v>
      </c>
      <c r="I8" s="196">
        <v>1.7104732903023501E-2</v>
      </c>
      <c r="J8" s="196">
        <v>1.42913443902819E-2</v>
      </c>
      <c r="K8" s="196">
        <v>6.9104255959815508E-2</v>
      </c>
      <c r="L8" s="196">
        <v>0.17331256712673698</v>
      </c>
      <c r="M8" s="196">
        <v>0.40698502455181101</v>
      </c>
      <c r="N8" s="197">
        <v>2.6513685395084404E-3</v>
      </c>
      <c r="O8" s="120"/>
      <c r="P8" s="107"/>
      <c r="Q8" s="107"/>
    </row>
    <row r="9" spans="1:30">
      <c r="A9" s="532"/>
      <c r="B9" s="61" t="s">
        <v>4</v>
      </c>
      <c r="C9" s="196">
        <v>0</v>
      </c>
      <c r="D9" s="196">
        <v>2.4154165130020503E-2</v>
      </c>
      <c r="E9" s="196">
        <v>2.5377347982887502E-2</v>
      </c>
      <c r="F9" s="196">
        <v>1.6590893792232501E-2</v>
      </c>
      <c r="G9" s="196">
        <v>1.6977899444829102E-2</v>
      </c>
      <c r="H9" s="196">
        <v>1.9404823142031898E-2</v>
      </c>
      <c r="I9" s="196">
        <v>1.3715134390339102E-2</v>
      </c>
      <c r="J9" s="196">
        <v>2.12760470620896E-2</v>
      </c>
      <c r="K9" s="196">
        <v>3.6534121768424001E-2</v>
      </c>
      <c r="L9" s="196">
        <v>7.6639083377747705E-2</v>
      </c>
      <c r="M9" s="196">
        <v>0.45955136327753104</v>
      </c>
      <c r="N9" s="197">
        <v>0.28977912063204697</v>
      </c>
      <c r="O9" s="120"/>
      <c r="P9" s="107"/>
      <c r="Q9" s="107"/>
    </row>
    <row r="10" spans="1:30" ht="16" thickBot="1">
      <c r="A10" s="533"/>
      <c r="B10" s="69" t="s">
        <v>166</v>
      </c>
      <c r="C10" s="198">
        <v>0</v>
      </c>
      <c r="D10" s="198">
        <v>0.16575868188745702</v>
      </c>
      <c r="E10" s="198">
        <v>0.123242288552524</v>
      </c>
      <c r="F10" s="198">
        <v>7.0635927654757E-2</v>
      </c>
      <c r="G10" s="198">
        <v>7.3105688690517492E-2</v>
      </c>
      <c r="H10" s="198">
        <v>4.3763509670129597E-2</v>
      </c>
      <c r="I10" s="198">
        <v>4.2954545421827604E-2</v>
      </c>
      <c r="J10" s="198">
        <v>4.9768412646333297E-2</v>
      </c>
      <c r="K10" s="198">
        <v>8.0180788322283897E-2</v>
      </c>
      <c r="L10" s="198">
        <v>0.10456688675226899</v>
      </c>
      <c r="M10" s="198">
        <v>0.19956653752604597</v>
      </c>
      <c r="N10" s="199">
        <v>4.6456732875884296E-2</v>
      </c>
      <c r="O10" s="120"/>
      <c r="P10" s="107"/>
      <c r="Q10" s="107"/>
    </row>
    <row r="11" spans="1:30" ht="16" thickBot="1">
      <c r="B11" s="104"/>
      <c r="C11" s="105"/>
      <c r="D11" s="105"/>
      <c r="E11" s="105"/>
      <c r="F11" s="105"/>
      <c r="G11" s="105"/>
      <c r="H11" s="105"/>
      <c r="I11" s="105"/>
      <c r="J11" s="105"/>
      <c r="K11" s="105"/>
      <c r="L11" s="105"/>
      <c r="M11" s="105"/>
      <c r="N11" s="105"/>
      <c r="O11" s="103"/>
    </row>
    <row r="12" spans="1:30" ht="15" customHeight="1">
      <c r="A12" s="495"/>
      <c r="B12" s="505" t="s">
        <v>8</v>
      </c>
      <c r="C12" s="505"/>
      <c r="D12" s="505" t="s">
        <v>7</v>
      </c>
      <c r="E12" s="505"/>
      <c r="F12" s="505" t="s">
        <v>6</v>
      </c>
      <c r="G12" s="505"/>
      <c r="H12" s="505" t="s">
        <v>5</v>
      </c>
      <c r="I12" s="505"/>
      <c r="J12" s="505" t="s">
        <v>4</v>
      </c>
      <c r="K12" s="526"/>
    </row>
    <row r="13" spans="1:30">
      <c r="A13" s="531" t="s">
        <v>167</v>
      </c>
      <c r="B13" s="182" t="s">
        <v>168</v>
      </c>
      <c r="C13" s="182" t="s">
        <v>169</v>
      </c>
      <c r="D13" s="137" t="s">
        <v>168</v>
      </c>
      <c r="E13" s="182" t="s">
        <v>169</v>
      </c>
      <c r="F13" s="137" t="s">
        <v>168</v>
      </c>
      <c r="G13" s="182" t="s">
        <v>169</v>
      </c>
      <c r="H13" s="137" t="s">
        <v>168</v>
      </c>
      <c r="I13" s="182" t="s">
        <v>169</v>
      </c>
      <c r="J13" s="137" t="s">
        <v>168</v>
      </c>
      <c r="K13" s="138" t="s">
        <v>169</v>
      </c>
    </row>
    <row r="14" spans="1:30">
      <c r="A14" s="139">
        <v>0</v>
      </c>
      <c r="B14" s="128">
        <v>0</v>
      </c>
      <c r="C14" s="127">
        <v>0</v>
      </c>
      <c r="D14" s="140">
        <v>742.572242572243</v>
      </c>
      <c r="E14" s="127">
        <v>2</v>
      </c>
      <c r="F14" s="127">
        <v>451.662791386511</v>
      </c>
      <c r="G14" s="127">
        <v>30</v>
      </c>
      <c r="H14" s="140">
        <v>141.485675788393</v>
      </c>
      <c r="I14" s="127">
        <v>235</v>
      </c>
      <c r="J14" s="140">
        <v>15.9007642969821</v>
      </c>
      <c r="K14" s="129">
        <v>155609</v>
      </c>
      <c r="AD14" s="105"/>
    </row>
    <row r="15" spans="1:30">
      <c r="A15" s="172">
        <v>0.05</v>
      </c>
      <c r="B15" s="173">
        <v>2754.00812649405</v>
      </c>
      <c r="C15" s="177">
        <v>0.59784946236559144</v>
      </c>
      <c r="D15" s="62">
        <v>1207.42569325663</v>
      </c>
      <c r="E15" s="177">
        <v>0.54915514592933945</v>
      </c>
      <c r="F15" s="177">
        <v>481.06661032955299</v>
      </c>
      <c r="G15" s="177">
        <v>0.67401215805471126</v>
      </c>
      <c r="H15" s="62">
        <v>176.95047806139499</v>
      </c>
      <c r="I15" s="177">
        <v>0.64604966139954856</v>
      </c>
      <c r="J15" s="62">
        <v>52.438578502634897</v>
      </c>
      <c r="K15" s="178">
        <v>5.6925484271299842E-2</v>
      </c>
      <c r="AD15" s="105"/>
    </row>
    <row r="16" spans="1:30">
      <c r="A16" s="172">
        <v>0.15000000000000002</v>
      </c>
      <c r="B16" s="173">
        <v>3039.5449155593401</v>
      </c>
      <c r="C16" s="177">
        <v>0.18064516129032257</v>
      </c>
      <c r="D16" s="62">
        <v>1296.78752749151</v>
      </c>
      <c r="E16" s="177">
        <v>0.18663594470046083</v>
      </c>
      <c r="F16" s="177">
        <v>445.859717425432</v>
      </c>
      <c r="G16" s="177">
        <v>0.14513677811550152</v>
      </c>
      <c r="H16" s="62">
        <v>169.24306213767699</v>
      </c>
      <c r="I16" s="177">
        <v>0.10428893905191873</v>
      </c>
      <c r="J16" s="62">
        <v>38.662269230769397</v>
      </c>
      <c r="K16" s="178">
        <v>3.3022176657853557E-2</v>
      </c>
      <c r="AD16" s="105"/>
    </row>
    <row r="17" spans="1:37">
      <c r="A17" s="172">
        <v>0.25</v>
      </c>
      <c r="B17" s="173">
        <v>2949.5929752535199</v>
      </c>
      <c r="C17" s="177">
        <v>6.6666666666666666E-2</v>
      </c>
      <c r="D17" s="62">
        <v>1171.7668474608199</v>
      </c>
      <c r="E17" s="177">
        <v>5.3763440860215055E-2</v>
      </c>
      <c r="F17" s="177">
        <v>483.05502886055802</v>
      </c>
      <c r="G17" s="177">
        <v>4.2553191489361701E-2</v>
      </c>
      <c r="H17" s="62">
        <v>192.48812262826101</v>
      </c>
      <c r="I17" s="177">
        <v>3.5214446952595936E-2</v>
      </c>
      <c r="J17" s="62">
        <v>31.2631108144192</v>
      </c>
      <c r="K17" s="178">
        <v>2.2050756308566701E-2</v>
      </c>
      <c r="P17" s="103"/>
      <c r="Q17" s="104"/>
      <c r="R17" s="105"/>
      <c r="S17" s="105"/>
      <c r="T17" s="105"/>
      <c r="U17" s="105"/>
      <c r="V17" s="105"/>
      <c r="W17" s="105"/>
      <c r="X17" s="105"/>
      <c r="Y17" s="105"/>
      <c r="Z17" s="105"/>
      <c r="AA17" s="105"/>
      <c r="AB17" s="105"/>
      <c r="AC17" s="105"/>
      <c r="AD17" s="105"/>
    </row>
    <row r="18" spans="1:37">
      <c r="A18" s="172">
        <v>0.35</v>
      </c>
      <c r="B18" s="173">
        <v>3002.1253361201502</v>
      </c>
      <c r="C18" s="177">
        <v>3.870967741935484E-2</v>
      </c>
      <c r="D18" s="62">
        <v>1289.7587336505601</v>
      </c>
      <c r="E18" s="177">
        <v>3.6866359447004608E-2</v>
      </c>
      <c r="F18" s="177">
        <v>464.447271845111</v>
      </c>
      <c r="G18" s="177">
        <v>2.2036474164133738E-2</v>
      </c>
      <c r="H18" s="62">
        <v>171.81110968239699</v>
      </c>
      <c r="I18" s="177">
        <v>1.8961625282167043E-2</v>
      </c>
      <c r="J18" s="62">
        <v>24.190423400129198</v>
      </c>
      <c r="K18" s="178">
        <v>2.8723538193132971E-2</v>
      </c>
      <c r="P18" s="103"/>
      <c r="Q18" s="104"/>
      <c r="R18" s="105"/>
      <c r="S18" s="105"/>
      <c r="T18" s="105"/>
      <c r="U18" s="105"/>
      <c r="V18" s="105"/>
      <c r="W18" s="105"/>
      <c r="X18" s="105"/>
      <c r="Y18" s="105"/>
      <c r="Z18" s="105"/>
      <c r="AA18" s="105"/>
      <c r="AB18" s="105"/>
      <c r="AC18" s="105"/>
      <c r="AD18" s="105"/>
    </row>
    <row r="19" spans="1:37">
      <c r="A19" s="172">
        <v>0.45</v>
      </c>
      <c r="B19" s="173">
        <v>2707.2040923443501</v>
      </c>
      <c r="C19" s="177">
        <v>1.935483870967742E-2</v>
      </c>
      <c r="D19" s="62">
        <v>1255.4544321157</v>
      </c>
      <c r="E19" s="177">
        <v>3.3026113671274962E-2</v>
      </c>
      <c r="F19" s="177">
        <v>584.78422367798998</v>
      </c>
      <c r="G19" s="177">
        <v>1.1398176291793313E-2</v>
      </c>
      <c r="H19" s="62">
        <v>161.320268179474</v>
      </c>
      <c r="I19" s="177">
        <v>9.0293453724604959E-3</v>
      </c>
      <c r="J19" s="62">
        <v>30.940827974276601</v>
      </c>
      <c r="K19" s="178">
        <v>6.2591053795931582E-3</v>
      </c>
      <c r="P19" s="103"/>
      <c r="Q19" s="104"/>
      <c r="R19" s="105"/>
      <c r="S19" s="105"/>
      <c r="T19" s="105"/>
      <c r="U19" s="105"/>
      <c r="V19" s="105"/>
      <c r="W19" s="105"/>
      <c r="X19" s="105"/>
      <c r="Y19" s="105"/>
      <c r="Z19" s="105"/>
      <c r="AA19" s="105"/>
      <c r="AB19" s="105"/>
      <c r="AC19" s="105"/>
      <c r="AD19" s="105"/>
    </row>
    <row r="20" spans="1:37">
      <c r="A20" s="172">
        <v>0.55000000000000004</v>
      </c>
      <c r="B20" s="173">
        <v>2512.16028339079</v>
      </c>
      <c r="C20" s="177">
        <v>2.1505376344086023E-2</v>
      </c>
      <c r="D20" s="62">
        <v>1358.1598636276599</v>
      </c>
      <c r="E20" s="177">
        <v>1.3824884792626729E-2</v>
      </c>
      <c r="F20" s="177">
        <v>450.55790363482703</v>
      </c>
      <c r="G20" s="177">
        <v>6.0790273556231003E-3</v>
      </c>
      <c r="H20" s="62">
        <v>134.193548387097</v>
      </c>
      <c r="I20" s="177">
        <v>9.0293453724604959E-3</v>
      </c>
      <c r="J20" s="62">
        <v>24.027200259235201</v>
      </c>
      <c r="K20" s="178">
        <v>1.0054137664346482E-2</v>
      </c>
      <c r="P20" s="103"/>
      <c r="Q20" s="104"/>
      <c r="R20" s="105"/>
      <c r="S20" s="105"/>
      <c r="T20" s="105"/>
      <c r="U20" s="105"/>
      <c r="V20" s="105"/>
      <c r="W20" s="105"/>
      <c r="X20" s="105"/>
      <c r="Y20" s="105"/>
      <c r="Z20" s="105"/>
      <c r="AA20" s="105"/>
      <c r="AB20" s="105"/>
      <c r="AC20" s="105"/>
      <c r="AD20" s="105"/>
    </row>
    <row r="21" spans="1:37">
      <c r="A21" s="172">
        <v>0.65</v>
      </c>
      <c r="B21" s="173">
        <v>3348.3166371141701</v>
      </c>
      <c r="C21" s="177">
        <v>1.5053763440860216E-2</v>
      </c>
      <c r="D21" s="62">
        <v>1352.37277546311</v>
      </c>
      <c r="E21" s="177">
        <v>1.6129032258064516E-2</v>
      </c>
      <c r="F21" s="177">
        <v>531.17742371050497</v>
      </c>
      <c r="G21" s="177">
        <v>6.0790273556231003E-3</v>
      </c>
      <c r="H21" s="62">
        <v>134.075304540421</v>
      </c>
      <c r="I21" s="177">
        <v>6.7720090293453723E-3</v>
      </c>
      <c r="J21" s="62">
        <v>16.6842267711502</v>
      </c>
      <c r="K21" s="178">
        <v>3.5324376337703918E-2</v>
      </c>
      <c r="P21" s="103"/>
      <c r="Q21" s="104"/>
      <c r="R21" s="105"/>
      <c r="S21" s="105"/>
      <c r="T21" s="105"/>
      <c r="U21" s="105"/>
      <c r="V21" s="105"/>
      <c r="W21" s="105"/>
      <c r="X21" s="105"/>
      <c r="Y21" s="105"/>
      <c r="Z21" s="105"/>
      <c r="AA21" s="105"/>
      <c r="AB21" s="105"/>
      <c r="AC21" s="105"/>
      <c r="AD21" s="105"/>
    </row>
    <row r="22" spans="1:37">
      <c r="A22" s="172">
        <v>0.75</v>
      </c>
      <c r="B22" s="173">
        <v>2783.78832561741</v>
      </c>
      <c r="C22" s="177">
        <v>1.935483870967742E-2</v>
      </c>
      <c r="D22" s="62">
        <v>1184.2270936610601</v>
      </c>
      <c r="E22" s="177">
        <v>1.9201228878648235E-2</v>
      </c>
      <c r="F22" s="177">
        <v>530.85043035781996</v>
      </c>
      <c r="G22" s="177">
        <v>1.5197568389057751E-2</v>
      </c>
      <c r="H22" s="62">
        <v>171.13633274432499</v>
      </c>
      <c r="I22" s="177">
        <v>2.1670428893905191E-2</v>
      </c>
      <c r="J22" s="62">
        <v>19.505320855614901</v>
      </c>
      <c r="K22" s="131">
        <v>2.8993327218115435E-2</v>
      </c>
      <c r="L22" s="105"/>
      <c r="M22" s="105"/>
      <c r="N22" s="105"/>
    </row>
    <row r="23" spans="1:37">
      <c r="A23" s="172">
        <v>0.85</v>
      </c>
      <c r="B23" s="173">
        <v>2869.7276191001502</v>
      </c>
      <c r="C23" s="177">
        <v>2.3655913978494623E-2</v>
      </c>
      <c r="D23" s="62">
        <v>1359.6542226204001</v>
      </c>
      <c r="E23" s="177">
        <v>3.0721966205837174E-2</v>
      </c>
      <c r="F23" s="177">
        <v>522.92135033542604</v>
      </c>
      <c r="G23" s="177">
        <v>2.2036474164133738E-2</v>
      </c>
      <c r="H23" s="62">
        <v>167.22374211966201</v>
      </c>
      <c r="I23" s="177">
        <v>5.1918735891647853E-2</v>
      </c>
      <c r="J23" s="62">
        <v>22.473182173573001</v>
      </c>
      <c r="K23" s="131">
        <v>3.9497113257432687E-2</v>
      </c>
      <c r="L23" s="105"/>
      <c r="M23" s="105"/>
      <c r="N23" s="105"/>
      <c r="P23" s="103"/>
      <c r="Q23" s="103"/>
      <c r="R23" s="103"/>
      <c r="S23" s="103"/>
      <c r="T23" s="103"/>
      <c r="U23" s="103"/>
      <c r="V23" s="103"/>
      <c r="W23" s="103"/>
      <c r="X23" s="103"/>
      <c r="Y23" s="103"/>
      <c r="Z23" s="103"/>
      <c r="AA23" s="103"/>
      <c r="AB23" s="103"/>
      <c r="AC23" s="103"/>
      <c r="AD23" s="103"/>
    </row>
    <row r="24" spans="1:37">
      <c r="A24" s="172">
        <v>0.95</v>
      </c>
      <c r="B24" s="173">
        <v>2704.0335254059701</v>
      </c>
      <c r="C24" s="177">
        <v>1.7204301075268817E-2</v>
      </c>
      <c r="D24" s="62">
        <v>1376.3671008326601</v>
      </c>
      <c r="E24" s="177">
        <v>6.0675883256528416E-2</v>
      </c>
      <c r="F24" s="177">
        <v>462.34262426315399</v>
      </c>
      <c r="G24" s="177">
        <v>5.5471124620060791E-2</v>
      </c>
      <c r="H24" s="62">
        <v>174.65163169292799</v>
      </c>
      <c r="I24" s="177">
        <v>9.7065462753950338E-2</v>
      </c>
      <c r="J24" s="62">
        <v>22.800461845344099</v>
      </c>
      <c r="K24" s="131">
        <v>0.73914998471195525</v>
      </c>
      <c r="P24" s="103"/>
      <c r="Q24" s="103"/>
      <c r="R24" s="103"/>
      <c r="S24" s="103"/>
      <c r="T24" s="103"/>
      <c r="U24" s="103"/>
      <c r="V24" s="103"/>
      <c r="W24" s="103"/>
      <c r="X24" s="105"/>
      <c r="Z24" s="105"/>
      <c r="AB24" s="103"/>
      <c r="AC24" s="103"/>
      <c r="AD24" s="103"/>
    </row>
    <row r="25" spans="1:37">
      <c r="A25" s="141">
        <v>1</v>
      </c>
      <c r="B25" s="125">
        <v>0</v>
      </c>
      <c r="C25" s="125">
        <v>0</v>
      </c>
      <c r="D25" s="125">
        <v>0</v>
      </c>
      <c r="E25" s="125">
        <v>0</v>
      </c>
      <c r="F25" s="142">
        <v>0</v>
      </c>
      <c r="G25" s="142">
        <v>0</v>
      </c>
      <c r="H25" s="179">
        <v>0</v>
      </c>
      <c r="I25" s="179">
        <v>0</v>
      </c>
      <c r="J25" s="125">
        <v>0</v>
      </c>
      <c r="K25" s="143">
        <v>0</v>
      </c>
      <c r="L25" s="103"/>
      <c r="M25" s="103"/>
      <c r="N25" s="103"/>
      <c r="P25" s="103"/>
      <c r="Q25" s="103"/>
      <c r="R25" s="105"/>
      <c r="S25" s="105"/>
      <c r="T25" s="105"/>
      <c r="U25" s="105"/>
      <c r="V25" s="105"/>
      <c r="W25" s="105"/>
      <c r="AB25" s="105"/>
      <c r="AC25" s="105"/>
      <c r="AD25" s="105"/>
      <c r="AE25" s="108"/>
    </row>
    <row r="26" spans="1:37" ht="15" customHeight="1">
      <c r="A26" s="170" t="s">
        <v>170</v>
      </c>
      <c r="B26" s="132">
        <v>0.168494623655914</v>
      </c>
      <c r="C26" s="133">
        <v>465</v>
      </c>
      <c r="D26" s="132">
        <v>0.2129032258064516</v>
      </c>
      <c r="E26" s="133">
        <v>1302</v>
      </c>
      <c r="F26" s="132">
        <v>0.16907294832826747</v>
      </c>
      <c r="G26" s="133">
        <v>1316</v>
      </c>
      <c r="H26" s="132">
        <v>0.22941309255079007</v>
      </c>
      <c r="I26" s="133">
        <v>2215</v>
      </c>
      <c r="J26" s="132">
        <v>0.81218277307145814</v>
      </c>
      <c r="K26" s="134">
        <v>55599</v>
      </c>
      <c r="L26" s="104"/>
      <c r="M26" s="104"/>
      <c r="N26" s="104"/>
      <c r="P26" s="103"/>
      <c r="Q26" s="103"/>
      <c r="R26" s="105"/>
      <c r="S26" s="105"/>
      <c r="T26" s="105"/>
      <c r="U26" s="105"/>
      <c r="V26" s="105"/>
      <c r="W26" s="105"/>
      <c r="AB26" s="105"/>
      <c r="AC26" s="105"/>
      <c r="AD26" s="105"/>
    </row>
    <row r="27" spans="1:37" ht="16" thickBot="1">
      <c r="A27" s="171" t="s">
        <v>171</v>
      </c>
      <c r="B27" s="65">
        <v>4350</v>
      </c>
      <c r="C27" s="65"/>
      <c r="D27" s="65">
        <v>1500</v>
      </c>
      <c r="E27" s="65"/>
      <c r="F27" s="69">
        <v>712.5</v>
      </c>
      <c r="G27" s="69"/>
      <c r="H27" s="65">
        <v>287.5</v>
      </c>
      <c r="I27" s="65"/>
      <c r="J27" s="65">
        <v>75</v>
      </c>
      <c r="K27" s="135"/>
      <c r="L27" s="105"/>
      <c r="M27" s="105"/>
      <c r="N27" s="105"/>
    </row>
    <row r="28" spans="1:37">
      <c r="A28" s="103"/>
      <c r="B28" s="104"/>
      <c r="C28" s="105"/>
      <c r="D28" s="105"/>
      <c r="E28" s="105"/>
      <c r="F28" s="105"/>
      <c r="G28" s="105"/>
      <c r="H28" s="105"/>
      <c r="I28" s="105"/>
      <c r="J28" s="105"/>
      <c r="K28" s="105"/>
      <c r="L28" s="105"/>
      <c r="M28" s="105"/>
      <c r="N28" s="105"/>
    </row>
    <row r="29" spans="1:37">
      <c r="B29" s="104"/>
      <c r="C29" s="105"/>
      <c r="D29" s="105"/>
      <c r="E29" s="105"/>
      <c r="F29" s="105"/>
      <c r="G29" s="105"/>
      <c r="H29" s="105"/>
      <c r="I29" s="105"/>
      <c r="J29" s="105"/>
      <c r="K29" s="105"/>
      <c r="L29" s="105"/>
      <c r="M29" s="105"/>
      <c r="N29" s="105"/>
      <c r="X29" s="103"/>
      <c r="Y29" s="103"/>
      <c r="Z29" s="103"/>
      <c r="AA29" s="103"/>
      <c r="AB29" s="103"/>
      <c r="AC29" s="103"/>
      <c r="AD29" s="103"/>
      <c r="AE29" s="103"/>
      <c r="AF29" s="103"/>
      <c r="AG29" s="103" t="s">
        <v>23</v>
      </c>
      <c r="AH29" s="103" t="s">
        <v>23</v>
      </c>
      <c r="AI29" s="103" t="s">
        <v>23</v>
      </c>
      <c r="AJ29" s="103" t="s">
        <v>23</v>
      </c>
      <c r="AK29" s="103" t="s">
        <v>23</v>
      </c>
    </row>
    <row r="30" spans="1:37" ht="16" thickBot="1">
      <c r="B30" s="104"/>
      <c r="C30" s="105"/>
      <c r="D30" s="105"/>
      <c r="E30" s="105"/>
      <c r="F30" s="105"/>
      <c r="G30" s="105"/>
      <c r="H30" s="105"/>
      <c r="I30" s="105"/>
      <c r="J30" s="105"/>
      <c r="K30" s="105"/>
      <c r="L30" s="105"/>
      <c r="M30" s="105"/>
      <c r="N30" s="105"/>
      <c r="X30" s="103"/>
      <c r="Y30" s="103"/>
      <c r="Z30" s="103"/>
      <c r="AA30" s="103"/>
      <c r="AB30" s="103"/>
      <c r="AC30" s="103"/>
      <c r="AD30" s="103"/>
      <c r="AE30" s="103"/>
      <c r="AF30" s="103"/>
      <c r="AG30" s="103"/>
      <c r="AH30" s="103"/>
      <c r="AI30" s="103"/>
      <c r="AJ30" s="103"/>
      <c r="AK30" s="103"/>
    </row>
    <row r="31" spans="1:37" ht="15" customHeight="1">
      <c r="A31" s="325"/>
      <c r="B31" s="521" t="s">
        <v>172</v>
      </c>
      <c r="C31" s="521"/>
      <c r="D31" s="521" t="s">
        <v>247</v>
      </c>
      <c r="E31" s="521" t="s">
        <v>248</v>
      </c>
      <c r="F31" s="521" t="s">
        <v>173</v>
      </c>
      <c r="G31" s="508" t="s">
        <v>174</v>
      </c>
      <c r="H31" s="508" t="s">
        <v>175</v>
      </c>
      <c r="I31" s="508" t="s">
        <v>249</v>
      </c>
      <c r="J31" s="508" t="s">
        <v>250</v>
      </c>
      <c r="K31" s="521" t="s">
        <v>203</v>
      </c>
      <c r="L31" s="529" t="s">
        <v>204</v>
      </c>
      <c r="W31" s="103"/>
      <c r="X31" s="103"/>
      <c r="Y31" s="105"/>
      <c r="Z31" s="105"/>
      <c r="AA31" s="105"/>
      <c r="AB31" s="105"/>
      <c r="AC31" s="105"/>
      <c r="AD31" s="105"/>
      <c r="AE31" s="105"/>
      <c r="AF31" s="105"/>
      <c r="AG31" s="105"/>
      <c r="AH31" s="105"/>
      <c r="AI31" s="105"/>
      <c r="AJ31" s="105"/>
      <c r="AK31" s="108"/>
    </row>
    <row r="32" spans="1:37" ht="26" customHeight="1">
      <c r="A32" s="520"/>
      <c r="B32" s="522"/>
      <c r="C32" s="522"/>
      <c r="D32" s="522"/>
      <c r="E32" s="522"/>
      <c r="F32" s="522"/>
      <c r="G32" s="534"/>
      <c r="H32" s="534"/>
      <c r="I32" s="534"/>
      <c r="J32" s="534"/>
      <c r="K32" s="522"/>
      <c r="L32" s="530"/>
      <c r="W32" s="103"/>
      <c r="X32" s="103"/>
      <c r="Y32" s="105"/>
      <c r="Z32" s="105"/>
      <c r="AA32" s="105"/>
      <c r="AB32" s="105"/>
      <c r="AC32" s="105"/>
      <c r="AD32" s="105"/>
      <c r="AE32" s="105"/>
      <c r="AF32" s="105"/>
      <c r="AG32" s="105"/>
      <c r="AH32" s="105"/>
      <c r="AI32" s="105"/>
      <c r="AJ32" s="105"/>
      <c r="AK32" s="108"/>
    </row>
    <row r="33" spans="1:37">
      <c r="A33" s="519" t="s">
        <v>8</v>
      </c>
      <c r="B33" s="186">
        <v>0</v>
      </c>
      <c r="C33" s="186">
        <v>0</v>
      </c>
      <c r="D33" s="186">
        <f>C5</f>
        <v>0</v>
      </c>
      <c r="E33" s="186">
        <v>1</v>
      </c>
      <c r="F33" s="128">
        <f>C14</f>
        <v>0</v>
      </c>
      <c r="G33" s="184" t="s">
        <v>72</v>
      </c>
      <c r="H33" s="184" t="s">
        <v>72</v>
      </c>
      <c r="I33" s="180" t="s">
        <v>72</v>
      </c>
      <c r="J33" s="185" t="s">
        <v>72</v>
      </c>
      <c r="K33" s="186">
        <v>1</v>
      </c>
      <c r="L33" s="188">
        <v>1</v>
      </c>
      <c r="W33" s="103"/>
      <c r="X33" s="103"/>
      <c r="Y33" s="105"/>
      <c r="Z33" s="105"/>
      <c r="AA33" s="105"/>
      <c r="AB33" s="105"/>
      <c r="AC33" s="105"/>
      <c r="AD33" s="105"/>
      <c r="AE33" s="105"/>
      <c r="AF33" s="105"/>
      <c r="AG33" s="105"/>
      <c r="AH33" s="105"/>
      <c r="AI33" s="105"/>
      <c r="AJ33" s="105"/>
      <c r="AK33" s="108"/>
    </row>
    <row r="34" spans="1:37">
      <c r="A34" s="326"/>
      <c r="B34" s="59">
        <f>(C33+C34)/2</f>
        <v>0.05</v>
      </c>
      <c r="C34" s="59">
        <v>0.1</v>
      </c>
      <c r="D34" s="59">
        <f>D5</f>
        <v>0.21148484817593602</v>
      </c>
      <c r="E34" s="59">
        <f>E33-D33</f>
        <v>1</v>
      </c>
      <c r="F34" s="173">
        <f t="shared" ref="F34:F44" si="0">C15*$C$26</f>
        <v>278</v>
      </c>
      <c r="G34" s="173">
        <f>F33</f>
        <v>0</v>
      </c>
      <c r="H34" s="173">
        <f>SUM(F34:F44)</f>
        <v>465</v>
      </c>
      <c r="I34" s="190" t="e">
        <f>1.25*(E34^2)*((1-E34)^2)*((1/G34)+(1/H34))</f>
        <v>#DIV/0!</v>
      </c>
      <c r="J34" s="175" t="e">
        <f>1.96*SQRT(I34)</f>
        <v>#DIV/0!</v>
      </c>
      <c r="K34" s="59" t="e">
        <f>E34-J34</f>
        <v>#DIV/0!</v>
      </c>
      <c r="L34" s="189" t="e">
        <f>E34+J34</f>
        <v>#DIV/0!</v>
      </c>
      <c r="W34" s="103"/>
      <c r="X34" s="103"/>
      <c r="Y34" s="105"/>
      <c r="Z34" s="105"/>
      <c r="AA34" s="105"/>
      <c r="AB34" s="105"/>
      <c r="AC34" s="105"/>
      <c r="AD34" s="105"/>
      <c r="AE34" s="105"/>
      <c r="AF34" s="105"/>
      <c r="AG34" s="105"/>
      <c r="AH34" s="105"/>
      <c r="AI34" s="105"/>
      <c r="AJ34" s="105"/>
      <c r="AK34" s="108"/>
    </row>
    <row r="35" spans="1:37">
      <c r="A35" s="326"/>
      <c r="B35" s="59">
        <f t="shared" ref="B35:B42" si="1">(C34+C35)/2</f>
        <v>0.15000000000000002</v>
      </c>
      <c r="C35" s="59">
        <v>0.2</v>
      </c>
      <c r="D35" s="59">
        <f>E5</f>
        <v>0.15750503841459898</v>
      </c>
      <c r="E35" s="59">
        <f t="shared" ref="E35:E44" si="2">E34-D34</f>
        <v>0.78851515182406395</v>
      </c>
      <c r="F35" s="173">
        <f t="shared" si="0"/>
        <v>84</v>
      </c>
      <c r="G35" s="173">
        <f>F34+G34</f>
        <v>278</v>
      </c>
      <c r="H35" s="173">
        <f>SUM(F35:F44)</f>
        <v>187</v>
      </c>
      <c r="I35" s="190">
        <f t="shared" ref="I35:I44" si="3">1.25*(E35^2)*((1-E35)^2)*((1/G35)+(1/H35))</f>
        <v>3.1092465782400113E-4</v>
      </c>
      <c r="J35" s="175">
        <f t="shared" ref="J35:J44" si="4">1.96*SQRT(I35)</f>
        <v>3.4560789422359593E-2</v>
      </c>
      <c r="K35" s="59">
        <f t="shared" ref="K35:K44" si="5">E35-J35</f>
        <v>0.75395436240170433</v>
      </c>
      <c r="L35" s="189">
        <f t="shared" ref="L35:L44" si="6">E35+J35</f>
        <v>0.82307594124642358</v>
      </c>
      <c r="W35" s="103"/>
      <c r="X35" s="103"/>
      <c r="Y35" s="105"/>
      <c r="Z35" s="105"/>
      <c r="AA35" s="105"/>
      <c r="AB35" s="105"/>
      <c r="AC35" s="105"/>
      <c r="AD35" s="105"/>
      <c r="AE35" s="105"/>
      <c r="AF35" s="105"/>
      <c r="AG35" s="105"/>
      <c r="AH35" s="105"/>
      <c r="AI35" s="105"/>
      <c r="AJ35" s="105"/>
      <c r="AK35" s="108"/>
    </row>
    <row r="36" spans="1:37">
      <c r="A36" s="326"/>
      <c r="B36" s="59">
        <f t="shared" si="1"/>
        <v>0.25</v>
      </c>
      <c r="C36" s="59">
        <v>0.3</v>
      </c>
      <c r="D36" s="59">
        <f>F5</f>
        <v>9.1489654406897991E-2</v>
      </c>
      <c r="E36" s="59">
        <f t="shared" si="2"/>
        <v>0.631010113409465</v>
      </c>
      <c r="F36" s="173">
        <f t="shared" si="0"/>
        <v>31</v>
      </c>
      <c r="G36" s="173">
        <f t="shared" ref="G36:G44" si="7">F35+G35</f>
        <v>362</v>
      </c>
      <c r="H36" s="173">
        <f>SUM(F36:F44)</f>
        <v>103</v>
      </c>
      <c r="I36" s="190">
        <f t="shared" si="3"/>
        <v>8.4512069458888737E-4</v>
      </c>
      <c r="J36" s="175">
        <f t="shared" si="4"/>
        <v>5.6979080901087463E-2</v>
      </c>
      <c r="K36" s="59">
        <f t="shared" si="5"/>
        <v>0.5740310325083775</v>
      </c>
      <c r="L36" s="189">
        <f t="shared" si="6"/>
        <v>0.6879891943105525</v>
      </c>
      <c r="W36" s="103"/>
      <c r="X36" s="103"/>
      <c r="Y36" s="105"/>
      <c r="Z36" s="105"/>
      <c r="AA36" s="105"/>
      <c r="AB36" s="105"/>
      <c r="AC36" s="105"/>
      <c r="AD36" s="105"/>
      <c r="AE36" s="105"/>
      <c r="AF36" s="105"/>
      <c r="AG36" s="105"/>
      <c r="AH36" s="105"/>
      <c r="AI36" s="105"/>
      <c r="AJ36" s="105"/>
      <c r="AK36" s="108"/>
    </row>
    <row r="37" spans="1:37">
      <c r="A37" s="326"/>
      <c r="B37" s="59">
        <f t="shared" si="1"/>
        <v>0.35</v>
      </c>
      <c r="C37" s="59">
        <v>0.4</v>
      </c>
      <c r="D37" s="59">
        <f>G5</f>
        <v>9.9853800423712502E-2</v>
      </c>
      <c r="E37" s="59">
        <f t="shared" si="2"/>
        <v>0.53952045900256707</v>
      </c>
      <c r="F37" s="173">
        <f t="shared" si="0"/>
        <v>18</v>
      </c>
      <c r="G37" s="173">
        <f t="shared" si="7"/>
        <v>393</v>
      </c>
      <c r="H37" s="173">
        <f>SUM(F37:F44)</f>
        <v>72</v>
      </c>
      <c r="I37" s="190">
        <f t="shared" si="3"/>
        <v>1.2678691480576738E-3</v>
      </c>
      <c r="J37" s="175">
        <f t="shared" si="4"/>
        <v>6.9790014466099365E-2</v>
      </c>
      <c r="K37" s="59">
        <f t="shared" si="5"/>
        <v>0.46973044453646773</v>
      </c>
      <c r="L37" s="189">
        <f t="shared" si="6"/>
        <v>0.6093104734686664</v>
      </c>
      <c r="W37" s="103"/>
      <c r="X37" s="103"/>
      <c r="Y37" s="105"/>
      <c r="Z37" s="105"/>
      <c r="AA37" s="105"/>
      <c r="AB37" s="105"/>
      <c r="AC37" s="105"/>
      <c r="AD37" s="105"/>
      <c r="AE37" s="105"/>
      <c r="AF37" s="105"/>
      <c r="AG37" s="105"/>
      <c r="AH37" s="105"/>
      <c r="AI37" s="105"/>
      <c r="AJ37" s="105"/>
      <c r="AK37" s="108"/>
    </row>
    <row r="38" spans="1:37">
      <c r="A38" s="326"/>
      <c r="B38" s="59">
        <f t="shared" si="1"/>
        <v>0.45</v>
      </c>
      <c r="C38" s="59">
        <v>0.5</v>
      </c>
      <c r="D38" s="59">
        <f>H5</f>
        <v>4.4979886613928599E-2</v>
      </c>
      <c r="E38" s="59">
        <f t="shared" si="2"/>
        <v>0.43966665857885456</v>
      </c>
      <c r="F38" s="173">
        <f t="shared" si="0"/>
        <v>9</v>
      </c>
      <c r="G38" s="173">
        <f t="shared" si="7"/>
        <v>411</v>
      </c>
      <c r="H38" s="173">
        <f>SUM(F38:F44)</f>
        <v>54</v>
      </c>
      <c r="I38" s="190">
        <f t="shared" si="3"/>
        <v>1.5895250621342466E-3</v>
      </c>
      <c r="J38" s="175">
        <f t="shared" si="4"/>
        <v>7.8142942603250623E-2</v>
      </c>
      <c r="K38" s="59">
        <f t="shared" si="5"/>
        <v>0.36152371597560395</v>
      </c>
      <c r="L38" s="189">
        <f t="shared" si="6"/>
        <v>0.51780960118210517</v>
      </c>
    </row>
    <row r="39" spans="1:37">
      <c r="A39" s="326"/>
      <c r="B39" s="59">
        <f t="shared" si="1"/>
        <v>0.55000000000000004</v>
      </c>
      <c r="C39" s="59">
        <v>0.6</v>
      </c>
      <c r="D39" s="59">
        <f>I5</f>
        <v>5.8281621289760402E-2</v>
      </c>
      <c r="E39" s="59">
        <f t="shared" si="2"/>
        <v>0.39468677196492596</v>
      </c>
      <c r="F39" s="173">
        <f t="shared" si="0"/>
        <v>10</v>
      </c>
      <c r="G39" s="173">
        <f t="shared" si="7"/>
        <v>420</v>
      </c>
      <c r="H39" s="173">
        <f>SUM(F39:F44)</f>
        <v>45</v>
      </c>
      <c r="I39" s="190">
        <f t="shared" si="3"/>
        <v>1.7553617613652781E-3</v>
      </c>
      <c r="J39" s="175">
        <f t="shared" si="4"/>
        <v>8.2118193735985529E-2</v>
      </c>
      <c r="K39" s="59">
        <f t="shared" si="5"/>
        <v>0.31256857822894046</v>
      </c>
      <c r="L39" s="189">
        <f t="shared" si="6"/>
        <v>0.47680496570091147</v>
      </c>
      <c r="W39" s="103"/>
      <c r="X39" s="103"/>
      <c r="Y39" s="103"/>
      <c r="Z39" s="103"/>
      <c r="AA39" s="103"/>
      <c r="AB39" s="103"/>
      <c r="AC39" s="103"/>
      <c r="AD39" s="103"/>
      <c r="AE39" s="103"/>
      <c r="AF39" s="103"/>
      <c r="AG39" s="103"/>
      <c r="AH39" s="103"/>
      <c r="AI39" s="103"/>
      <c r="AJ39" s="103"/>
    </row>
    <row r="40" spans="1:37">
      <c r="A40" s="326"/>
      <c r="B40" s="59">
        <f t="shared" si="1"/>
        <v>0.64999999999999991</v>
      </c>
      <c r="C40" s="59">
        <v>0.7</v>
      </c>
      <c r="D40" s="59">
        <f>J5</f>
        <v>6.3481136981583794E-2</v>
      </c>
      <c r="E40" s="59">
        <f t="shared" si="2"/>
        <v>0.33640515067516558</v>
      </c>
      <c r="F40" s="173">
        <f t="shared" si="0"/>
        <v>7</v>
      </c>
      <c r="G40" s="173">
        <f t="shared" si="7"/>
        <v>430</v>
      </c>
      <c r="H40" s="173">
        <f>SUM(F40:F44)</f>
        <v>35</v>
      </c>
      <c r="I40" s="190">
        <f t="shared" si="3"/>
        <v>1.9246765376015342E-3</v>
      </c>
      <c r="J40" s="175">
        <f t="shared" si="4"/>
        <v>8.5987425748478216E-2</v>
      </c>
      <c r="K40" s="59">
        <f t="shared" si="5"/>
        <v>0.25041772492668735</v>
      </c>
      <c r="L40" s="189">
        <f t="shared" si="6"/>
        <v>0.42239257642364381</v>
      </c>
      <c r="W40" s="103"/>
      <c r="X40" s="103"/>
      <c r="Y40" s="103"/>
      <c r="Z40" s="103"/>
      <c r="AA40" s="103"/>
      <c r="AB40" s="103"/>
      <c r="AC40" s="103"/>
      <c r="AD40" s="103"/>
      <c r="AE40" s="103"/>
      <c r="AF40" s="103"/>
      <c r="AG40" s="103"/>
      <c r="AH40" s="103"/>
      <c r="AI40" s="103"/>
      <c r="AJ40" s="103"/>
    </row>
    <row r="41" spans="1:37">
      <c r="A41" s="326"/>
      <c r="B41" s="59">
        <f t="shared" si="1"/>
        <v>0.75</v>
      </c>
      <c r="C41" s="59">
        <v>0.8</v>
      </c>
      <c r="D41" s="59">
        <f>K5</f>
        <v>9.9497792382914202E-2</v>
      </c>
      <c r="E41" s="59">
        <f t="shared" si="2"/>
        <v>0.27292401369358177</v>
      </c>
      <c r="F41" s="173">
        <f t="shared" si="0"/>
        <v>9</v>
      </c>
      <c r="G41" s="173">
        <f t="shared" si="7"/>
        <v>437</v>
      </c>
      <c r="H41" s="173">
        <f>SUM(F41:F44)</f>
        <v>28</v>
      </c>
      <c r="I41" s="190">
        <f t="shared" si="3"/>
        <v>1.8705382734411069E-3</v>
      </c>
      <c r="J41" s="175">
        <f t="shared" si="4"/>
        <v>8.4769451049604871E-2</v>
      </c>
      <c r="K41" s="59">
        <f t="shared" si="5"/>
        <v>0.1881545626439769</v>
      </c>
      <c r="L41" s="189">
        <f t="shared" si="6"/>
        <v>0.35769346474318664</v>
      </c>
      <c r="W41" s="103"/>
      <c r="X41" s="103"/>
      <c r="Y41" s="105"/>
      <c r="Z41" s="105"/>
      <c r="AA41" s="105"/>
      <c r="AB41" s="105"/>
      <c r="AC41" s="105"/>
      <c r="AD41" s="105"/>
      <c r="AE41" s="105"/>
      <c r="AF41" s="105"/>
      <c r="AG41" s="105"/>
      <c r="AH41" s="105"/>
      <c r="AI41" s="105"/>
      <c r="AJ41" s="105"/>
    </row>
    <row r="42" spans="1:37">
      <c r="A42" s="326"/>
      <c r="B42" s="59">
        <f t="shared" si="1"/>
        <v>0.85000000000000009</v>
      </c>
      <c r="C42" s="59">
        <v>0.9</v>
      </c>
      <c r="D42" s="59">
        <f>L5</f>
        <v>0.100042478503142</v>
      </c>
      <c r="E42" s="59">
        <f t="shared" si="2"/>
        <v>0.17342622131066757</v>
      </c>
      <c r="F42" s="173">
        <f t="shared" si="0"/>
        <v>11</v>
      </c>
      <c r="G42" s="173">
        <f t="shared" si="7"/>
        <v>446</v>
      </c>
      <c r="H42" s="173">
        <f>SUM(F42:F44)</f>
        <v>19</v>
      </c>
      <c r="I42" s="190">
        <f t="shared" si="3"/>
        <v>1.4095071316158961E-3</v>
      </c>
      <c r="J42" s="175">
        <f t="shared" si="4"/>
        <v>7.3585070475033362E-2</v>
      </c>
      <c r="K42" s="59">
        <f t="shared" si="5"/>
        <v>9.9841150835634204E-2</v>
      </c>
      <c r="L42" s="189">
        <f t="shared" si="6"/>
        <v>0.24701129178570091</v>
      </c>
      <c r="W42" s="103"/>
      <c r="X42" s="103"/>
      <c r="Y42" s="105"/>
      <c r="Z42" s="105"/>
      <c r="AA42" s="105"/>
      <c r="AB42" s="105"/>
      <c r="AC42" s="105"/>
      <c r="AD42" s="105"/>
      <c r="AE42" s="105"/>
      <c r="AF42" s="105"/>
      <c r="AG42" s="105"/>
      <c r="AH42" s="105"/>
      <c r="AI42" s="105"/>
      <c r="AJ42" s="105"/>
    </row>
    <row r="43" spans="1:37">
      <c r="A43" s="326"/>
      <c r="B43" s="59">
        <f>C43</f>
        <v>0.95</v>
      </c>
      <c r="C43" s="59">
        <v>0.95</v>
      </c>
      <c r="D43" s="59">
        <f>M5</f>
        <v>7.3383742807525604E-2</v>
      </c>
      <c r="E43" s="59">
        <f t="shared" si="2"/>
        <v>7.3383742807525562E-2</v>
      </c>
      <c r="F43" s="173">
        <f t="shared" si="0"/>
        <v>8</v>
      </c>
      <c r="G43" s="173">
        <f t="shared" si="7"/>
        <v>457</v>
      </c>
      <c r="H43" s="173">
        <f>SUM(F43:F44)</f>
        <v>8</v>
      </c>
      <c r="I43" s="190">
        <f t="shared" si="3"/>
        <v>7.3511676380545016E-4</v>
      </c>
      <c r="J43" s="175">
        <f t="shared" si="4"/>
        <v>5.314155210223933E-2</v>
      </c>
      <c r="K43" s="59">
        <f t="shared" si="5"/>
        <v>2.0242190705286232E-2</v>
      </c>
      <c r="L43" s="189">
        <f t="shared" si="6"/>
        <v>0.12652529490976488</v>
      </c>
      <c r="W43" s="103"/>
      <c r="X43" s="103"/>
      <c r="Y43" s="105"/>
      <c r="Z43" s="105"/>
      <c r="AA43" s="105"/>
      <c r="AB43" s="105"/>
      <c r="AC43" s="105"/>
      <c r="AD43" s="105"/>
      <c r="AE43" s="105"/>
      <c r="AF43" s="105"/>
      <c r="AG43" s="105"/>
      <c r="AH43" s="105"/>
      <c r="AI43" s="105"/>
      <c r="AJ43" s="105"/>
    </row>
    <row r="44" spans="1:37">
      <c r="A44" s="520"/>
      <c r="B44" s="187">
        <f>C44</f>
        <v>1</v>
      </c>
      <c r="C44" s="187">
        <v>1</v>
      </c>
      <c r="D44" s="187">
        <f>N5</f>
        <v>0</v>
      </c>
      <c r="E44" s="59">
        <f t="shared" si="2"/>
        <v>0</v>
      </c>
      <c r="F44" s="126">
        <f t="shared" si="0"/>
        <v>0</v>
      </c>
      <c r="G44" s="126">
        <f t="shared" si="7"/>
        <v>465</v>
      </c>
      <c r="H44" s="126">
        <f>SUM(F44)</f>
        <v>0</v>
      </c>
      <c r="I44" s="191" t="e">
        <f t="shared" si="3"/>
        <v>#DIV/0!</v>
      </c>
      <c r="J44" s="192" t="e">
        <f t="shared" si="4"/>
        <v>#DIV/0!</v>
      </c>
      <c r="K44" s="59" t="e">
        <f t="shared" si="5"/>
        <v>#DIV/0!</v>
      </c>
      <c r="L44" s="189" t="e">
        <f t="shared" si="6"/>
        <v>#DIV/0!</v>
      </c>
      <c r="W44" s="103"/>
      <c r="X44" s="103"/>
      <c r="Y44" s="105"/>
      <c r="Z44" s="105"/>
      <c r="AA44" s="105"/>
      <c r="AB44" s="105"/>
      <c r="AC44" s="105"/>
      <c r="AD44" s="105"/>
      <c r="AE44" s="105"/>
      <c r="AF44" s="105"/>
      <c r="AG44" s="105"/>
      <c r="AH44" s="105"/>
      <c r="AI44" s="105"/>
      <c r="AJ44" s="105"/>
    </row>
    <row r="45" spans="1:37" ht="15" customHeight="1">
      <c r="A45" s="519" t="s">
        <v>7</v>
      </c>
      <c r="B45" s="186">
        <v>0</v>
      </c>
      <c r="C45" s="186">
        <v>0</v>
      </c>
      <c r="D45" s="186">
        <f>C6</f>
        <v>0</v>
      </c>
      <c r="E45" s="186">
        <v>1</v>
      </c>
      <c r="F45" s="128">
        <f>E14</f>
        <v>2</v>
      </c>
      <c r="G45" s="128"/>
      <c r="H45" s="128"/>
      <c r="I45" s="180" t="s">
        <v>72</v>
      </c>
      <c r="J45" s="185" t="s">
        <v>72</v>
      </c>
      <c r="K45" s="186">
        <v>1</v>
      </c>
      <c r="L45" s="188">
        <v>1</v>
      </c>
      <c r="W45" s="103"/>
      <c r="X45" s="103"/>
      <c r="Y45" s="105"/>
      <c r="Z45" s="105"/>
      <c r="AA45" s="105"/>
      <c r="AB45" s="105"/>
      <c r="AC45" s="105"/>
      <c r="AD45" s="105"/>
      <c r="AE45" s="105"/>
      <c r="AF45" s="105"/>
      <c r="AG45" s="105"/>
      <c r="AH45" s="105"/>
      <c r="AI45" s="105"/>
      <c r="AJ45" s="105"/>
    </row>
    <row r="46" spans="1:37">
      <c r="A46" s="326"/>
      <c r="B46" s="59">
        <f>(C45+C46)/2</f>
        <v>0.05</v>
      </c>
      <c r="C46" s="59">
        <v>0.1</v>
      </c>
      <c r="D46" s="59">
        <f>D6</f>
        <v>0.140105372343342</v>
      </c>
      <c r="E46" s="59">
        <f>E45-D45</f>
        <v>1</v>
      </c>
      <c r="F46" s="173">
        <f t="shared" ref="F46:F56" si="8">E15*$E$26</f>
        <v>715</v>
      </c>
      <c r="G46" s="173">
        <f>F45</f>
        <v>2</v>
      </c>
      <c r="H46" s="173">
        <f>SUM(F46:F56)</f>
        <v>1302</v>
      </c>
      <c r="I46" s="190">
        <f>1.25*(E46^2)*((1-E46)^2)*((1/G46)+(1/H46))</f>
        <v>0</v>
      </c>
      <c r="J46" s="175">
        <f>1.96*SQRT(I46)</f>
        <v>0</v>
      </c>
      <c r="K46" s="59">
        <f>E46-J46</f>
        <v>1</v>
      </c>
      <c r="L46" s="189">
        <f>E46+J46</f>
        <v>1</v>
      </c>
      <c r="W46" s="103"/>
      <c r="X46" s="103"/>
      <c r="Y46" s="105"/>
      <c r="Z46" s="105"/>
      <c r="AA46" s="105"/>
      <c r="AB46" s="105"/>
      <c r="AC46" s="105"/>
      <c r="AD46" s="105"/>
      <c r="AE46" s="105"/>
      <c r="AF46" s="105"/>
      <c r="AG46" s="105"/>
      <c r="AH46" s="105"/>
      <c r="AI46" s="105"/>
      <c r="AJ46" s="105"/>
    </row>
    <row r="47" spans="1:37">
      <c r="A47" s="326"/>
      <c r="B47" s="59">
        <f t="shared" ref="B47:B54" si="9">(C46+C47)/2</f>
        <v>0.15000000000000002</v>
      </c>
      <c r="C47" s="59">
        <v>0.2</v>
      </c>
      <c r="D47" s="59">
        <f>E6</f>
        <v>0.122120096843475</v>
      </c>
      <c r="E47" s="59">
        <f t="shared" ref="E47:E56" si="10">E46-D46</f>
        <v>0.85989462765665803</v>
      </c>
      <c r="F47" s="173">
        <f t="shared" si="8"/>
        <v>243</v>
      </c>
      <c r="G47" s="173">
        <f>F46+G46</f>
        <v>717</v>
      </c>
      <c r="H47" s="173">
        <f>SUM(F47:F56)</f>
        <v>587</v>
      </c>
      <c r="I47" s="190">
        <f t="shared" ref="I47:I56" si="11">1.25*(E47^2)*((1-E47)^2)*((1/G47)+(1/H47))</f>
        <v>5.6212175825067833E-5</v>
      </c>
      <c r="J47" s="175">
        <f t="shared" ref="J47:J56" si="12">1.96*SQRT(I47)</f>
        <v>1.4695056810015421E-2</v>
      </c>
      <c r="K47" s="59">
        <f t="shared" ref="K47:K56" si="13">E47-J47</f>
        <v>0.84519957084664266</v>
      </c>
      <c r="L47" s="189">
        <f t="shared" ref="L47:L56" si="14">E47+J47</f>
        <v>0.8745896844666734</v>
      </c>
      <c r="W47" s="103"/>
      <c r="X47" s="103"/>
      <c r="Y47" s="105"/>
      <c r="Z47" s="105"/>
      <c r="AA47" s="105"/>
      <c r="AB47" s="105"/>
      <c r="AC47" s="105"/>
      <c r="AD47" s="105"/>
      <c r="AE47" s="105"/>
      <c r="AF47" s="105"/>
      <c r="AG47" s="105"/>
      <c r="AH47" s="105"/>
      <c r="AI47" s="105"/>
      <c r="AJ47" s="105"/>
    </row>
    <row r="48" spans="1:37">
      <c r="A48" s="326"/>
      <c r="B48" s="59">
        <f t="shared" si="9"/>
        <v>0.25</v>
      </c>
      <c r="C48" s="59">
        <v>0.3</v>
      </c>
      <c r="D48" s="59">
        <f>F6</f>
        <v>5.6327633270231603E-2</v>
      </c>
      <c r="E48" s="59">
        <f t="shared" si="10"/>
        <v>0.737774530813183</v>
      </c>
      <c r="F48" s="173">
        <f t="shared" si="8"/>
        <v>70</v>
      </c>
      <c r="G48" s="173">
        <f t="shared" ref="G48:G56" si="15">F47+G47</f>
        <v>960</v>
      </c>
      <c r="H48" s="173">
        <f>SUM(F48:F56)</f>
        <v>344</v>
      </c>
      <c r="I48" s="190">
        <f t="shared" si="11"/>
        <v>1.8473746857523089E-4</v>
      </c>
      <c r="J48" s="175">
        <f t="shared" si="12"/>
        <v>2.6639959821264877E-2</v>
      </c>
      <c r="K48" s="59">
        <f t="shared" si="13"/>
        <v>0.71113457099191812</v>
      </c>
      <c r="L48" s="189">
        <f t="shared" si="14"/>
        <v>0.76441449063444789</v>
      </c>
    </row>
    <row r="49" spans="1:12">
      <c r="A49" s="326"/>
      <c r="B49" s="59">
        <f t="shared" si="9"/>
        <v>0.35</v>
      </c>
      <c r="C49" s="59">
        <v>0.4</v>
      </c>
      <c r="D49" s="59">
        <f>G6</f>
        <v>6.4022186022396801E-2</v>
      </c>
      <c r="E49" s="59">
        <f t="shared" si="10"/>
        <v>0.6814468975429514</v>
      </c>
      <c r="F49" s="173">
        <f t="shared" si="8"/>
        <v>48</v>
      </c>
      <c r="G49" s="173">
        <f t="shared" si="15"/>
        <v>1030</v>
      </c>
      <c r="H49" s="173">
        <f>SUM(F49:F56)</f>
        <v>274</v>
      </c>
      <c r="I49" s="190">
        <f t="shared" si="11"/>
        <v>2.7216202800646531E-4</v>
      </c>
      <c r="J49" s="175">
        <f t="shared" si="12"/>
        <v>3.2334774574591323E-2</v>
      </c>
      <c r="K49" s="59">
        <f t="shared" si="13"/>
        <v>0.64911212296836007</v>
      </c>
      <c r="L49" s="189">
        <f t="shared" si="14"/>
        <v>0.71378167211754273</v>
      </c>
    </row>
    <row r="50" spans="1:12">
      <c r="A50" s="326"/>
      <c r="B50" s="59">
        <f t="shared" si="9"/>
        <v>0.45</v>
      </c>
      <c r="C50" s="59">
        <v>0.5</v>
      </c>
      <c r="D50" s="59">
        <f>H6</f>
        <v>6.9236476391893204E-2</v>
      </c>
      <c r="E50" s="59">
        <f t="shared" si="10"/>
        <v>0.61742471152055456</v>
      </c>
      <c r="F50" s="173">
        <f t="shared" si="8"/>
        <v>43</v>
      </c>
      <c r="G50" s="173">
        <f t="shared" si="15"/>
        <v>1078</v>
      </c>
      <c r="H50" s="173">
        <f>SUM(F50:F56)</f>
        <v>226</v>
      </c>
      <c r="I50" s="190">
        <f t="shared" si="11"/>
        <v>3.7330366023685462E-4</v>
      </c>
      <c r="J50" s="175">
        <f t="shared" si="12"/>
        <v>3.7869292852730968E-2</v>
      </c>
      <c r="K50" s="59">
        <f t="shared" si="13"/>
        <v>0.57955541866782356</v>
      </c>
      <c r="L50" s="189">
        <f t="shared" si="14"/>
        <v>0.65529400437328555</v>
      </c>
    </row>
    <row r="51" spans="1:12">
      <c r="A51" s="326"/>
      <c r="B51" s="59">
        <f t="shared" si="9"/>
        <v>0.55000000000000004</v>
      </c>
      <c r="C51" s="59">
        <v>0.6</v>
      </c>
      <c r="D51" s="59">
        <f>I6</f>
        <v>4.1476739391196497E-2</v>
      </c>
      <c r="E51" s="59">
        <f t="shared" si="10"/>
        <v>0.54818823512866133</v>
      </c>
      <c r="F51" s="173">
        <f t="shared" si="8"/>
        <v>18</v>
      </c>
      <c r="G51" s="173">
        <f t="shared" si="15"/>
        <v>1121</v>
      </c>
      <c r="H51" s="173">
        <f>SUM(F51:F56)</f>
        <v>183</v>
      </c>
      <c r="I51" s="190">
        <f t="shared" si="11"/>
        <v>4.8742229982714857E-4</v>
      </c>
      <c r="J51" s="175">
        <f t="shared" si="12"/>
        <v>4.3272179365222332E-2</v>
      </c>
      <c r="K51" s="59">
        <f t="shared" si="13"/>
        <v>0.50491605576343901</v>
      </c>
      <c r="L51" s="189">
        <f t="shared" si="14"/>
        <v>0.59146041449388365</v>
      </c>
    </row>
    <row r="52" spans="1:12">
      <c r="A52" s="326"/>
      <c r="B52" s="59">
        <f t="shared" si="9"/>
        <v>0.64999999999999991</v>
      </c>
      <c r="C52" s="59">
        <v>0.7</v>
      </c>
      <c r="D52" s="59">
        <f>J6</f>
        <v>5.5509743316172103E-2</v>
      </c>
      <c r="E52" s="59">
        <f t="shared" si="10"/>
        <v>0.50671149573746488</v>
      </c>
      <c r="F52" s="173">
        <f t="shared" si="8"/>
        <v>21</v>
      </c>
      <c r="G52" s="173">
        <f t="shared" si="15"/>
        <v>1139</v>
      </c>
      <c r="H52" s="173">
        <f>SUM(F52:F56)</f>
        <v>165</v>
      </c>
      <c r="I52" s="190">
        <f t="shared" si="11"/>
        <v>5.418803964380289E-4</v>
      </c>
      <c r="J52" s="175">
        <f t="shared" si="12"/>
        <v>4.5625516226737987E-2</v>
      </c>
      <c r="K52" s="59">
        <f t="shared" si="13"/>
        <v>0.46108597951072688</v>
      </c>
      <c r="L52" s="189">
        <f t="shared" si="14"/>
        <v>0.55233701196420282</v>
      </c>
    </row>
    <row r="53" spans="1:12">
      <c r="A53" s="326"/>
      <c r="B53" s="59">
        <f t="shared" si="9"/>
        <v>0.75</v>
      </c>
      <c r="C53" s="59">
        <v>0.8</v>
      </c>
      <c r="D53" s="59">
        <f>K6</f>
        <v>5.8121531447797296E-2</v>
      </c>
      <c r="E53" s="59">
        <f t="shared" si="10"/>
        <v>0.45120175242129279</v>
      </c>
      <c r="F53" s="173">
        <f t="shared" si="8"/>
        <v>25</v>
      </c>
      <c r="G53" s="173">
        <f t="shared" si="15"/>
        <v>1160</v>
      </c>
      <c r="H53" s="173">
        <f>SUM(F53:F56)</f>
        <v>144</v>
      </c>
      <c r="I53" s="190">
        <f t="shared" si="11"/>
        <v>5.9832081305304379E-4</v>
      </c>
      <c r="J53" s="175">
        <f t="shared" si="12"/>
        <v>4.794277041874586E-2</v>
      </c>
      <c r="K53" s="59">
        <f t="shared" si="13"/>
        <v>0.40325898200254695</v>
      </c>
      <c r="L53" s="189">
        <f t="shared" si="14"/>
        <v>0.49914452284003863</v>
      </c>
    </row>
    <row r="54" spans="1:12">
      <c r="A54" s="326"/>
      <c r="B54" s="59">
        <f t="shared" si="9"/>
        <v>0.85000000000000009</v>
      </c>
      <c r="C54" s="59">
        <v>0.9</v>
      </c>
      <c r="D54" s="59">
        <f>L6</f>
        <v>0.120957611004577</v>
      </c>
      <c r="E54" s="59">
        <f t="shared" si="10"/>
        <v>0.39308022097349549</v>
      </c>
      <c r="F54" s="173">
        <f t="shared" si="8"/>
        <v>40</v>
      </c>
      <c r="G54" s="173">
        <f t="shared" si="15"/>
        <v>1185</v>
      </c>
      <c r="H54" s="173">
        <f>SUM(F54:F56)</f>
        <v>119</v>
      </c>
      <c r="I54" s="190">
        <f t="shared" si="11"/>
        <v>6.5788086953569877E-4</v>
      </c>
      <c r="J54" s="175">
        <f t="shared" si="12"/>
        <v>5.0272409415188568E-2</v>
      </c>
      <c r="K54" s="59">
        <f t="shared" si="13"/>
        <v>0.34280781155830692</v>
      </c>
      <c r="L54" s="189">
        <f t="shared" si="14"/>
        <v>0.44335263038868405</v>
      </c>
    </row>
    <row r="55" spans="1:12">
      <c r="A55" s="326"/>
      <c r="B55" s="59">
        <f>C55</f>
        <v>0.95</v>
      </c>
      <c r="C55" s="59">
        <v>0.95</v>
      </c>
      <c r="D55" s="59">
        <f>M6</f>
        <v>0.27212260996891802</v>
      </c>
      <c r="E55" s="59">
        <f t="shared" si="10"/>
        <v>0.27212260996891846</v>
      </c>
      <c r="F55" s="173">
        <f t="shared" si="8"/>
        <v>79</v>
      </c>
      <c r="G55" s="173">
        <f t="shared" si="15"/>
        <v>1225</v>
      </c>
      <c r="H55" s="173">
        <f>SUM(F55:F56)</f>
        <v>79</v>
      </c>
      <c r="I55" s="190">
        <f t="shared" si="11"/>
        <v>6.6080015791903106E-4</v>
      </c>
      <c r="J55" s="175">
        <f t="shared" si="12"/>
        <v>5.0383825645357157E-2</v>
      </c>
      <c r="K55" s="59">
        <f t="shared" si="13"/>
        <v>0.22173878432356131</v>
      </c>
      <c r="L55" s="189">
        <f t="shared" si="14"/>
        <v>0.32250643561427561</v>
      </c>
    </row>
    <row r="56" spans="1:12">
      <c r="A56" s="520"/>
      <c r="B56" s="187">
        <f>C56</f>
        <v>1</v>
      </c>
      <c r="C56" s="187">
        <v>1</v>
      </c>
      <c r="D56" s="187">
        <f>N6</f>
        <v>0</v>
      </c>
      <c r="E56" s="59">
        <f t="shared" si="10"/>
        <v>4.4408920985006262E-16</v>
      </c>
      <c r="F56" s="126">
        <f t="shared" si="8"/>
        <v>0</v>
      </c>
      <c r="G56" s="126">
        <f t="shared" si="15"/>
        <v>1304</v>
      </c>
      <c r="H56" s="126">
        <f>SUM(F56)</f>
        <v>0</v>
      </c>
      <c r="I56" s="191" t="e">
        <f t="shared" si="11"/>
        <v>#DIV/0!</v>
      </c>
      <c r="J56" s="192" t="e">
        <f t="shared" si="12"/>
        <v>#DIV/0!</v>
      </c>
      <c r="K56" s="59" t="e">
        <f t="shared" si="13"/>
        <v>#DIV/0!</v>
      </c>
      <c r="L56" s="189" t="e">
        <f t="shared" si="14"/>
        <v>#DIV/0!</v>
      </c>
    </row>
    <row r="57" spans="1:12">
      <c r="A57" s="519" t="s">
        <v>6</v>
      </c>
      <c r="B57" s="186">
        <v>0</v>
      </c>
      <c r="C57" s="186">
        <v>0</v>
      </c>
      <c r="D57" s="186">
        <f>C7</f>
        <v>0</v>
      </c>
      <c r="E57" s="186">
        <v>1</v>
      </c>
      <c r="F57" s="128">
        <f>G14</f>
        <v>30</v>
      </c>
      <c r="G57" s="128"/>
      <c r="H57" s="128"/>
      <c r="I57" s="180" t="s">
        <v>72</v>
      </c>
      <c r="J57" s="185" t="s">
        <v>72</v>
      </c>
      <c r="K57" s="186">
        <v>1</v>
      </c>
      <c r="L57" s="188">
        <v>1</v>
      </c>
    </row>
    <row r="58" spans="1:12">
      <c r="A58" s="326"/>
      <c r="B58" s="59">
        <f>(C57+C58)/2</f>
        <v>0.05</v>
      </c>
      <c r="C58" s="59">
        <v>0.1</v>
      </c>
      <c r="D58" s="59">
        <f>D7</f>
        <v>0.19855249925056501</v>
      </c>
      <c r="E58" s="59">
        <f>E57-D57</f>
        <v>1</v>
      </c>
      <c r="F58" s="173">
        <f t="shared" ref="F58:F68" si="16">G15*$G$26</f>
        <v>887</v>
      </c>
      <c r="G58" s="173">
        <f>F57</f>
        <v>30</v>
      </c>
      <c r="H58" s="173">
        <f>SUM(F58:F68)</f>
        <v>1316</v>
      </c>
      <c r="I58" s="190">
        <f>1.25*(E58^2)*((1-E58)^2)*((1/G58)+(1/H58))</f>
        <v>0</v>
      </c>
      <c r="J58" s="175">
        <f>1.96*SQRT(I58)</f>
        <v>0</v>
      </c>
      <c r="K58" s="59">
        <f>E58-J58</f>
        <v>1</v>
      </c>
      <c r="L58" s="189">
        <f>E58+J58</f>
        <v>1</v>
      </c>
    </row>
    <row r="59" spans="1:12" ht="15" customHeight="1">
      <c r="A59" s="326"/>
      <c r="B59" s="59">
        <f t="shared" ref="B59:B66" si="17">(C58+C59)/2</f>
        <v>0.15000000000000002</v>
      </c>
      <c r="C59" s="59">
        <v>0.2</v>
      </c>
      <c r="D59" s="59">
        <f>E7</f>
        <v>0.11583405113404399</v>
      </c>
      <c r="E59" s="59">
        <f t="shared" ref="E59:E68" si="18">E58-D58</f>
        <v>0.80144750074943505</v>
      </c>
      <c r="F59" s="173">
        <f t="shared" si="16"/>
        <v>191</v>
      </c>
      <c r="G59" s="173">
        <f>F58+G58</f>
        <v>917</v>
      </c>
      <c r="H59" s="173">
        <f>SUM(F59:F68)</f>
        <v>429</v>
      </c>
      <c r="I59" s="190">
        <f t="shared" ref="I59:I68" si="19">1.25*(E59^2)*((1-E59)^2)*((1/G59)+(1/H59))</f>
        <v>1.0830021505105996E-4</v>
      </c>
      <c r="J59" s="175">
        <f t="shared" ref="J59:J68" si="20">1.96*SQRT(I59)</f>
        <v>2.0397208292806931E-2</v>
      </c>
      <c r="K59" s="59">
        <f t="shared" ref="K59:K68" si="21">E59-J59</f>
        <v>0.78105029245662816</v>
      </c>
      <c r="L59" s="189">
        <f t="shared" ref="L59:L68" si="22">E59+J59</f>
        <v>0.82184470904224194</v>
      </c>
    </row>
    <row r="60" spans="1:12">
      <c r="A60" s="326"/>
      <c r="B60" s="59">
        <f t="shared" si="17"/>
        <v>0.25</v>
      </c>
      <c r="C60" s="59">
        <v>0.3</v>
      </c>
      <c r="D60" s="59">
        <f>F7</f>
        <v>7.2384488306902403E-2</v>
      </c>
      <c r="E60" s="59">
        <f t="shared" si="18"/>
        <v>0.68561344961539106</v>
      </c>
      <c r="F60" s="173">
        <f t="shared" si="16"/>
        <v>56</v>
      </c>
      <c r="G60" s="173">
        <f>F59+G59</f>
        <v>1108</v>
      </c>
      <c r="H60" s="173">
        <f>SUM(F60:F68)</f>
        <v>238</v>
      </c>
      <c r="I60" s="190">
        <f t="shared" si="19"/>
        <v>2.9643189431156534E-4</v>
      </c>
      <c r="J60" s="175">
        <f t="shared" si="20"/>
        <v>3.3745707359415497E-2</v>
      </c>
      <c r="K60" s="59">
        <f t="shared" si="21"/>
        <v>0.65186774225597555</v>
      </c>
      <c r="L60" s="189">
        <f t="shared" si="22"/>
        <v>0.71935915697480657</v>
      </c>
    </row>
    <row r="61" spans="1:12">
      <c r="A61" s="326"/>
      <c r="B61" s="59">
        <f t="shared" si="17"/>
        <v>0.35</v>
      </c>
      <c r="C61" s="59">
        <v>0.4</v>
      </c>
      <c r="D61" s="59">
        <f>G7</f>
        <v>4.8901785041876797E-2</v>
      </c>
      <c r="E61" s="59">
        <f t="shared" si="18"/>
        <v>0.6132289613084887</v>
      </c>
      <c r="F61" s="173">
        <f t="shared" si="16"/>
        <v>29</v>
      </c>
      <c r="G61" s="173">
        <f t="shared" ref="G61:G68" si="23">F60+G60</f>
        <v>1164</v>
      </c>
      <c r="H61" s="173">
        <f>SUM(F61:F68)</f>
        <v>182</v>
      </c>
      <c r="I61" s="190">
        <f t="shared" si="19"/>
        <v>4.4676990709341667E-4</v>
      </c>
      <c r="J61" s="175">
        <f t="shared" si="20"/>
        <v>4.1428387309791211E-2</v>
      </c>
      <c r="K61" s="59">
        <f t="shared" si="21"/>
        <v>0.57180057399869744</v>
      </c>
      <c r="L61" s="189">
        <f t="shared" si="22"/>
        <v>0.65465734861827996</v>
      </c>
    </row>
    <row r="62" spans="1:12">
      <c r="A62" s="326"/>
      <c r="B62" s="59">
        <f t="shared" si="17"/>
        <v>0.45</v>
      </c>
      <c r="C62" s="59">
        <v>0.5</v>
      </c>
      <c r="D62" s="59">
        <f>H7</f>
        <v>4.5774465910180605E-2</v>
      </c>
      <c r="E62" s="59">
        <f t="shared" si="18"/>
        <v>0.56432717626661189</v>
      </c>
      <c r="F62" s="173">
        <f t="shared" si="16"/>
        <v>15</v>
      </c>
      <c r="G62" s="173">
        <f t="shared" si="23"/>
        <v>1193</v>
      </c>
      <c r="H62" s="173">
        <f>SUM(F62:F68)</f>
        <v>153</v>
      </c>
      <c r="I62" s="190">
        <f t="shared" si="19"/>
        <v>5.571935359843913E-4</v>
      </c>
      <c r="J62" s="175">
        <f t="shared" si="20"/>
        <v>4.6265696664349903E-2</v>
      </c>
      <c r="K62" s="59">
        <f t="shared" si="21"/>
        <v>0.51806147960226201</v>
      </c>
      <c r="L62" s="189">
        <f t="shared" si="22"/>
        <v>0.61059287293096176</v>
      </c>
    </row>
    <row r="63" spans="1:12">
      <c r="A63" s="326"/>
      <c r="B63" s="59">
        <f t="shared" si="17"/>
        <v>0.55000000000000004</v>
      </c>
      <c r="C63" s="59">
        <v>0.6</v>
      </c>
      <c r="D63" s="59">
        <f>I7</f>
        <v>1.9814646248837501E-2</v>
      </c>
      <c r="E63" s="59">
        <f t="shared" si="18"/>
        <v>0.51855271035643125</v>
      </c>
      <c r="F63" s="173">
        <f t="shared" si="16"/>
        <v>8</v>
      </c>
      <c r="G63" s="173">
        <f t="shared" si="23"/>
        <v>1208</v>
      </c>
      <c r="H63" s="173">
        <f>SUM(F63:F68)</f>
        <v>138</v>
      </c>
      <c r="I63" s="190">
        <f t="shared" si="19"/>
        <v>6.2906042152497755E-4</v>
      </c>
      <c r="J63" s="175">
        <f t="shared" si="20"/>
        <v>4.915891084361363E-2</v>
      </c>
      <c r="K63" s="59">
        <f t="shared" si="21"/>
        <v>0.46939379951281762</v>
      </c>
      <c r="L63" s="189">
        <f t="shared" si="22"/>
        <v>0.56771162120004492</v>
      </c>
    </row>
    <row r="64" spans="1:12">
      <c r="A64" s="326"/>
      <c r="B64" s="59">
        <f t="shared" si="17"/>
        <v>0.64999999999999991</v>
      </c>
      <c r="C64" s="59">
        <v>0.7</v>
      </c>
      <c r="D64" s="59">
        <f>J7</f>
        <v>2.6832165714986801E-2</v>
      </c>
      <c r="E64" s="59">
        <f t="shared" si="18"/>
        <v>0.49873806410759375</v>
      </c>
      <c r="F64" s="173">
        <f t="shared" si="16"/>
        <v>8</v>
      </c>
      <c r="G64" s="173">
        <f t="shared" si="23"/>
        <v>1216</v>
      </c>
      <c r="H64" s="173">
        <f>SUM(F64:F68)</f>
        <v>130</v>
      </c>
      <c r="I64" s="190">
        <f t="shared" si="19"/>
        <v>6.6520059671444187E-4</v>
      </c>
      <c r="J64" s="175">
        <f t="shared" si="20"/>
        <v>5.0551306732251736E-2</v>
      </c>
      <c r="K64" s="59">
        <f t="shared" si="21"/>
        <v>0.44818675737534203</v>
      </c>
      <c r="L64" s="189">
        <f t="shared" si="22"/>
        <v>0.54928937083984553</v>
      </c>
    </row>
    <row r="65" spans="1:12">
      <c r="A65" s="326"/>
      <c r="B65" s="59">
        <f t="shared" si="17"/>
        <v>0.75</v>
      </c>
      <c r="C65" s="59">
        <v>0.8</v>
      </c>
      <c r="D65" s="59">
        <f>K7</f>
        <v>8.4579452714270809E-2</v>
      </c>
      <c r="E65" s="59">
        <f t="shared" si="18"/>
        <v>0.47190589839260694</v>
      </c>
      <c r="F65" s="173">
        <f t="shared" si="16"/>
        <v>20</v>
      </c>
      <c r="G65" s="173">
        <f t="shared" si="23"/>
        <v>1224</v>
      </c>
      <c r="H65" s="173">
        <f>SUM(F65:F68)</f>
        <v>122</v>
      </c>
      <c r="I65" s="190">
        <f t="shared" si="19"/>
        <v>6.9975702852216907E-4</v>
      </c>
      <c r="J65" s="175">
        <f t="shared" si="20"/>
        <v>5.1847725126284612E-2</v>
      </c>
      <c r="K65" s="59">
        <f t="shared" si="21"/>
        <v>0.42005817326632233</v>
      </c>
      <c r="L65" s="189">
        <f t="shared" si="22"/>
        <v>0.52375362351889154</v>
      </c>
    </row>
    <row r="66" spans="1:12">
      <c r="A66" s="326"/>
      <c r="B66" s="59">
        <f t="shared" si="17"/>
        <v>0.85000000000000009</v>
      </c>
      <c r="C66" s="59">
        <v>0.9</v>
      </c>
      <c r="D66" s="59">
        <f>L7</f>
        <v>0.118995843606287</v>
      </c>
      <c r="E66" s="59">
        <f t="shared" si="18"/>
        <v>0.38732644567833613</v>
      </c>
      <c r="F66" s="173">
        <f t="shared" si="16"/>
        <v>29</v>
      </c>
      <c r="G66" s="173">
        <f t="shared" si="23"/>
        <v>1244</v>
      </c>
      <c r="H66" s="173">
        <f>SUM(F66:F68)</f>
        <v>102</v>
      </c>
      <c r="I66" s="190">
        <f t="shared" si="19"/>
        <v>7.4670161598730284E-4</v>
      </c>
      <c r="J66" s="175">
        <f t="shared" si="20"/>
        <v>5.3558649422635954E-2</v>
      </c>
      <c r="K66" s="59">
        <f t="shared" si="21"/>
        <v>0.33376779625570019</v>
      </c>
      <c r="L66" s="189">
        <f t="shared" si="22"/>
        <v>0.44088509510097207</v>
      </c>
    </row>
    <row r="67" spans="1:12">
      <c r="A67" s="326"/>
      <c r="B67" s="59">
        <f>C67</f>
        <v>0.95</v>
      </c>
      <c r="C67" s="59">
        <v>0.95</v>
      </c>
      <c r="D67" s="59">
        <f>M7</f>
        <v>0.26682669130860398</v>
      </c>
      <c r="E67" s="59">
        <f t="shared" si="18"/>
        <v>0.26833060207204912</v>
      </c>
      <c r="F67" s="173">
        <f t="shared" si="16"/>
        <v>73</v>
      </c>
      <c r="G67" s="173">
        <f t="shared" si="23"/>
        <v>1273</v>
      </c>
      <c r="H67" s="173">
        <f>SUM(F67:F68)</f>
        <v>73</v>
      </c>
      <c r="I67" s="190">
        <f t="shared" si="19"/>
        <v>6.9786915177568278E-4</v>
      </c>
      <c r="J67" s="175">
        <f t="shared" si="20"/>
        <v>5.1777737817149394E-2</v>
      </c>
      <c r="K67" s="59">
        <f t="shared" si="21"/>
        <v>0.21655286425489972</v>
      </c>
      <c r="L67" s="189">
        <f t="shared" si="22"/>
        <v>0.32010833988919851</v>
      </c>
    </row>
    <row r="68" spans="1:12">
      <c r="A68" s="520"/>
      <c r="B68" s="187">
        <f>C68</f>
        <v>1</v>
      </c>
      <c r="C68" s="187">
        <v>1</v>
      </c>
      <c r="D68" s="187">
        <f>N7</f>
        <v>1.5039107634421899E-3</v>
      </c>
      <c r="E68" s="59">
        <f t="shared" si="18"/>
        <v>1.5039107634451376E-3</v>
      </c>
      <c r="F68" s="126">
        <f t="shared" si="16"/>
        <v>0</v>
      </c>
      <c r="G68" s="126">
        <f t="shared" si="23"/>
        <v>1346</v>
      </c>
      <c r="H68" s="126">
        <f>SUM(F68)</f>
        <v>0</v>
      </c>
      <c r="I68" s="191" t="e">
        <f t="shared" si="19"/>
        <v>#DIV/0!</v>
      </c>
      <c r="J68" s="192" t="e">
        <f t="shared" si="20"/>
        <v>#DIV/0!</v>
      </c>
      <c r="K68" s="59" t="e">
        <f t="shared" si="21"/>
        <v>#DIV/0!</v>
      </c>
      <c r="L68" s="189" t="e">
        <f t="shared" si="22"/>
        <v>#DIV/0!</v>
      </c>
    </row>
    <row r="69" spans="1:12">
      <c r="A69" s="519" t="s">
        <v>5</v>
      </c>
      <c r="B69" s="186">
        <v>0</v>
      </c>
      <c r="C69" s="186">
        <v>0</v>
      </c>
      <c r="D69" s="186">
        <f>C8</f>
        <v>0</v>
      </c>
      <c r="E69" s="186">
        <v>1</v>
      </c>
      <c r="F69" s="128">
        <f>I14</f>
        <v>235</v>
      </c>
      <c r="G69" s="128"/>
      <c r="H69" s="128"/>
      <c r="I69" s="180" t="s">
        <v>72</v>
      </c>
      <c r="J69" s="185" t="s">
        <v>72</v>
      </c>
      <c r="K69" s="186">
        <v>1</v>
      </c>
      <c r="L69" s="188">
        <v>1</v>
      </c>
    </row>
    <row r="70" spans="1:12">
      <c r="A70" s="326"/>
      <c r="B70" s="59">
        <f>(C69+C70)/2</f>
        <v>0.05</v>
      </c>
      <c r="C70" s="59">
        <v>0.1</v>
      </c>
      <c r="D70" s="59">
        <f>D8</f>
        <v>0.13183896600967801</v>
      </c>
      <c r="E70" s="59">
        <f>E69-D69</f>
        <v>1</v>
      </c>
      <c r="F70" s="173">
        <f t="shared" ref="F70:F80" si="24">I15*$I$26</f>
        <v>1431</v>
      </c>
      <c r="G70" s="173">
        <f>F69</f>
        <v>235</v>
      </c>
      <c r="H70" s="173">
        <f>SUM(F70:F80)</f>
        <v>2215</v>
      </c>
      <c r="I70" s="190">
        <f>1.25*(E70^2)*((1-E70)^2)*((1/G70)+(1/H70))</f>
        <v>0</v>
      </c>
      <c r="J70" s="175">
        <f>1.96*SQRT(I70)</f>
        <v>0</v>
      </c>
      <c r="K70" s="59">
        <f>E70-J70</f>
        <v>1</v>
      </c>
      <c r="L70" s="189">
        <f>E70+J70</f>
        <v>1</v>
      </c>
    </row>
    <row r="71" spans="1:12">
      <c r="A71" s="326"/>
      <c r="B71" s="59">
        <f t="shared" ref="B71:B78" si="25">(C70+C71)/2</f>
        <v>0.15000000000000002</v>
      </c>
      <c r="C71" s="59">
        <v>0.2</v>
      </c>
      <c r="D71" s="59">
        <f>E8</f>
        <v>7.4921229917218696E-2</v>
      </c>
      <c r="E71" s="59">
        <f t="shared" ref="E71:E80" si="26">E70-D70</f>
        <v>0.86816103399032196</v>
      </c>
      <c r="F71" s="173">
        <f t="shared" si="24"/>
        <v>231</v>
      </c>
      <c r="G71" s="173">
        <f>F70+G70</f>
        <v>1666</v>
      </c>
      <c r="H71" s="173">
        <f>SUM(F71:F80)</f>
        <v>784</v>
      </c>
      <c r="I71" s="190">
        <f t="shared" ref="I71:I80" si="27">1.25*(E71^2)*((1-E71)^2)*((1/G71)+(1/H71))</f>
        <v>3.0716603576498686E-5</v>
      </c>
      <c r="J71" s="175">
        <f t="shared" ref="J71:J80" si="28">1.96*SQRT(I71)</f>
        <v>1.0862822114877761E-2</v>
      </c>
      <c r="K71" s="59">
        <f t="shared" ref="K71:K80" si="29">E71-J71</f>
        <v>0.85729821187544419</v>
      </c>
      <c r="L71" s="189">
        <f t="shared" ref="L71:L80" si="30">E71+J71</f>
        <v>0.87902385610519973</v>
      </c>
    </row>
    <row r="72" spans="1:12">
      <c r="A72" s="326"/>
      <c r="B72" s="59">
        <f t="shared" si="25"/>
        <v>0.25</v>
      </c>
      <c r="C72" s="59">
        <v>0.3</v>
      </c>
      <c r="D72" s="59">
        <f>F8</f>
        <v>5.6485508278907401E-2</v>
      </c>
      <c r="E72" s="59">
        <f t="shared" si="26"/>
        <v>0.79323980407310324</v>
      </c>
      <c r="F72" s="173">
        <f t="shared" si="24"/>
        <v>78</v>
      </c>
      <c r="G72" s="173">
        <f t="shared" ref="G72:G80" si="31">F71+G71</f>
        <v>1897</v>
      </c>
      <c r="H72" s="173">
        <f>SUM(F72:F80)</f>
        <v>553</v>
      </c>
      <c r="I72" s="190">
        <f t="shared" si="27"/>
        <v>7.8528355438341944E-5</v>
      </c>
      <c r="J72" s="175">
        <f t="shared" si="28"/>
        <v>1.7368780332882746E-2</v>
      </c>
      <c r="K72" s="59">
        <f t="shared" si="29"/>
        <v>0.77587102374022054</v>
      </c>
      <c r="L72" s="189">
        <f t="shared" si="30"/>
        <v>0.81060858440598593</v>
      </c>
    </row>
    <row r="73" spans="1:12" ht="15" customHeight="1">
      <c r="A73" s="326"/>
      <c r="B73" s="59">
        <f t="shared" si="25"/>
        <v>0.35</v>
      </c>
      <c r="C73" s="59">
        <v>0.4</v>
      </c>
      <c r="D73" s="59">
        <f>G8</f>
        <v>3.3147940770060301E-2</v>
      </c>
      <c r="E73" s="59">
        <f t="shared" si="26"/>
        <v>0.73675429579419582</v>
      </c>
      <c r="F73" s="173">
        <f t="shared" si="24"/>
        <v>42</v>
      </c>
      <c r="G73" s="173">
        <f t="shared" si="31"/>
        <v>1975</v>
      </c>
      <c r="H73" s="173">
        <f>SUM(F73:F80)</f>
        <v>475</v>
      </c>
      <c r="I73" s="190">
        <f t="shared" si="27"/>
        <v>1.2279574746379518E-4</v>
      </c>
      <c r="J73" s="175">
        <f t="shared" si="28"/>
        <v>2.1719395559198135E-2</v>
      </c>
      <c r="K73" s="59">
        <f t="shared" si="29"/>
        <v>0.71503490023499772</v>
      </c>
      <c r="L73" s="189">
        <f t="shared" si="30"/>
        <v>0.75847369135339393</v>
      </c>
    </row>
    <row r="74" spans="1:12">
      <c r="A74" s="326"/>
      <c r="B74" s="59">
        <f t="shared" si="25"/>
        <v>0.45</v>
      </c>
      <c r="C74" s="59">
        <v>0.5</v>
      </c>
      <c r="D74" s="59">
        <f>H8</f>
        <v>2.0157061552958998E-2</v>
      </c>
      <c r="E74" s="59">
        <f t="shared" si="26"/>
        <v>0.70360635502413549</v>
      </c>
      <c r="F74" s="173">
        <f t="shared" si="24"/>
        <v>20</v>
      </c>
      <c r="G74" s="173">
        <f t="shared" si="31"/>
        <v>2017</v>
      </c>
      <c r="H74" s="173">
        <f>SUM(F74:F80)</f>
        <v>433</v>
      </c>
      <c r="I74" s="190">
        <f t="shared" si="27"/>
        <v>1.5250342058578168E-4</v>
      </c>
      <c r="J74" s="175">
        <f t="shared" si="28"/>
        <v>2.4204485958646983E-2</v>
      </c>
      <c r="K74" s="59">
        <f t="shared" si="29"/>
        <v>0.6794018690654885</v>
      </c>
      <c r="L74" s="189">
        <f t="shared" si="30"/>
        <v>0.72781084098278248</v>
      </c>
    </row>
    <row r="75" spans="1:12">
      <c r="A75" s="326"/>
      <c r="B75" s="59">
        <f t="shared" si="25"/>
        <v>0.55000000000000004</v>
      </c>
      <c r="C75" s="59">
        <v>0.6</v>
      </c>
      <c r="D75" s="59">
        <f>I8</f>
        <v>1.7104732903023501E-2</v>
      </c>
      <c r="E75" s="59">
        <f t="shared" si="26"/>
        <v>0.68344929347117644</v>
      </c>
      <c r="F75" s="173">
        <f t="shared" si="24"/>
        <v>20</v>
      </c>
      <c r="G75" s="173">
        <f t="shared" si="31"/>
        <v>2037</v>
      </c>
      <c r="H75" s="173">
        <f>SUM(F75:F80)</f>
        <v>413</v>
      </c>
      <c r="I75" s="190">
        <f t="shared" si="27"/>
        <v>1.7038611038845087E-4</v>
      </c>
      <c r="J75" s="175">
        <f t="shared" si="28"/>
        <v>2.5584278017334646E-2</v>
      </c>
      <c r="K75" s="59">
        <f t="shared" si="29"/>
        <v>0.65786501545384179</v>
      </c>
      <c r="L75" s="189">
        <f t="shared" si="30"/>
        <v>0.70903357148851109</v>
      </c>
    </row>
    <row r="76" spans="1:12">
      <c r="A76" s="326"/>
      <c r="B76" s="59">
        <f t="shared" si="25"/>
        <v>0.64999999999999991</v>
      </c>
      <c r="C76" s="59">
        <v>0.7</v>
      </c>
      <c r="D76" s="59">
        <f>J8</f>
        <v>1.42913443902819E-2</v>
      </c>
      <c r="E76" s="59">
        <f t="shared" si="26"/>
        <v>0.66634456056815294</v>
      </c>
      <c r="F76" s="173">
        <f t="shared" si="24"/>
        <v>15</v>
      </c>
      <c r="G76" s="173">
        <f t="shared" si="31"/>
        <v>2057</v>
      </c>
      <c r="H76" s="173">
        <f>SUM(F76:F80)</f>
        <v>393</v>
      </c>
      <c r="I76" s="190">
        <f t="shared" si="27"/>
        <v>1.8725929662268112E-4</v>
      </c>
      <c r="J76" s="175">
        <f t="shared" si="28"/>
        <v>2.682117286595968E-2</v>
      </c>
      <c r="K76" s="59">
        <f t="shared" si="29"/>
        <v>0.6395233877021933</v>
      </c>
      <c r="L76" s="189">
        <f t="shared" si="30"/>
        <v>0.69316573343411259</v>
      </c>
    </row>
    <row r="77" spans="1:12">
      <c r="A77" s="326"/>
      <c r="B77" s="59">
        <f t="shared" si="25"/>
        <v>0.75</v>
      </c>
      <c r="C77" s="59">
        <v>0.8</v>
      </c>
      <c r="D77" s="59">
        <f>K8</f>
        <v>6.9104255959815508E-2</v>
      </c>
      <c r="E77" s="59">
        <f t="shared" si="26"/>
        <v>0.65205321617787104</v>
      </c>
      <c r="F77" s="173">
        <f t="shared" si="24"/>
        <v>48</v>
      </c>
      <c r="G77" s="173">
        <f t="shared" si="31"/>
        <v>2072</v>
      </c>
      <c r="H77" s="173">
        <f>SUM(F77:F80)</f>
        <v>378</v>
      </c>
      <c r="I77" s="190">
        <f t="shared" si="27"/>
        <v>2.0127335332851992E-4</v>
      </c>
      <c r="J77" s="175">
        <f t="shared" si="28"/>
        <v>2.7806684702546651E-2</v>
      </c>
      <c r="K77" s="59">
        <f t="shared" si="29"/>
        <v>0.62424653147532438</v>
      </c>
      <c r="L77" s="189">
        <f t="shared" si="30"/>
        <v>0.6798599008804177</v>
      </c>
    </row>
    <row r="78" spans="1:12">
      <c r="A78" s="326"/>
      <c r="B78" s="59">
        <f t="shared" si="25"/>
        <v>0.85000000000000009</v>
      </c>
      <c r="C78" s="59">
        <v>0.9</v>
      </c>
      <c r="D78" s="59">
        <f>L8</f>
        <v>0.17331256712673698</v>
      </c>
      <c r="E78" s="59">
        <f t="shared" si="26"/>
        <v>0.58294896021805553</v>
      </c>
      <c r="F78" s="173">
        <f t="shared" si="24"/>
        <v>115</v>
      </c>
      <c r="G78" s="173">
        <f t="shared" si="31"/>
        <v>2120</v>
      </c>
      <c r="H78" s="173">
        <f>SUM(F78:F80)</f>
        <v>330</v>
      </c>
      <c r="I78" s="190">
        <f t="shared" si="27"/>
        <v>2.5874131270824628E-4</v>
      </c>
      <c r="J78" s="175">
        <f t="shared" si="28"/>
        <v>3.1527458300662281E-2</v>
      </c>
      <c r="K78" s="59">
        <f t="shared" si="29"/>
        <v>0.55142150191739325</v>
      </c>
      <c r="L78" s="189">
        <f t="shared" si="30"/>
        <v>0.61447641851871782</v>
      </c>
    </row>
    <row r="79" spans="1:12">
      <c r="A79" s="326"/>
      <c r="B79" s="59">
        <f>C79</f>
        <v>0.95</v>
      </c>
      <c r="C79" s="59">
        <v>0.95</v>
      </c>
      <c r="D79" s="59">
        <f>M8</f>
        <v>0.40698502455181101</v>
      </c>
      <c r="E79" s="59">
        <f t="shared" si="26"/>
        <v>0.40963639309131855</v>
      </c>
      <c r="F79" s="173">
        <f t="shared" si="24"/>
        <v>215</v>
      </c>
      <c r="G79" s="173">
        <f t="shared" si="31"/>
        <v>2235</v>
      </c>
      <c r="H79" s="173">
        <f>SUM(F79:F80)</f>
        <v>215</v>
      </c>
      <c r="I79" s="190">
        <f t="shared" si="27"/>
        <v>3.7273170148423046E-4</v>
      </c>
      <c r="J79" s="175">
        <f t="shared" si="28"/>
        <v>3.7840270934836343E-2</v>
      </c>
      <c r="K79" s="59">
        <f t="shared" si="29"/>
        <v>0.37179612215648222</v>
      </c>
      <c r="L79" s="189">
        <f t="shared" si="30"/>
        <v>0.44747666402615488</v>
      </c>
    </row>
    <row r="80" spans="1:12">
      <c r="A80" s="520"/>
      <c r="B80" s="187">
        <f>C80</f>
        <v>1</v>
      </c>
      <c r="C80" s="187">
        <v>1</v>
      </c>
      <c r="D80" s="187">
        <f>N8</f>
        <v>2.6513685395084404E-3</v>
      </c>
      <c r="E80" s="59">
        <f t="shared" si="26"/>
        <v>2.651368539507537E-3</v>
      </c>
      <c r="F80" s="126">
        <f t="shared" si="24"/>
        <v>0</v>
      </c>
      <c r="G80" s="126">
        <f t="shared" si="31"/>
        <v>2450</v>
      </c>
      <c r="H80" s="126">
        <f>SUM(F80)</f>
        <v>0</v>
      </c>
      <c r="I80" s="191" t="e">
        <f t="shared" si="27"/>
        <v>#DIV/0!</v>
      </c>
      <c r="J80" s="192" t="e">
        <f t="shared" si="28"/>
        <v>#DIV/0!</v>
      </c>
      <c r="K80" s="59" t="e">
        <f t="shared" si="29"/>
        <v>#DIV/0!</v>
      </c>
      <c r="L80" s="189" t="e">
        <f t="shared" si="30"/>
        <v>#DIV/0!</v>
      </c>
    </row>
    <row r="81" spans="1:14">
      <c r="A81" s="518" t="s">
        <v>4</v>
      </c>
      <c r="B81" s="186">
        <v>0</v>
      </c>
      <c r="C81" s="186">
        <v>0</v>
      </c>
      <c r="D81" s="59">
        <f>C9</f>
        <v>0</v>
      </c>
      <c r="E81" s="186">
        <v>1</v>
      </c>
      <c r="F81" s="173">
        <f>K14</f>
        <v>155609</v>
      </c>
      <c r="G81" s="177"/>
      <c r="H81" s="177"/>
      <c r="I81" s="180" t="s">
        <v>72</v>
      </c>
      <c r="J81" s="185" t="s">
        <v>72</v>
      </c>
      <c r="K81" s="186">
        <v>1</v>
      </c>
      <c r="L81" s="188">
        <v>1</v>
      </c>
    </row>
    <row r="82" spans="1:14">
      <c r="A82" s="326"/>
      <c r="B82" s="59">
        <f>(C81+C82)/2</f>
        <v>0.05</v>
      </c>
      <c r="C82" s="59">
        <v>0.1</v>
      </c>
      <c r="D82" s="59">
        <f>D9</f>
        <v>2.4154165130020503E-2</v>
      </c>
      <c r="E82" s="59">
        <f>E81-D81</f>
        <v>1</v>
      </c>
      <c r="F82" s="173">
        <f t="shared" ref="F82:F92" si="32">K15*$K$26</f>
        <v>3165</v>
      </c>
      <c r="G82" s="173">
        <f>F81</f>
        <v>155609</v>
      </c>
      <c r="H82" s="173">
        <f>SUM(F82:F92)</f>
        <v>55599</v>
      </c>
      <c r="I82" s="190">
        <f>1.25*(E82^2)*((1-E82)^2)*((1/G82)+(1/H82))</f>
        <v>0</v>
      </c>
      <c r="J82" s="175">
        <f>1.96*SQRT(I82)</f>
        <v>0</v>
      </c>
      <c r="K82" s="59">
        <f>E82-J82</f>
        <v>1</v>
      </c>
      <c r="L82" s="189">
        <f>E82+J82</f>
        <v>1</v>
      </c>
    </row>
    <row r="83" spans="1:14">
      <c r="A83" s="326"/>
      <c r="B83" s="59">
        <f t="shared" ref="B83:B90" si="33">(C82+C83)/2</f>
        <v>0.15000000000000002</v>
      </c>
      <c r="C83" s="59">
        <v>0.2</v>
      </c>
      <c r="D83" s="59">
        <f>E9</f>
        <v>2.5377347982887502E-2</v>
      </c>
      <c r="E83" s="59">
        <f t="shared" ref="E83:E92" si="34">E82-D82</f>
        <v>0.97584583486997944</v>
      </c>
      <c r="F83" s="173">
        <f t="shared" si="32"/>
        <v>1836</v>
      </c>
      <c r="G83" s="173">
        <f>F82+G82</f>
        <v>158774</v>
      </c>
      <c r="H83" s="173">
        <f>SUM(F83:F92)</f>
        <v>52434</v>
      </c>
      <c r="I83" s="190">
        <f t="shared" ref="I83:I92" si="35">1.25*(E83^2)*((1-E83)^2)*((1/G83)+(1/H83))</f>
        <v>1.7618725484073422E-8</v>
      </c>
      <c r="J83" s="175">
        <f t="shared" ref="J83:J92" si="36">1.96*SQRT(I83)</f>
        <v>2.601616724646743E-4</v>
      </c>
      <c r="K83" s="59">
        <f t="shared" ref="K83:K92" si="37">E83-J83</f>
        <v>0.97558567319751477</v>
      </c>
      <c r="L83" s="189">
        <f t="shared" ref="L83:L92" si="38">E83+J83</f>
        <v>0.97610599654244412</v>
      </c>
    </row>
    <row r="84" spans="1:14">
      <c r="A84" s="326"/>
      <c r="B84" s="59">
        <f t="shared" si="33"/>
        <v>0.25</v>
      </c>
      <c r="C84" s="59">
        <v>0.3</v>
      </c>
      <c r="D84" s="59">
        <f>F9</f>
        <v>1.6590893792232501E-2</v>
      </c>
      <c r="E84" s="59">
        <f t="shared" si="34"/>
        <v>0.95046848688709196</v>
      </c>
      <c r="F84" s="173">
        <f t="shared" si="32"/>
        <v>1226</v>
      </c>
      <c r="G84" s="173">
        <f t="shared" ref="G84:G92" si="39">F83+G83</f>
        <v>160610</v>
      </c>
      <c r="H84" s="173">
        <f>SUM(F84:F92)</f>
        <v>50598</v>
      </c>
      <c r="I84" s="190">
        <f t="shared" si="35"/>
        <v>7.200341242834194E-8</v>
      </c>
      <c r="J84" s="175">
        <f t="shared" si="36"/>
        <v>5.2593565118246011E-4</v>
      </c>
      <c r="K84" s="59">
        <f t="shared" si="37"/>
        <v>0.94994255123590954</v>
      </c>
      <c r="L84" s="189">
        <f t="shared" si="38"/>
        <v>0.95099442253827438</v>
      </c>
    </row>
    <row r="85" spans="1:14">
      <c r="A85" s="326"/>
      <c r="B85" s="59">
        <f t="shared" si="33"/>
        <v>0.35</v>
      </c>
      <c r="C85" s="59">
        <v>0.4</v>
      </c>
      <c r="D85" s="59">
        <f>G9</f>
        <v>1.6977899444829102E-2</v>
      </c>
      <c r="E85" s="59">
        <f t="shared" si="34"/>
        <v>0.9338775930948594</v>
      </c>
      <c r="F85" s="173">
        <f t="shared" si="32"/>
        <v>1597</v>
      </c>
      <c r="G85" s="173">
        <f t="shared" si="39"/>
        <v>161836</v>
      </c>
      <c r="H85" s="173">
        <f>SUM(F85:F92)</f>
        <v>49372</v>
      </c>
      <c r="I85" s="190">
        <f t="shared" si="35"/>
        <v>1.2599164299399553E-7</v>
      </c>
      <c r="J85" s="175">
        <f t="shared" si="36"/>
        <v>6.9570790977660534E-4</v>
      </c>
      <c r="K85" s="59">
        <f t="shared" si="37"/>
        <v>0.93318188518508283</v>
      </c>
      <c r="L85" s="189">
        <f t="shared" si="38"/>
        <v>0.93457330100463598</v>
      </c>
    </row>
    <row r="86" spans="1:14">
      <c r="A86" s="326"/>
      <c r="B86" s="59">
        <f t="shared" si="33"/>
        <v>0.45</v>
      </c>
      <c r="C86" s="59">
        <v>0.5</v>
      </c>
      <c r="D86" s="59">
        <f>H9</f>
        <v>1.9404823142031898E-2</v>
      </c>
      <c r="E86" s="59">
        <f t="shared" si="34"/>
        <v>0.91689969365003032</v>
      </c>
      <c r="F86" s="173">
        <f t="shared" si="32"/>
        <v>348</v>
      </c>
      <c r="G86" s="173">
        <f t="shared" si="39"/>
        <v>163433</v>
      </c>
      <c r="H86" s="173">
        <f>SUM(F86:F92)</f>
        <v>47775</v>
      </c>
      <c r="I86" s="190">
        <f t="shared" si="35"/>
        <v>1.9630385734451315E-7</v>
      </c>
      <c r="J86" s="175">
        <f t="shared" si="36"/>
        <v>8.6840134636853345E-4</v>
      </c>
      <c r="K86" s="59">
        <f t="shared" si="37"/>
        <v>0.91603129230366176</v>
      </c>
      <c r="L86" s="189">
        <f t="shared" si="38"/>
        <v>0.91776809499639889</v>
      </c>
    </row>
    <row r="87" spans="1:14" ht="15" customHeight="1">
      <c r="A87" s="326"/>
      <c r="B87" s="59">
        <f t="shared" si="33"/>
        <v>0.55000000000000004</v>
      </c>
      <c r="C87" s="59">
        <v>0.6</v>
      </c>
      <c r="D87" s="59">
        <f>I9</f>
        <v>1.3715134390339102E-2</v>
      </c>
      <c r="E87" s="59">
        <f t="shared" si="34"/>
        <v>0.89749487050799848</v>
      </c>
      <c r="F87" s="173">
        <f t="shared" si="32"/>
        <v>559</v>
      </c>
      <c r="G87" s="173">
        <f t="shared" si="39"/>
        <v>163781</v>
      </c>
      <c r="H87" s="173">
        <f>SUM(F87:F92)</f>
        <v>47427</v>
      </c>
      <c r="I87" s="190">
        <f t="shared" si="35"/>
        <v>2.8766455429517846E-7</v>
      </c>
      <c r="J87" s="175">
        <f t="shared" si="36"/>
        <v>1.0512336332996377E-3</v>
      </c>
      <c r="K87" s="59">
        <f t="shared" si="37"/>
        <v>0.89644363687469886</v>
      </c>
      <c r="L87" s="189">
        <f t="shared" si="38"/>
        <v>0.8985461041412981</v>
      </c>
    </row>
    <row r="88" spans="1:14">
      <c r="A88" s="326"/>
      <c r="B88" s="59">
        <f t="shared" si="33"/>
        <v>0.64999999999999991</v>
      </c>
      <c r="C88" s="59">
        <v>0.7</v>
      </c>
      <c r="D88" s="59">
        <f>J9</f>
        <v>2.12760470620896E-2</v>
      </c>
      <c r="E88" s="59">
        <f t="shared" si="34"/>
        <v>0.88377973611765936</v>
      </c>
      <c r="F88" s="173">
        <f t="shared" si="32"/>
        <v>1964.0000000000002</v>
      </c>
      <c r="G88" s="173">
        <f t="shared" si="39"/>
        <v>164340</v>
      </c>
      <c r="H88" s="173">
        <f>SUM(F88:F92)</f>
        <v>46868</v>
      </c>
      <c r="I88" s="190">
        <f t="shared" si="35"/>
        <v>3.6162002068382394E-7</v>
      </c>
      <c r="J88" s="175">
        <f t="shared" si="36"/>
        <v>1.1786430636367305E-3</v>
      </c>
      <c r="K88" s="59">
        <f t="shared" si="37"/>
        <v>0.88260109305402268</v>
      </c>
      <c r="L88" s="189">
        <f t="shared" si="38"/>
        <v>0.88495837918129605</v>
      </c>
    </row>
    <row r="89" spans="1:14">
      <c r="A89" s="326"/>
      <c r="B89" s="59">
        <f t="shared" si="33"/>
        <v>0.75</v>
      </c>
      <c r="C89" s="59">
        <v>0.8</v>
      </c>
      <c r="D89" s="59">
        <f>K9</f>
        <v>3.6534121768424001E-2</v>
      </c>
      <c r="E89" s="59">
        <f t="shared" si="34"/>
        <v>0.86250368905556973</v>
      </c>
      <c r="F89" s="173">
        <f t="shared" si="32"/>
        <v>1612</v>
      </c>
      <c r="G89" s="173">
        <f t="shared" si="39"/>
        <v>166304</v>
      </c>
      <c r="H89" s="173">
        <f>SUM(F89:F92)</f>
        <v>44904</v>
      </c>
      <c r="I89" s="190">
        <f t="shared" si="35"/>
        <v>4.9720635116291391E-7</v>
      </c>
      <c r="J89" s="175">
        <f t="shared" si="36"/>
        <v>1.3820520679871109E-3</v>
      </c>
      <c r="K89" s="59">
        <f t="shared" si="37"/>
        <v>0.86112163698758259</v>
      </c>
      <c r="L89" s="189">
        <f t="shared" si="38"/>
        <v>0.86388574112355687</v>
      </c>
    </row>
    <row r="90" spans="1:14">
      <c r="A90" s="326"/>
      <c r="B90" s="59">
        <f t="shared" si="33"/>
        <v>0.85000000000000009</v>
      </c>
      <c r="C90" s="59">
        <v>0.9</v>
      </c>
      <c r="D90" s="59">
        <f>L9</f>
        <v>7.6639083377747705E-2</v>
      </c>
      <c r="E90" s="59">
        <f t="shared" si="34"/>
        <v>0.82596956728714577</v>
      </c>
      <c r="F90" s="173">
        <f t="shared" si="32"/>
        <v>2196</v>
      </c>
      <c r="G90" s="173">
        <f t="shared" si="39"/>
        <v>167916</v>
      </c>
      <c r="H90" s="173">
        <f>SUM(F90:F92)</f>
        <v>43292</v>
      </c>
      <c r="I90" s="190">
        <f t="shared" si="35"/>
        <v>7.5041090987028042E-7</v>
      </c>
      <c r="J90" s="175">
        <f t="shared" si="36"/>
        <v>1.6978747160369841E-3</v>
      </c>
      <c r="K90" s="59">
        <f t="shared" si="37"/>
        <v>0.82427169257110877</v>
      </c>
      <c r="L90" s="189">
        <f t="shared" si="38"/>
        <v>0.82766744200318276</v>
      </c>
    </row>
    <row r="91" spans="1:14">
      <c r="A91" s="326"/>
      <c r="B91" s="59">
        <f>C91</f>
        <v>0.95</v>
      </c>
      <c r="C91" s="59">
        <v>0.95</v>
      </c>
      <c r="D91" s="59">
        <f>M9</f>
        <v>0.45955136327753104</v>
      </c>
      <c r="E91" s="59">
        <f t="shared" si="34"/>
        <v>0.74933048390939805</v>
      </c>
      <c r="F91" s="173">
        <f t="shared" si="32"/>
        <v>41096</v>
      </c>
      <c r="G91" s="173">
        <f t="shared" si="39"/>
        <v>170112</v>
      </c>
      <c r="H91" s="173">
        <f>SUM(F91:F92)</f>
        <v>41096</v>
      </c>
      <c r="I91" s="190">
        <f t="shared" si="35"/>
        <v>1.33240336400708E-6</v>
      </c>
      <c r="J91" s="175">
        <f t="shared" si="36"/>
        <v>2.2624236480309336E-3</v>
      </c>
      <c r="K91" s="59">
        <f t="shared" si="37"/>
        <v>0.74706806026136707</v>
      </c>
      <c r="L91" s="189">
        <f t="shared" si="38"/>
        <v>0.75159290755742902</v>
      </c>
    </row>
    <row r="92" spans="1:14" ht="16" thickBot="1">
      <c r="A92" s="327"/>
      <c r="B92" s="193">
        <f>C92</f>
        <v>1</v>
      </c>
      <c r="C92" s="193">
        <v>1</v>
      </c>
      <c r="D92" s="193">
        <f>N9</f>
        <v>0.28977912063204697</v>
      </c>
      <c r="E92" s="193">
        <f t="shared" si="34"/>
        <v>0.289779120631867</v>
      </c>
      <c r="F92" s="174">
        <f t="shared" si="32"/>
        <v>0</v>
      </c>
      <c r="G92" s="174">
        <f t="shared" si="39"/>
        <v>211208</v>
      </c>
      <c r="H92" s="174">
        <f>SUM(F92)</f>
        <v>0</v>
      </c>
      <c r="I92" s="194" t="e">
        <f t="shared" si="35"/>
        <v>#DIV/0!</v>
      </c>
      <c r="J92" s="176" t="e">
        <f t="shared" si="36"/>
        <v>#DIV/0!</v>
      </c>
      <c r="K92" s="193" t="e">
        <f t="shared" si="37"/>
        <v>#DIV/0!</v>
      </c>
      <c r="L92" s="195" t="e">
        <f t="shared" si="38"/>
        <v>#DIV/0!</v>
      </c>
    </row>
    <row r="93" spans="1:14">
      <c r="M93" s="108"/>
      <c r="N93" s="108"/>
    </row>
  </sheetData>
  <mergeCells count="25">
    <mergeCell ref="A2:N2"/>
    <mergeCell ref="C3:N3"/>
    <mergeCell ref="A5:A10"/>
    <mergeCell ref="A12:A13"/>
    <mergeCell ref="B12:C12"/>
    <mergeCell ref="D12:E12"/>
    <mergeCell ref="F12:G12"/>
    <mergeCell ref="H12:I12"/>
    <mergeCell ref="J12:K12"/>
    <mergeCell ref="I31:I32"/>
    <mergeCell ref="J31:J32"/>
    <mergeCell ref="K31:K32"/>
    <mergeCell ref="L31:L32"/>
    <mergeCell ref="A33:A44"/>
    <mergeCell ref="A31:A32"/>
    <mergeCell ref="B31:C32"/>
    <mergeCell ref="D31:D32"/>
    <mergeCell ref="E31:E32"/>
    <mergeCell ref="F31:F32"/>
    <mergeCell ref="G31:G32"/>
    <mergeCell ref="A45:A56"/>
    <mergeCell ref="A57:A68"/>
    <mergeCell ref="A69:A80"/>
    <mergeCell ref="A81:A92"/>
    <mergeCell ref="H31:H3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Front Page</vt:lpstr>
      <vt:lpstr>1. Reference materials</vt:lpstr>
      <vt:lpstr>2. Error Calculation</vt:lpstr>
      <vt:lpstr>3. Fe-Sulfide Lib. and Assoc.</vt:lpstr>
      <vt:lpstr>4. Mineralogy wt.%</vt:lpstr>
      <vt:lpstr>5. Grain Size Distribution</vt:lpstr>
      <vt:lpstr>6. Sample A Conf. Intervals</vt:lpstr>
      <vt:lpstr>7. Sample B Conf. Intervals</vt:lpstr>
      <vt:lpstr>8. Sample C Conf. Intervals</vt:lpstr>
      <vt:lpstr>9. Sample D Conf. Intervals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2019-03-22T09:45:16Z</dcterms:created>
  <dcterms:modified xsi:type="dcterms:W3CDTF">2020-09-07T14:11:43Z</dcterms:modified>
</cp:coreProperties>
</file>