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drawings/drawing4.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5.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6.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7.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8.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13"/>
  <workbookPr filterPrivacy="1" defaultThemeVersion="166925"/>
  <xr:revisionPtr revIDLastSave="0" documentId="13_ncr:1_{0798AA8B-3BA6-8E4B-BA80-F8AF795F61F6}" xr6:coauthVersionLast="45" xr6:coauthVersionMax="45" xr10:uidLastSave="{00000000-0000-0000-0000-000000000000}"/>
  <bookViews>
    <workbookView xWindow="0" yWindow="520" windowWidth="28800" windowHeight="16160" tabRatio="873" xr2:uid="{00000000-000D-0000-FFFF-FFFF00000000}"/>
  </bookViews>
  <sheets>
    <sheet name="Front Page" sheetId="25" r:id="rId1"/>
    <sheet name="1. Reference materials" sheetId="18" r:id="rId2"/>
    <sheet name="2. Error Calculation" sheetId="17" r:id="rId3"/>
    <sheet name="3. Troubleshooting the Error" sheetId="20" r:id="rId4"/>
    <sheet name="4. Mineralogy wt.%" sheetId="13" r:id="rId5"/>
    <sheet name="5. Roundness" sheetId="16" r:id="rId6"/>
    <sheet name="6. Grain Size Distribution" sheetId="19" r:id="rId7"/>
    <sheet name="7. Sample A Conf. Intervals" sheetId="21" r:id="rId8"/>
    <sheet name="8. Sample B Conf. Intervals" sheetId="22" r:id="rId9"/>
    <sheet name="9. Sample C Conf. Intervals" sheetId="23" r:id="rId10"/>
    <sheet name="10. Sample D Conf. Intervals" sheetId="24" r:id="rId1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V57" i="20" l="1"/>
  <c r="V54" i="20"/>
  <c r="V53" i="20"/>
  <c r="U54" i="20"/>
  <c r="U57" i="20"/>
  <c r="U27" i="20" l="1"/>
  <c r="U20" i="20"/>
  <c r="E38" i="21" l="1"/>
  <c r="E34" i="21"/>
  <c r="G71" i="24" l="1"/>
  <c r="G72" i="24"/>
  <c r="G73" i="24"/>
  <c r="G74" i="24"/>
  <c r="G75" i="24"/>
  <c r="G76" i="24"/>
  <c r="G77" i="24"/>
  <c r="G78" i="24"/>
  <c r="G79" i="24"/>
  <c r="G80" i="24"/>
  <c r="G70" i="24"/>
  <c r="G58" i="24"/>
  <c r="G69" i="24"/>
  <c r="G36" i="24"/>
  <c r="G38" i="24"/>
  <c r="G61" i="24"/>
  <c r="G34" i="21"/>
  <c r="G33" i="21"/>
  <c r="H34" i="21" l="1"/>
  <c r="G92" i="24"/>
  <c r="I92" i="24" s="1"/>
  <c r="E92" i="24"/>
  <c r="G91" i="24"/>
  <c r="E91" i="24"/>
  <c r="G90" i="24"/>
  <c r="E90" i="24"/>
  <c r="G89" i="24"/>
  <c r="E89" i="24"/>
  <c r="G88" i="24"/>
  <c r="E88" i="24"/>
  <c r="G87" i="24"/>
  <c r="E87" i="24"/>
  <c r="G86" i="24"/>
  <c r="E86" i="24"/>
  <c r="G85" i="24"/>
  <c r="E85" i="24"/>
  <c r="G84" i="24"/>
  <c r="E84" i="24"/>
  <c r="G83" i="24"/>
  <c r="E83" i="24"/>
  <c r="G82" i="24"/>
  <c r="E82" i="24"/>
  <c r="G81" i="24"/>
  <c r="H82" i="24" s="1"/>
  <c r="E81" i="24"/>
  <c r="F81" i="24" s="1"/>
  <c r="E80" i="24"/>
  <c r="E79" i="24"/>
  <c r="E78" i="24"/>
  <c r="E77" i="24"/>
  <c r="E76" i="24"/>
  <c r="E75" i="24"/>
  <c r="E74" i="24"/>
  <c r="E73" i="24"/>
  <c r="E72" i="24"/>
  <c r="E71" i="24"/>
  <c r="E70" i="24"/>
  <c r="E69" i="24"/>
  <c r="F69" i="24" s="1"/>
  <c r="G68" i="24"/>
  <c r="I68" i="24" s="1"/>
  <c r="E68" i="24"/>
  <c r="G67" i="24"/>
  <c r="E67" i="24"/>
  <c r="G66" i="24"/>
  <c r="E66" i="24"/>
  <c r="G65" i="24"/>
  <c r="E65" i="24"/>
  <c r="G64" i="24"/>
  <c r="E64" i="24"/>
  <c r="G63" i="24"/>
  <c r="E63" i="24"/>
  <c r="G62" i="24"/>
  <c r="E62" i="24"/>
  <c r="E61" i="24"/>
  <c r="G60" i="24"/>
  <c r="E60" i="24"/>
  <c r="G59" i="24"/>
  <c r="E59" i="24"/>
  <c r="E58" i="24"/>
  <c r="G57" i="24"/>
  <c r="H58" i="24" s="1"/>
  <c r="E57" i="24"/>
  <c r="F57" i="24" s="1"/>
  <c r="G56" i="24"/>
  <c r="I56" i="24" s="1"/>
  <c r="E56" i="24"/>
  <c r="G55" i="24"/>
  <c r="E55" i="24"/>
  <c r="G54" i="24"/>
  <c r="E54" i="24"/>
  <c r="G53" i="24"/>
  <c r="E53" i="24"/>
  <c r="G52" i="24"/>
  <c r="E52" i="24"/>
  <c r="G51" i="24"/>
  <c r="E51" i="24"/>
  <c r="G50" i="24"/>
  <c r="E50" i="24"/>
  <c r="G49" i="24"/>
  <c r="E49" i="24"/>
  <c r="G48" i="24"/>
  <c r="E48" i="24"/>
  <c r="G47" i="24"/>
  <c r="E47" i="24"/>
  <c r="H46" i="24"/>
  <c r="G46" i="24"/>
  <c r="E46" i="24"/>
  <c r="G45" i="24"/>
  <c r="E45" i="24"/>
  <c r="F45" i="24" s="1"/>
  <c r="G44" i="24"/>
  <c r="I44" i="24" s="1"/>
  <c r="E44" i="24"/>
  <c r="G43" i="24"/>
  <c r="E43" i="24"/>
  <c r="G42" i="24"/>
  <c r="E42" i="24"/>
  <c r="G41" i="24"/>
  <c r="E41" i="24"/>
  <c r="G40" i="24"/>
  <c r="E40" i="24"/>
  <c r="G39" i="24"/>
  <c r="E39" i="24"/>
  <c r="E38" i="24"/>
  <c r="G37" i="24"/>
  <c r="E37" i="24"/>
  <c r="E36" i="24"/>
  <c r="G35" i="24"/>
  <c r="E35" i="24"/>
  <c r="G34" i="24"/>
  <c r="E34" i="24"/>
  <c r="G33" i="24"/>
  <c r="H34" i="24" s="1"/>
  <c r="E33" i="24"/>
  <c r="F33" i="24" s="1"/>
  <c r="I80" i="24"/>
  <c r="G92" i="23"/>
  <c r="I92" i="23" s="1"/>
  <c r="E92" i="23"/>
  <c r="G91" i="23"/>
  <c r="E91" i="23"/>
  <c r="G90" i="23"/>
  <c r="E90" i="23"/>
  <c r="G89" i="23"/>
  <c r="E89" i="23"/>
  <c r="G88" i="23"/>
  <c r="E88" i="23"/>
  <c r="G87" i="23"/>
  <c r="E87" i="23"/>
  <c r="G86" i="23"/>
  <c r="E86" i="23"/>
  <c r="G85" i="23"/>
  <c r="E85" i="23"/>
  <c r="G84" i="23"/>
  <c r="E84" i="23"/>
  <c r="G83" i="23"/>
  <c r="E83" i="23"/>
  <c r="G82" i="23"/>
  <c r="E82" i="23"/>
  <c r="G81" i="23"/>
  <c r="H82" i="23" s="1"/>
  <c r="E81" i="23"/>
  <c r="F81" i="23" s="1"/>
  <c r="G80" i="23"/>
  <c r="I80" i="23" s="1"/>
  <c r="E80" i="23"/>
  <c r="G79" i="23"/>
  <c r="E79" i="23"/>
  <c r="G78" i="23"/>
  <c r="E78" i="23"/>
  <c r="G77" i="23"/>
  <c r="E77" i="23"/>
  <c r="G76" i="23"/>
  <c r="E76" i="23"/>
  <c r="G75" i="23"/>
  <c r="E75" i="23"/>
  <c r="G74" i="23"/>
  <c r="E74" i="23"/>
  <c r="G73" i="23"/>
  <c r="E73" i="23"/>
  <c r="G72" i="23"/>
  <c r="E72" i="23"/>
  <c r="G71" i="23"/>
  <c r="E71" i="23"/>
  <c r="G70" i="23"/>
  <c r="E70" i="23"/>
  <c r="G69" i="23"/>
  <c r="H70" i="23" s="1"/>
  <c r="E69" i="23"/>
  <c r="F69" i="23" s="1"/>
  <c r="G68" i="23"/>
  <c r="I68" i="23" s="1"/>
  <c r="E68" i="23"/>
  <c r="G67" i="23"/>
  <c r="E67" i="23"/>
  <c r="G66" i="23"/>
  <c r="E66" i="23"/>
  <c r="G65" i="23"/>
  <c r="E65" i="23"/>
  <c r="G64" i="23"/>
  <c r="E64" i="23"/>
  <c r="G63" i="23"/>
  <c r="E63" i="23"/>
  <c r="G62" i="23"/>
  <c r="E62" i="23"/>
  <c r="G61" i="23"/>
  <c r="E61" i="23"/>
  <c r="G60" i="23"/>
  <c r="E60" i="23"/>
  <c r="G59" i="23"/>
  <c r="E59" i="23"/>
  <c r="G58" i="23"/>
  <c r="E58" i="23"/>
  <c r="G57" i="23"/>
  <c r="H58" i="23" s="1"/>
  <c r="E57" i="23"/>
  <c r="F57" i="23" s="1"/>
  <c r="G56" i="23"/>
  <c r="I56" i="23" s="1"/>
  <c r="E56" i="23"/>
  <c r="G55" i="23"/>
  <c r="E55" i="23"/>
  <c r="G54" i="23"/>
  <c r="E54" i="23"/>
  <c r="G53" i="23"/>
  <c r="E53" i="23"/>
  <c r="G52" i="23"/>
  <c r="E52" i="23"/>
  <c r="G51" i="23"/>
  <c r="E51" i="23"/>
  <c r="G50" i="23"/>
  <c r="E50" i="23"/>
  <c r="G49" i="23"/>
  <c r="E49" i="23"/>
  <c r="G48" i="23"/>
  <c r="E48" i="23"/>
  <c r="G47" i="23"/>
  <c r="E47" i="23"/>
  <c r="G46" i="23"/>
  <c r="E46" i="23"/>
  <c r="G45" i="23"/>
  <c r="H46" i="23" s="1"/>
  <c r="E45" i="23"/>
  <c r="F45" i="23" s="1"/>
  <c r="G44" i="23"/>
  <c r="I44" i="23" s="1"/>
  <c r="E44" i="23"/>
  <c r="G43" i="23"/>
  <c r="E43" i="23"/>
  <c r="G42" i="23"/>
  <c r="E42" i="23"/>
  <c r="G41" i="23"/>
  <c r="E41" i="23"/>
  <c r="G40" i="23"/>
  <c r="E40" i="23"/>
  <c r="G39" i="23"/>
  <c r="E39" i="23"/>
  <c r="G38" i="23"/>
  <c r="E38" i="23"/>
  <c r="G37" i="23"/>
  <c r="E37" i="23"/>
  <c r="G36" i="23"/>
  <c r="E36" i="23"/>
  <c r="G35" i="23"/>
  <c r="E35" i="23"/>
  <c r="G34" i="23"/>
  <c r="E34" i="23"/>
  <c r="G33" i="23"/>
  <c r="H34" i="23" s="1"/>
  <c r="E33" i="23"/>
  <c r="F33" i="23" s="1"/>
  <c r="D33" i="23" s="1"/>
  <c r="G92" i="22"/>
  <c r="I92" i="22" s="1"/>
  <c r="E92" i="22"/>
  <c r="G91" i="22"/>
  <c r="E91" i="22"/>
  <c r="G90" i="22"/>
  <c r="E90" i="22"/>
  <c r="G89" i="22"/>
  <c r="E89" i="22"/>
  <c r="G88" i="22"/>
  <c r="E88" i="22"/>
  <c r="G87" i="22"/>
  <c r="E87" i="22"/>
  <c r="G86" i="22"/>
  <c r="E86" i="22"/>
  <c r="G85" i="22"/>
  <c r="E85" i="22"/>
  <c r="G84" i="22"/>
  <c r="E84" i="22"/>
  <c r="G83" i="22"/>
  <c r="E83" i="22"/>
  <c r="G82" i="22"/>
  <c r="E82" i="22"/>
  <c r="G81" i="22"/>
  <c r="H82" i="22" s="1"/>
  <c r="E81" i="22"/>
  <c r="F81" i="22" s="1"/>
  <c r="F82" i="22" s="1"/>
  <c r="G80" i="22"/>
  <c r="I80" i="22" s="1"/>
  <c r="E80" i="22"/>
  <c r="G79" i="22"/>
  <c r="E79" i="22"/>
  <c r="G78" i="22"/>
  <c r="E78" i="22"/>
  <c r="G77" i="22"/>
  <c r="E77" i="22"/>
  <c r="G76" i="22"/>
  <c r="E76" i="22"/>
  <c r="G75" i="22"/>
  <c r="E75" i="22"/>
  <c r="G74" i="22"/>
  <c r="I74" i="22" s="1"/>
  <c r="E74" i="22"/>
  <c r="G73" i="22"/>
  <c r="E73" i="22"/>
  <c r="G72" i="22"/>
  <c r="E72" i="22"/>
  <c r="G71" i="22"/>
  <c r="E71" i="22"/>
  <c r="G70" i="22"/>
  <c r="E70" i="22"/>
  <c r="G69" i="22"/>
  <c r="H70" i="22" s="1"/>
  <c r="E69" i="22"/>
  <c r="F69" i="22" s="1"/>
  <c r="F70" i="22" s="1"/>
  <c r="I68" i="22"/>
  <c r="G68" i="22"/>
  <c r="E68" i="22"/>
  <c r="G67" i="22"/>
  <c r="I66" i="22" s="1"/>
  <c r="E67" i="22"/>
  <c r="G66" i="22"/>
  <c r="E66" i="22"/>
  <c r="G65" i="22"/>
  <c r="I65" i="22" s="1"/>
  <c r="E65" i="22"/>
  <c r="G64" i="22"/>
  <c r="E64" i="22"/>
  <c r="G63" i="22"/>
  <c r="I62" i="22" s="1"/>
  <c r="E63" i="22"/>
  <c r="G62" i="22"/>
  <c r="E62" i="22"/>
  <c r="G61" i="22"/>
  <c r="E61" i="22"/>
  <c r="G60" i="22"/>
  <c r="E60" i="22"/>
  <c r="G59" i="22"/>
  <c r="E59" i="22"/>
  <c r="G58" i="22"/>
  <c r="E58" i="22"/>
  <c r="G57" i="22"/>
  <c r="H58" i="22" s="1"/>
  <c r="E57" i="22"/>
  <c r="F57" i="22" s="1"/>
  <c r="G56" i="22"/>
  <c r="I56" i="22" s="1"/>
  <c r="E56" i="22"/>
  <c r="G55" i="22"/>
  <c r="E55" i="22"/>
  <c r="G54" i="22"/>
  <c r="E54" i="22"/>
  <c r="G53" i="22"/>
  <c r="E53" i="22"/>
  <c r="G52" i="22"/>
  <c r="E52" i="22"/>
  <c r="G51" i="22"/>
  <c r="E51" i="22"/>
  <c r="G50" i="22"/>
  <c r="E50" i="22"/>
  <c r="G49" i="22"/>
  <c r="E49" i="22"/>
  <c r="G48" i="22"/>
  <c r="E48" i="22"/>
  <c r="G47" i="22"/>
  <c r="E47" i="22"/>
  <c r="G46" i="22"/>
  <c r="E46" i="22"/>
  <c r="G45" i="22"/>
  <c r="H46" i="22" s="1"/>
  <c r="E45" i="22"/>
  <c r="F45" i="22" s="1"/>
  <c r="G44" i="22"/>
  <c r="I44" i="22" s="1"/>
  <c r="E44" i="22"/>
  <c r="G43" i="22"/>
  <c r="E43" i="22"/>
  <c r="G42" i="22"/>
  <c r="E42" i="22"/>
  <c r="G41" i="22"/>
  <c r="E41" i="22"/>
  <c r="G40" i="22"/>
  <c r="E40" i="22"/>
  <c r="G39" i="22"/>
  <c r="E39" i="22"/>
  <c r="G38" i="22"/>
  <c r="E38" i="22"/>
  <c r="G37" i="22"/>
  <c r="E37" i="22"/>
  <c r="G36" i="22"/>
  <c r="E36" i="22"/>
  <c r="G35" i="22"/>
  <c r="E35" i="22"/>
  <c r="G34" i="22"/>
  <c r="E34" i="22"/>
  <c r="G33" i="22"/>
  <c r="H34" i="22" s="1"/>
  <c r="E33" i="22"/>
  <c r="F33" i="22" s="1"/>
  <c r="G92" i="21"/>
  <c r="I92" i="21" s="1"/>
  <c r="E92" i="21"/>
  <c r="G91" i="21"/>
  <c r="E91" i="21"/>
  <c r="G90" i="21"/>
  <c r="I90" i="21" s="1"/>
  <c r="E90" i="21"/>
  <c r="G89" i="21"/>
  <c r="E89" i="21"/>
  <c r="G88" i="21"/>
  <c r="E88" i="21"/>
  <c r="G87" i="21"/>
  <c r="E87" i="21"/>
  <c r="G86" i="21"/>
  <c r="I86" i="21" s="1"/>
  <c r="E86" i="21"/>
  <c r="G85" i="21"/>
  <c r="E85" i="21"/>
  <c r="G84" i="21"/>
  <c r="E84" i="21"/>
  <c r="G83" i="21"/>
  <c r="E83" i="21"/>
  <c r="G82" i="21"/>
  <c r="I82" i="21" s="1"/>
  <c r="E82" i="21"/>
  <c r="G81" i="21"/>
  <c r="H82" i="21" s="1"/>
  <c r="E81" i="21"/>
  <c r="F81" i="21" s="1"/>
  <c r="G80" i="21"/>
  <c r="I80" i="21" s="1"/>
  <c r="E80" i="21"/>
  <c r="G79" i="21"/>
  <c r="E79" i="21"/>
  <c r="G78" i="21"/>
  <c r="I78" i="21" s="1"/>
  <c r="E78" i="21"/>
  <c r="G77" i="21"/>
  <c r="E77" i="21"/>
  <c r="G76" i="21"/>
  <c r="I76" i="21" s="1"/>
  <c r="E76" i="21"/>
  <c r="G75" i="21"/>
  <c r="E75" i="21"/>
  <c r="G74" i="21"/>
  <c r="E74" i="21"/>
  <c r="G73" i="21"/>
  <c r="E73" i="21"/>
  <c r="G72" i="21"/>
  <c r="E72" i="21"/>
  <c r="G71" i="21"/>
  <c r="E71" i="21"/>
  <c r="G70" i="21"/>
  <c r="H71" i="21" s="1"/>
  <c r="E70" i="21"/>
  <c r="G69" i="21"/>
  <c r="H70" i="21" s="1"/>
  <c r="E69" i="21"/>
  <c r="F69" i="21" s="1"/>
  <c r="G68" i="21"/>
  <c r="I68" i="21" s="1"/>
  <c r="E68" i="21"/>
  <c r="G67" i="21"/>
  <c r="E67" i="21"/>
  <c r="G66" i="21"/>
  <c r="E66" i="21"/>
  <c r="G65" i="21"/>
  <c r="E65" i="21"/>
  <c r="G64" i="21"/>
  <c r="I63" i="21" s="1"/>
  <c r="E64" i="21"/>
  <c r="G63" i="21"/>
  <c r="E63" i="21"/>
  <c r="G62" i="21"/>
  <c r="E62" i="21"/>
  <c r="G61" i="21"/>
  <c r="E61" i="21"/>
  <c r="G60" i="21"/>
  <c r="I60" i="21" s="1"/>
  <c r="E60" i="21"/>
  <c r="G59" i="21"/>
  <c r="E59" i="21"/>
  <c r="G58" i="21"/>
  <c r="E58" i="21"/>
  <c r="G57" i="21"/>
  <c r="H58" i="21" s="1"/>
  <c r="E57" i="21"/>
  <c r="F57" i="21" s="1"/>
  <c r="G56" i="21"/>
  <c r="I56" i="21" s="1"/>
  <c r="E56" i="21"/>
  <c r="G55" i="21"/>
  <c r="E55" i="21"/>
  <c r="G54" i="21"/>
  <c r="E54" i="21"/>
  <c r="G53" i="21"/>
  <c r="E53" i="21"/>
  <c r="G52" i="21"/>
  <c r="E52" i="21"/>
  <c r="G51" i="21"/>
  <c r="E51" i="21"/>
  <c r="G50" i="21"/>
  <c r="E50" i="21"/>
  <c r="G49" i="21"/>
  <c r="E49" i="21"/>
  <c r="G48" i="21"/>
  <c r="E48" i="21"/>
  <c r="G47" i="21"/>
  <c r="E47" i="21"/>
  <c r="G46" i="21"/>
  <c r="E46" i="21"/>
  <c r="G45" i="21"/>
  <c r="H46" i="21" s="1"/>
  <c r="E45" i="21"/>
  <c r="F45" i="21" s="1"/>
  <c r="G44" i="21"/>
  <c r="I44" i="21" s="1"/>
  <c r="E44" i="21"/>
  <c r="G43" i="21"/>
  <c r="E43" i="21"/>
  <c r="G42" i="21"/>
  <c r="E42" i="21"/>
  <c r="G41" i="21"/>
  <c r="E41" i="21"/>
  <c r="G40" i="21"/>
  <c r="E40" i="21"/>
  <c r="G39" i="21"/>
  <c r="E39" i="21"/>
  <c r="G38" i="21"/>
  <c r="G37" i="21"/>
  <c r="E37" i="21"/>
  <c r="G36" i="21"/>
  <c r="E36" i="21"/>
  <c r="G35" i="21"/>
  <c r="E35" i="21"/>
  <c r="H35" i="21"/>
  <c r="E33" i="21"/>
  <c r="F33" i="21" s="1"/>
  <c r="D33" i="21" s="1"/>
  <c r="I54" i="24" l="1"/>
  <c r="I34" i="24"/>
  <c r="I39" i="24"/>
  <c r="I41" i="24"/>
  <c r="I43" i="24"/>
  <c r="F58" i="24"/>
  <c r="I84" i="24"/>
  <c r="I89" i="24"/>
  <c r="I38" i="24"/>
  <c r="I40" i="24"/>
  <c r="I42" i="24"/>
  <c r="F70" i="24"/>
  <c r="F71" i="24" s="1"/>
  <c r="F82" i="24"/>
  <c r="D82" i="24" s="1"/>
  <c r="I50" i="24"/>
  <c r="I91" i="24"/>
  <c r="I88" i="24"/>
  <c r="H47" i="24"/>
  <c r="H48" i="24" s="1"/>
  <c r="H49" i="24" s="1"/>
  <c r="H50" i="24" s="1"/>
  <c r="H51" i="24" s="1"/>
  <c r="H52" i="24" s="1"/>
  <c r="H53" i="24" s="1"/>
  <c r="H54" i="24" s="1"/>
  <c r="H55" i="24" s="1"/>
  <c r="H56" i="24" s="1"/>
  <c r="I61" i="24"/>
  <c r="F58" i="23"/>
  <c r="F70" i="23"/>
  <c r="I49" i="23"/>
  <c r="I60" i="23"/>
  <c r="I64" i="23"/>
  <c r="I66" i="23"/>
  <c r="H83" i="23"/>
  <c r="H84" i="23" s="1"/>
  <c r="H85" i="23" s="1"/>
  <c r="H86" i="23" s="1"/>
  <c r="H87" i="23" s="1"/>
  <c r="H88" i="23" s="1"/>
  <c r="H89" i="23" s="1"/>
  <c r="H90" i="23" s="1"/>
  <c r="H91" i="23" s="1"/>
  <c r="H92" i="23" s="1"/>
  <c r="F46" i="23"/>
  <c r="D46" i="23" s="1"/>
  <c r="D45" i="23"/>
  <c r="I40" i="23"/>
  <c r="I43" i="23"/>
  <c r="I55" i="23"/>
  <c r="H71" i="23"/>
  <c r="H72" i="23" s="1"/>
  <c r="I79" i="23"/>
  <c r="I88" i="23"/>
  <c r="H35" i="23"/>
  <c r="H36" i="23" s="1"/>
  <c r="H37" i="23" s="1"/>
  <c r="H38" i="23" s="1"/>
  <c r="H39" i="23" s="1"/>
  <c r="H40" i="23" s="1"/>
  <c r="H41" i="23" s="1"/>
  <c r="H42" i="23" s="1"/>
  <c r="H43" i="23" s="1"/>
  <c r="H44" i="23" s="1"/>
  <c r="I78" i="23"/>
  <c r="I71" i="23"/>
  <c r="I38" i="22"/>
  <c r="I42" i="22"/>
  <c r="I34" i="22"/>
  <c r="F58" i="22"/>
  <c r="I75" i="22"/>
  <c r="I78" i="22"/>
  <c r="I84" i="22"/>
  <c r="I88" i="22"/>
  <c r="I90" i="22"/>
  <c r="I58" i="22"/>
  <c r="F58" i="21"/>
  <c r="F82" i="21"/>
  <c r="I47" i="21"/>
  <c r="I55" i="21"/>
  <c r="I73" i="21"/>
  <c r="I77" i="21"/>
  <c r="I70" i="21"/>
  <c r="I85" i="21"/>
  <c r="I42" i="21"/>
  <c r="I52" i="21"/>
  <c r="I89" i="21"/>
  <c r="I91" i="21"/>
  <c r="D45" i="21"/>
  <c r="F46" i="21"/>
  <c r="F70" i="21"/>
  <c r="H83" i="21"/>
  <c r="H84" i="21" s="1"/>
  <c r="H85" i="21" s="1"/>
  <c r="H86" i="21" s="1"/>
  <c r="H87" i="21" s="1"/>
  <c r="H88" i="21" s="1"/>
  <c r="H89" i="21" s="1"/>
  <c r="H90" i="21" s="1"/>
  <c r="H91" i="21" s="1"/>
  <c r="H92" i="21" s="1"/>
  <c r="H36" i="21"/>
  <c r="H72" i="21"/>
  <c r="H73" i="21" s="1"/>
  <c r="H74" i="21" s="1"/>
  <c r="H75" i="21" s="1"/>
  <c r="H76" i="21" s="1"/>
  <c r="H77" i="21" s="1"/>
  <c r="H78" i="21" s="1"/>
  <c r="H79" i="21" s="1"/>
  <c r="H80" i="21" s="1"/>
  <c r="I79" i="21"/>
  <c r="I65" i="24"/>
  <c r="I67" i="24"/>
  <c r="I62" i="24"/>
  <c r="I66" i="24"/>
  <c r="H59" i="24"/>
  <c r="H60" i="24" s="1"/>
  <c r="H61" i="24" s="1"/>
  <c r="H62" i="24" s="1"/>
  <c r="H63" i="24" s="1"/>
  <c r="H64" i="24" s="1"/>
  <c r="H65" i="24" s="1"/>
  <c r="H66" i="24" s="1"/>
  <c r="H67" i="24" s="1"/>
  <c r="H68" i="24" s="1"/>
  <c r="I58" i="24"/>
  <c r="I46" i="24"/>
  <c r="I55" i="24"/>
  <c r="I90" i="24"/>
  <c r="H35" i="24"/>
  <c r="H36" i="24" s="1"/>
  <c r="H37" i="24" s="1"/>
  <c r="H38" i="24" s="1"/>
  <c r="H39" i="24" s="1"/>
  <c r="H40" i="24" s="1"/>
  <c r="H41" i="24" s="1"/>
  <c r="H42" i="24" s="1"/>
  <c r="H43" i="24" s="1"/>
  <c r="H44" i="24" s="1"/>
  <c r="I35" i="23"/>
  <c r="I58" i="23"/>
  <c r="J58" i="23" s="1"/>
  <c r="K58" i="23" s="1"/>
  <c r="I77" i="23"/>
  <c r="I86" i="23"/>
  <c r="I37" i="23"/>
  <c r="I46" i="22"/>
  <c r="I61" i="22"/>
  <c r="I49" i="22"/>
  <c r="I50" i="22"/>
  <c r="I53" i="22"/>
  <c r="I54" i="22"/>
  <c r="I43" i="22"/>
  <c r="I70" i="22"/>
  <c r="J70" i="22" s="1"/>
  <c r="L70" i="22" s="1"/>
  <c r="I83" i="22"/>
  <c r="I87" i="22"/>
  <c r="I91" i="22"/>
  <c r="H59" i="22"/>
  <c r="H60" i="22" s="1"/>
  <c r="H61" i="22" s="1"/>
  <c r="H62" i="22" s="1"/>
  <c r="H63" i="22" s="1"/>
  <c r="H64" i="22" s="1"/>
  <c r="H65" i="22" s="1"/>
  <c r="H66" i="22" s="1"/>
  <c r="H67" i="22" s="1"/>
  <c r="H68" i="22" s="1"/>
  <c r="I67" i="22"/>
  <c r="I71" i="22"/>
  <c r="I79" i="22"/>
  <c r="I55" i="22"/>
  <c r="H35" i="22"/>
  <c r="H36" i="22" s="1"/>
  <c r="H47" i="22"/>
  <c r="H48" i="22" s="1"/>
  <c r="H49" i="22" s="1"/>
  <c r="H50" i="22" s="1"/>
  <c r="H51" i="22" s="1"/>
  <c r="H52" i="22" s="1"/>
  <c r="H53" i="22" s="1"/>
  <c r="H54" i="22" s="1"/>
  <c r="H55" i="22" s="1"/>
  <c r="H56" i="22" s="1"/>
  <c r="H71" i="22"/>
  <c r="H72" i="22" s="1"/>
  <c r="H73" i="22" s="1"/>
  <c r="H74" i="22" s="1"/>
  <c r="H75" i="22" s="1"/>
  <c r="H76" i="22" s="1"/>
  <c r="H77" i="22" s="1"/>
  <c r="H78" i="22" s="1"/>
  <c r="H79" i="22" s="1"/>
  <c r="H80" i="22" s="1"/>
  <c r="F34" i="24"/>
  <c r="D33" i="24"/>
  <c r="I70" i="24"/>
  <c r="I74" i="24"/>
  <c r="I78" i="24"/>
  <c r="I37" i="24"/>
  <c r="H83" i="24"/>
  <c r="H84" i="24" s="1"/>
  <c r="H85" i="24" s="1"/>
  <c r="H86" i="24" s="1"/>
  <c r="H87" i="24" s="1"/>
  <c r="H88" i="24" s="1"/>
  <c r="H89" i="24" s="1"/>
  <c r="H90" i="24" s="1"/>
  <c r="H91" i="24" s="1"/>
  <c r="H92" i="24" s="1"/>
  <c r="I71" i="24"/>
  <c r="I75" i="24"/>
  <c r="I79" i="24"/>
  <c r="F83" i="24"/>
  <c r="I72" i="24"/>
  <c r="I76" i="24"/>
  <c r="I35" i="24"/>
  <c r="D45" i="24"/>
  <c r="F46" i="24"/>
  <c r="D58" i="24"/>
  <c r="F59" i="24"/>
  <c r="J58" i="24"/>
  <c r="K58" i="24" s="1"/>
  <c r="I73" i="24"/>
  <c r="I77" i="24"/>
  <c r="H70" i="24"/>
  <c r="I36" i="24"/>
  <c r="I47" i="24"/>
  <c r="I51" i="24"/>
  <c r="I59" i="24"/>
  <c r="I63" i="24"/>
  <c r="I85" i="24"/>
  <c r="I48" i="24"/>
  <c r="I52" i="24"/>
  <c r="I60" i="24"/>
  <c r="I64" i="24"/>
  <c r="I82" i="24"/>
  <c r="J82" i="24" s="1"/>
  <c r="I86" i="24"/>
  <c r="I49" i="24"/>
  <c r="I53" i="24"/>
  <c r="I83" i="24"/>
  <c r="I87" i="24"/>
  <c r="F34" i="23"/>
  <c r="I34" i="23"/>
  <c r="I47" i="23"/>
  <c r="I36" i="23"/>
  <c r="I38" i="23"/>
  <c r="I46" i="23"/>
  <c r="F71" i="23"/>
  <c r="D70" i="23"/>
  <c r="I50" i="23"/>
  <c r="I53" i="23"/>
  <c r="I75" i="23"/>
  <c r="I84" i="23"/>
  <c r="I89" i="23"/>
  <c r="I42" i="23"/>
  <c r="I51" i="23"/>
  <c r="H59" i="23"/>
  <c r="H60" i="23" s="1"/>
  <c r="H61" i="23" s="1"/>
  <c r="H62" i="23" s="1"/>
  <c r="H63" i="23" s="1"/>
  <c r="H64" i="23" s="1"/>
  <c r="H65" i="23" s="1"/>
  <c r="H66" i="23" s="1"/>
  <c r="H67" i="23" s="1"/>
  <c r="H68" i="23" s="1"/>
  <c r="I62" i="23"/>
  <c r="I73" i="23"/>
  <c r="F82" i="23"/>
  <c r="I82" i="23"/>
  <c r="I90" i="23"/>
  <c r="I91" i="23"/>
  <c r="D58" i="23"/>
  <c r="F59" i="23"/>
  <c r="H73" i="23"/>
  <c r="H74" i="23" s="1"/>
  <c r="H75" i="23" s="1"/>
  <c r="H76" i="23" s="1"/>
  <c r="H77" i="23" s="1"/>
  <c r="H78" i="23" s="1"/>
  <c r="H79" i="23" s="1"/>
  <c r="H80" i="23" s="1"/>
  <c r="I41" i="23"/>
  <c r="H47" i="23"/>
  <c r="H48" i="23" s="1"/>
  <c r="H49" i="23" s="1"/>
  <c r="H50" i="23" s="1"/>
  <c r="H51" i="23" s="1"/>
  <c r="H52" i="23" s="1"/>
  <c r="H53" i="23" s="1"/>
  <c r="H54" i="23" s="1"/>
  <c r="H55" i="23" s="1"/>
  <c r="H56" i="23" s="1"/>
  <c r="I54" i="23"/>
  <c r="I61" i="23"/>
  <c r="I65" i="23"/>
  <c r="I67" i="23"/>
  <c r="I72" i="23"/>
  <c r="I76" i="23"/>
  <c r="I85" i="23"/>
  <c r="I39" i="23"/>
  <c r="I48" i="23"/>
  <c r="I52" i="23"/>
  <c r="I59" i="23"/>
  <c r="I63" i="23"/>
  <c r="I70" i="23"/>
  <c r="J70" i="23" s="1"/>
  <c r="I74" i="23"/>
  <c r="I83" i="23"/>
  <c r="I87" i="23"/>
  <c r="F34" i="22"/>
  <c r="D33" i="22"/>
  <c r="H37" i="22"/>
  <c r="H38" i="22" s="1"/>
  <c r="H39" i="22" s="1"/>
  <c r="H40" i="22" s="1"/>
  <c r="H41" i="22" s="1"/>
  <c r="H42" i="22" s="1"/>
  <c r="H43" i="22" s="1"/>
  <c r="H44" i="22" s="1"/>
  <c r="I37" i="22"/>
  <c r="D70" i="22"/>
  <c r="F71" i="22"/>
  <c r="D82" i="22"/>
  <c r="F83" i="22"/>
  <c r="I40" i="22"/>
  <c r="D45" i="22"/>
  <c r="F46" i="22"/>
  <c r="I35" i="22"/>
  <c r="I39" i="22"/>
  <c r="I36" i="22"/>
  <c r="I41" i="22"/>
  <c r="D58" i="22"/>
  <c r="F59" i="22"/>
  <c r="H83" i="22"/>
  <c r="H84" i="22" s="1"/>
  <c r="H85" i="22" s="1"/>
  <c r="H86" i="22" s="1"/>
  <c r="H87" i="22" s="1"/>
  <c r="H88" i="22" s="1"/>
  <c r="H89" i="22" s="1"/>
  <c r="H90" i="22" s="1"/>
  <c r="H91" i="22" s="1"/>
  <c r="H92" i="22" s="1"/>
  <c r="I47" i="22"/>
  <c r="I51" i="22"/>
  <c r="I59" i="22"/>
  <c r="I63" i="22"/>
  <c r="I72" i="22"/>
  <c r="I76" i="22"/>
  <c r="I85" i="22"/>
  <c r="I89" i="22"/>
  <c r="I48" i="22"/>
  <c r="I52" i="22"/>
  <c r="I60" i="22"/>
  <c r="I64" i="22"/>
  <c r="I73" i="22"/>
  <c r="I77" i="22"/>
  <c r="I82" i="22"/>
  <c r="J82" i="22" s="1"/>
  <c r="I86" i="22"/>
  <c r="D58" i="21"/>
  <c r="F59" i="21"/>
  <c r="F34" i="21"/>
  <c r="D34" i="21" s="1"/>
  <c r="H37" i="21"/>
  <c r="H38" i="21" s="1"/>
  <c r="H39" i="21" s="1"/>
  <c r="H40" i="21" s="1"/>
  <c r="H41" i="21" s="1"/>
  <c r="H42" i="21" s="1"/>
  <c r="H43" i="21" s="1"/>
  <c r="H44" i="21" s="1"/>
  <c r="I67" i="21"/>
  <c r="D70" i="21"/>
  <c r="F71" i="21"/>
  <c r="J70" i="21"/>
  <c r="K70" i="21" s="1"/>
  <c r="I72" i="21"/>
  <c r="I37" i="21"/>
  <c r="I50" i="21"/>
  <c r="I53" i="21"/>
  <c r="H59" i="21"/>
  <c r="H60" i="21" s="1"/>
  <c r="H61" i="21" s="1"/>
  <c r="H62" i="21" s="1"/>
  <c r="H63" i="21" s="1"/>
  <c r="H64" i="21" s="1"/>
  <c r="H65" i="21" s="1"/>
  <c r="H66" i="21" s="1"/>
  <c r="H67" i="21" s="1"/>
  <c r="H68" i="21" s="1"/>
  <c r="I58" i="21"/>
  <c r="J58" i="21" s="1"/>
  <c r="I61" i="21"/>
  <c r="J82" i="21"/>
  <c r="L82" i="21" s="1"/>
  <c r="D82" i="21"/>
  <c r="F83" i="21"/>
  <c r="I34" i="21"/>
  <c r="I38" i="21"/>
  <c r="D46" i="21"/>
  <c r="I35" i="21"/>
  <c r="I39" i="21"/>
  <c r="H47" i="21"/>
  <c r="H48" i="21" s="1"/>
  <c r="H49" i="21" s="1"/>
  <c r="H50" i="21" s="1"/>
  <c r="H51" i="21" s="1"/>
  <c r="H52" i="21" s="1"/>
  <c r="H53" i="21" s="1"/>
  <c r="H54" i="21" s="1"/>
  <c r="H55" i="21" s="1"/>
  <c r="H56" i="21" s="1"/>
  <c r="I46" i="21"/>
  <c r="J46" i="21" s="1"/>
  <c r="K46" i="21" s="1"/>
  <c r="I48" i="21"/>
  <c r="I54" i="21"/>
  <c r="I59" i="21"/>
  <c r="I62" i="21"/>
  <c r="I64" i="21"/>
  <c r="I66" i="21"/>
  <c r="I43" i="21"/>
  <c r="I41" i="21"/>
  <c r="F47" i="21"/>
  <c r="I49" i="21"/>
  <c r="I51" i="21"/>
  <c r="I36" i="21"/>
  <c r="I40" i="21"/>
  <c r="I65" i="21"/>
  <c r="I71" i="21"/>
  <c r="I75" i="21"/>
  <c r="I84" i="21"/>
  <c r="I88" i="21"/>
  <c r="I74" i="21"/>
  <c r="I83" i="21"/>
  <c r="I87" i="21"/>
  <c r="D70" i="24" l="1"/>
  <c r="J46" i="23"/>
  <c r="F47" i="23"/>
  <c r="D47" i="23" s="1"/>
  <c r="J58" i="22"/>
  <c r="K58" i="22" s="1"/>
  <c r="K82" i="21"/>
  <c r="J70" i="24"/>
  <c r="L70" i="24" s="1"/>
  <c r="K70" i="22"/>
  <c r="K82" i="24"/>
  <c r="L82" i="24"/>
  <c r="D46" i="24"/>
  <c r="F47" i="24"/>
  <c r="J46" i="24"/>
  <c r="L46" i="24" s="1"/>
  <c r="H71" i="24"/>
  <c r="H72" i="24" s="1"/>
  <c r="H73" i="24" s="1"/>
  <c r="H74" i="24" s="1"/>
  <c r="H75" i="24" s="1"/>
  <c r="H76" i="24" s="1"/>
  <c r="H77" i="24" s="1"/>
  <c r="H78" i="24" s="1"/>
  <c r="H79" i="24" s="1"/>
  <c r="H80" i="24" s="1"/>
  <c r="F35" i="24"/>
  <c r="J34" i="24"/>
  <c r="L34" i="24" s="1"/>
  <c r="D34" i="24"/>
  <c r="L58" i="24"/>
  <c r="F60" i="24"/>
  <c r="J59" i="24"/>
  <c r="K59" i="24" s="1"/>
  <c r="D59" i="24"/>
  <c r="D83" i="24"/>
  <c r="F84" i="24"/>
  <c r="J83" i="24"/>
  <c r="L83" i="24" s="1"/>
  <c r="D71" i="24"/>
  <c r="F72" i="24"/>
  <c r="L70" i="23"/>
  <c r="K70" i="23"/>
  <c r="D34" i="23"/>
  <c r="F35" i="23"/>
  <c r="F60" i="23"/>
  <c r="J59" i="23"/>
  <c r="K59" i="23" s="1"/>
  <c r="D59" i="23"/>
  <c r="J82" i="23"/>
  <c r="K82" i="23" s="1"/>
  <c r="D82" i="23"/>
  <c r="F83" i="23"/>
  <c r="L58" i="23"/>
  <c r="D71" i="23"/>
  <c r="J71" i="23"/>
  <c r="L71" i="23" s="1"/>
  <c r="F72" i="23"/>
  <c r="K82" i="22"/>
  <c r="L82" i="22"/>
  <c r="D71" i="22"/>
  <c r="F72" i="22"/>
  <c r="J71" i="22"/>
  <c r="K71" i="22" s="1"/>
  <c r="D46" i="22"/>
  <c r="F47" i="22"/>
  <c r="J46" i="22"/>
  <c r="L46" i="22" s="1"/>
  <c r="D83" i="22"/>
  <c r="F84" i="22"/>
  <c r="J83" i="22"/>
  <c r="K83" i="22" s="1"/>
  <c r="F60" i="22"/>
  <c r="J59" i="22"/>
  <c r="K59" i="22" s="1"/>
  <c r="D59" i="22"/>
  <c r="F35" i="22"/>
  <c r="J34" i="22"/>
  <c r="K34" i="22" s="1"/>
  <c r="D34" i="22"/>
  <c r="L58" i="21"/>
  <c r="K58" i="21"/>
  <c r="L70" i="21"/>
  <c r="F35" i="21"/>
  <c r="D35" i="21" s="1"/>
  <c r="J34" i="21"/>
  <c r="K34" i="21" s="1"/>
  <c r="D47" i="21"/>
  <c r="F48" i="21"/>
  <c r="J47" i="21"/>
  <c r="L47" i="21" s="1"/>
  <c r="F72" i="21"/>
  <c r="J71" i="21"/>
  <c r="L71" i="21" s="1"/>
  <c r="D71" i="21"/>
  <c r="L46" i="21"/>
  <c r="D83" i="21"/>
  <c r="F84" i="21"/>
  <c r="J83" i="21"/>
  <c r="L83" i="21" s="1"/>
  <c r="D59" i="21"/>
  <c r="F60" i="21"/>
  <c r="J59" i="21"/>
  <c r="L59" i="21" s="1"/>
  <c r="F48" i="23" l="1"/>
  <c r="J48" i="23" s="1"/>
  <c r="K48" i="23" s="1"/>
  <c r="J47" i="23"/>
  <c r="L47" i="23" s="1"/>
  <c r="L58" i="22"/>
  <c r="L59" i="22"/>
  <c r="K47" i="21"/>
  <c r="K59" i="21"/>
  <c r="J71" i="24"/>
  <c r="L71" i="24" s="1"/>
  <c r="K70" i="24"/>
  <c r="K83" i="24"/>
  <c r="L82" i="23"/>
  <c r="L59" i="23"/>
  <c r="K71" i="23"/>
  <c r="K46" i="22"/>
  <c r="J60" i="24"/>
  <c r="L60" i="24" s="1"/>
  <c r="D60" i="24"/>
  <c r="F61" i="24"/>
  <c r="D84" i="24"/>
  <c r="F85" i="24"/>
  <c r="J84" i="24"/>
  <c r="L84" i="24" s="1"/>
  <c r="L59" i="24"/>
  <c r="K34" i="24"/>
  <c r="K46" i="24"/>
  <c r="J35" i="24"/>
  <c r="L35" i="24" s="1"/>
  <c r="D35" i="24"/>
  <c r="F36" i="24"/>
  <c r="F48" i="24"/>
  <c r="J47" i="24"/>
  <c r="L47" i="24" s="1"/>
  <c r="D47" i="24"/>
  <c r="D72" i="24"/>
  <c r="F73" i="24"/>
  <c r="J72" i="24"/>
  <c r="L72" i="24" s="1"/>
  <c r="F49" i="23"/>
  <c r="F73" i="23"/>
  <c r="J72" i="23"/>
  <c r="K72" i="23" s="1"/>
  <c r="D72" i="23"/>
  <c r="F36" i="23"/>
  <c r="D35" i="23"/>
  <c r="J35" i="23"/>
  <c r="L35" i="23" s="1"/>
  <c r="F84" i="23"/>
  <c r="D83" i="23"/>
  <c r="J83" i="23"/>
  <c r="K83" i="23" s="1"/>
  <c r="D60" i="23"/>
  <c r="J60" i="23"/>
  <c r="L60" i="23" s="1"/>
  <c r="F61" i="23"/>
  <c r="J35" i="22"/>
  <c r="L35" i="22" s="1"/>
  <c r="D35" i="22"/>
  <c r="F36" i="22"/>
  <c r="D84" i="22"/>
  <c r="F85" i="22"/>
  <c r="J84" i="22"/>
  <c r="K84" i="22" s="1"/>
  <c r="L34" i="22"/>
  <c r="J60" i="22"/>
  <c r="L60" i="22" s="1"/>
  <c r="D60" i="22"/>
  <c r="F61" i="22"/>
  <c r="F48" i="22"/>
  <c r="J47" i="22"/>
  <c r="K47" i="22" s="1"/>
  <c r="D47" i="22"/>
  <c r="L71" i="22"/>
  <c r="L83" i="22"/>
  <c r="F73" i="22"/>
  <c r="J72" i="22"/>
  <c r="K72" i="22" s="1"/>
  <c r="D72" i="22"/>
  <c r="J35" i="21"/>
  <c r="L35" i="21" s="1"/>
  <c r="F36" i="21"/>
  <c r="F61" i="21"/>
  <c r="J60" i="21"/>
  <c r="L60" i="21" s="1"/>
  <c r="D60" i="21"/>
  <c r="K83" i="21"/>
  <c r="K71" i="21"/>
  <c r="F49" i="21"/>
  <c r="J48" i="21"/>
  <c r="K48" i="21" s="1"/>
  <c r="D48" i="21"/>
  <c r="L34" i="21"/>
  <c r="D84" i="21"/>
  <c r="F85" i="21"/>
  <c r="J84" i="21"/>
  <c r="K84" i="21" s="1"/>
  <c r="J72" i="21"/>
  <c r="L72" i="21" s="1"/>
  <c r="D72" i="21"/>
  <c r="F73" i="21"/>
  <c r="K35" i="24" l="1"/>
  <c r="D48" i="23"/>
  <c r="L48" i="23"/>
  <c r="K47" i="23"/>
  <c r="K60" i="23"/>
  <c r="K60" i="22"/>
  <c r="K35" i="22"/>
  <c r="F37" i="21"/>
  <c r="D36" i="21"/>
  <c r="L48" i="21"/>
  <c r="K35" i="21"/>
  <c r="K71" i="24"/>
  <c r="K60" i="24"/>
  <c r="K84" i="24"/>
  <c r="K72" i="24"/>
  <c r="K35" i="23"/>
  <c r="L72" i="23"/>
  <c r="L47" i="22"/>
  <c r="K47" i="24"/>
  <c r="F86" i="24"/>
  <c r="J85" i="24"/>
  <c r="L85" i="24" s="1"/>
  <c r="D85" i="24"/>
  <c r="D61" i="24"/>
  <c r="F62" i="24"/>
  <c r="J61" i="24"/>
  <c r="K61" i="24" s="1"/>
  <c r="J48" i="24"/>
  <c r="L48" i="24" s="1"/>
  <c r="D48" i="24"/>
  <c r="F49" i="24"/>
  <c r="D73" i="24"/>
  <c r="F74" i="24"/>
  <c r="J73" i="24"/>
  <c r="L73" i="24" s="1"/>
  <c r="D36" i="24"/>
  <c r="F37" i="24"/>
  <c r="J36" i="24"/>
  <c r="K36" i="24" s="1"/>
  <c r="D84" i="23"/>
  <c r="J84" i="23"/>
  <c r="L84" i="23" s="1"/>
  <c r="F85" i="23"/>
  <c r="L83" i="23"/>
  <c r="D36" i="23"/>
  <c r="J36" i="23"/>
  <c r="K36" i="23" s="1"/>
  <c r="F37" i="23"/>
  <c r="J73" i="23"/>
  <c r="L73" i="23" s="1"/>
  <c r="D73" i="23"/>
  <c r="F74" i="23"/>
  <c r="F62" i="23"/>
  <c r="J61" i="23"/>
  <c r="L61" i="23" s="1"/>
  <c r="D61" i="23"/>
  <c r="D49" i="23"/>
  <c r="J49" i="23"/>
  <c r="K49" i="23" s="1"/>
  <c r="F50" i="23"/>
  <c r="J73" i="22"/>
  <c r="L73" i="22" s="1"/>
  <c r="D73" i="22"/>
  <c r="F74" i="22"/>
  <c r="F86" i="22"/>
  <c r="J85" i="22"/>
  <c r="L85" i="22" s="1"/>
  <c r="D85" i="22"/>
  <c r="D36" i="22"/>
  <c r="F37" i="22"/>
  <c r="J36" i="22"/>
  <c r="K36" i="22" s="1"/>
  <c r="L72" i="22"/>
  <c r="D61" i="22"/>
  <c r="F62" i="22"/>
  <c r="J61" i="22"/>
  <c r="L61" i="22" s="1"/>
  <c r="L84" i="22"/>
  <c r="J48" i="22"/>
  <c r="K48" i="22" s="1"/>
  <c r="D48" i="22"/>
  <c r="F49" i="22"/>
  <c r="L84" i="21"/>
  <c r="K60" i="21"/>
  <c r="D73" i="21"/>
  <c r="F74" i="21"/>
  <c r="J73" i="21"/>
  <c r="L73" i="21" s="1"/>
  <c r="J36" i="21"/>
  <c r="K36" i="21" s="1"/>
  <c r="K72" i="21"/>
  <c r="J61" i="21"/>
  <c r="L61" i="21" s="1"/>
  <c r="D61" i="21"/>
  <c r="F62" i="21"/>
  <c r="F86" i="21"/>
  <c r="J85" i="21"/>
  <c r="L85" i="21" s="1"/>
  <c r="D85" i="21"/>
  <c r="J49" i="21"/>
  <c r="L49" i="21" s="1"/>
  <c r="F50" i="21"/>
  <c r="D49" i="21"/>
  <c r="D37" i="21" l="1"/>
  <c r="F38" i="21"/>
  <c r="K85" i="21"/>
  <c r="K61" i="21"/>
  <c r="K73" i="21"/>
  <c r="K73" i="24"/>
  <c r="K85" i="24"/>
  <c r="K48" i="24"/>
  <c r="L36" i="23"/>
  <c r="K84" i="23"/>
  <c r="K61" i="22"/>
  <c r="K73" i="22"/>
  <c r="L48" i="22"/>
  <c r="D37" i="24"/>
  <c r="F38" i="24"/>
  <c r="J37" i="24"/>
  <c r="L37" i="24" s="1"/>
  <c r="F75" i="24"/>
  <c r="J74" i="24"/>
  <c r="L74" i="24" s="1"/>
  <c r="D74" i="24"/>
  <c r="D49" i="24"/>
  <c r="F50" i="24"/>
  <c r="J49" i="24"/>
  <c r="K49" i="24" s="1"/>
  <c r="L61" i="24"/>
  <c r="L36" i="24"/>
  <c r="J86" i="24"/>
  <c r="L86" i="24" s="1"/>
  <c r="D86" i="24"/>
  <c r="F87" i="24"/>
  <c r="D62" i="24"/>
  <c r="F63" i="24"/>
  <c r="J62" i="24"/>
  <c r="K62" i="24" s="1"/>
  <c r="F75" i="23"/>
  <c r="D74" i="23"/>
  <c r="J74" i="23"/>
  <c r="K74" i="23" s="1"/>
  <c r="F51" i="23"/>
  <c r="J50" i="23"/>
  <c r="L50" i="23" s="1"/>
  <c r="D50" i="23"/>
  <c r="L49" i="23"/>
  <c r="K61" i="23"/>
  <c r="K73" i="23"/>
  <c r="F38" i="23"/>
  <c r="D37" i="23"/>
  <c r="J37" i="23"/>
  <c r="L37" i="23" s="1"/>
  <c r="J62" i="23"/>
  <c r="K62" i="23" s="1"/>
  <c r="D62" i="23"/>
  <c r="F63" i="23"/>
  <c r="F86" i="23"/>
  <c r="J85" i="23"/>
  <c r="K85" i="23" s="1"/>
  <c r="D85" i="23"/>
  <c r="D74" i="22"/>
  <c r="F75" i="22"/>
  <c r="J74" i="22"/>
  <c r="L74" i="22" s="1"/>
  <c r="L36" i="22"/>
  <c r="D62" i="22"/>
  <c r="F63" i="22"/>
  <c r="J62" i="22"/>
  <c r="K62" i="22" s="1"/>
  <c r="D49" i="22"/>
  <c r="F50" i="22"/>
  <c r="J49" i="22"/>
  <c r="L49" i="22" s="1"/>
  <c r="J86" i="22"/>
  <c r="L86" i="22" s="1"/>
  <c r="D86" i="22"/>
  <c r="F87" i="22"/>
  <c r="K85" i="22"/>
  <c r="D37" i="22"/>
  <c r="F38" i="22"/>
  <c r="J37" i="22"/>
  <c r="K37" i="22" s="1"/>
  <c r="L36" i="21"/>
  <c r="K49" i="21"/>
  <c r="J86" i="21"/>
  <c r="L86" i="21" s="1"/>
  <c r="D86" i="21"/>
  <c r="F87" i="21"/>
  <c r="D62" i="21"/>
  <c r="J62" i="21"/>
  <c r="L62" i="21" s="1"/>
  <c r="F63" i="21"/>
  <c r="J37" i="21"/>
  <c r="L37" i="21" s="1"/>
  <c r="D50" i="21"/>
  <c r="J50" i="21"/>
  <c r="K50" i="21" s="1"/>
  <c r="F51" i="21"/>
  <c r="D74" i="21"/>
  <c r="F75" i="21"/>
  <c r="J74" i="21"/>
  <c r="L74" i="21" s="1"/>
  <c r="K86" i="24" l="1"/>
  <c r="K37" i="23"/>
  <c r="K74" i="21"/>
  <c r="K86" i="21"/>
  <c r="K62" i="21"/>
  <c r="K37" i="21"/>
  <c r="L85" i="23"/>
  <c r="L74" i="23"/>
  <c r="L62" i="23"/>
  <c r="K49" i="22"/>
  <c r="K74" i="22"/>
  <c r="K86" i="22"/>
  <c r="K37" i="24"/>
  <c r="L62" i="24"/>
  <c r="L49" i="24"/>
  <c r="K74" i="24"/>
  <c r="L38" i="24"/>
  <c r="F39" i="24"/>
  <c r="K38" i="24"/>
  <c r="D38" i="24"/>
  <c r="J75" i="24"/>
  <c r="L75" i="24" s="1"/>
  <c r="D75" i="24"/>
  <c r="F76" i="24"/>
  <c r="F64" i="24"/>
  <c r="J63" i="24"/>
  <c r="K63" i="24" s="1"/>
  <c r="D63" i="24"/>
  <c r="D87" i="24"/>
  <c r="F88" i="24"/>
  <c r="J87" i="24"/>
  <c r="K87" i="24" s="1"/>
  <c r="D50" i="24"/>
  <c r="F51" i="24"/>
  <c r="J50" i="24"/>
  <c r="K50" i="24" s="1"/>
  <c r="F64" i="23"/>
  <c r="D63" i="23"/>
  <c r="J63" i="23"/>
  <c r="K63" i="23" s="1"/>
  <c r="K50" i="23"/>
  <c r="J38" i="23"/>
  <c r="K38" i="23" s="1"/>
  <c r="D38" i="23"/>
  <c r="F39" i="23"/>
  <c r="J51" i="23"/>
  <c r="L51" i="23" s="1"/>
  <c r="D51" i="23"/>
  <c r="F52" i="23"/>
  <c r="J86" i="23"/>
  <c r="L86" i="23" s="1"/>
  <c r="D86" i="23"/>
  <c r="F87" i="23"/>
  <c r="D75" i="23"/>
  <c r="J75" i="23"/>
  <c r="K75" i="23" s="1"/>
  <c r="F76" i="23"/>
  <c r="D87" i="22"/>
  <c r="F88" i="22"/>
  <c r="J87" i="22"/>
  <c r="L87" i="22" s="1"/>
  <c r="L37" i="22"/>
  <c r="L62" i="22"/>
  <c r="D75" i="22"/>
  <c r="F76" i="22"/>
  <c r="J75" i="22"/>
  <c r="K75" i="22" s="1"/>
  <c r="D50" i="22"/>
  <c r="F51" i="22"/>
  <c r="J50" i="22"/>
  <c r="L50" i="22" s="1"/>
  <c r="F39" i="22"/>
  <c r="J38" i="22"/>
  <c r="L38" i="22" s="1"/>
  <c r="D38" i="22"/>
  <c r="F64" i="22"/>
  <c r="J63" i="22"/>
  <c r="L63" i="22" s="1"/>
  <c r="D63" i="22"/>
  <c r="F39" i="21"/>
  <c r="J38" i="21"/>
  <c r="K38" i="21" s="1"/>
  <c r="D38" i="21"/>
  <c r="D63" i="21"/>
  <c r="F64" i="21"/>
  <c r="J63" i="21"/>
  <c r="L63" i="21" s="1"/>
  <c r="D51" i="21"/>
  <c r="F52" i="21"/>
  <c r="J51" i="21"/>
  <c r="K51" i="21" s="1"/>
  <c r="L50" i="21"/>
  <c r="D87" i="21"/>
  <c r="F88" i="21"/>
  <c r="J87" i="21"/>
  <c r="L87" i="21" s="1"/>
  <c r="D75" i="21"/>
  <c r="F76" i="21"/>
  <c r="J75" i="21"/>
  <c r="L75" i="21" s="1"/>
  <c r="K86" i="23" l="1"/>
  <c r="K75" i="21"/>
  <c r="K87" i="21"/>
  <c r="K63" i="21"/>
  <c r="L38" i="21"/>
  <c r="K75" i="24"/>
  <c r="L63" i="24"/>
  <c r="L63" i="23"/>
  <c r="K87" i="22"/>
  <c r="K63" i="22"/>
  <c r="K50" i="22"/>
  <c r="L50" i="24"/>
  <c r="D76" i="24"/>
  <c r="F77" i="24"/>
  <c r="J76" i="24"/>
  <c r="K76" i="24" s="1"/>
  <c r="L87" i="24"/>
  <c r="F52" i="24"/>
  <c r="J51" i="24"/>
  <c r="K51" i="24" s="1"/>
  <c r="D51" i="24"/>
  <c r="J64" i="24"/>
  <c r="L64" i="24" s="1"/>
  <c r="D64" i="24"/>
  <c r="F65" i="24"/>
  <c r="L39" i="24"/>
  <c r="F40" i="24"/>
  <c r="K39" i="24"/>
  <c r="D39" i="24"/>
  <c r="D88" i="24"/>
  <c r="F89" i="24"/>
  <c r="J88" i="24"/>
  <c r="K88" i="24" s="1"/>
  <c r="F53" i="23"/>
  <c r="D52" i="23"/>
  <c r="J52" i="23"/>
  <c r="K52" i="23" s="1"/>
  <c r="F77" i="23"/>
  <c r="J76" i="23"/>
  <c r="L76" i="23" s="1"/>
  <c r="D76" i="23"/>
  <c r="L75" i="23"/>
  <c r="F40" i="23"/>
  <c r="D39" i="23"/>
  <c r="J39" i="23"/>
  <c r="K39" i="23" s="1"/>
  <c r="F88" i="23"/>
  <c r="J87" i="23"/>
  <c r="K87" i="23" s="1"/>
  <c r="D87" i="23"/>
  <c r="K51" i="23"/>
  <c r="L38" i="23"/>
  <c r="D64" i="23"/>
  <c r="J64" i="23"/>
  <c r="K64" i="23" s="1"/>
  <c r="F65" i="23"/>
  <c r="L75" i="22"/>
  <c r="J64" i="22"/>
  <c r="L64" i="22" s="1"/>
  <c r="D64" i="22"/>
  <c r="F65" i="22"/>
  <c r="K38" i="22"/>
  <c r="F52" i="22"/>
  <c r="J51" i="22"/>
  <c r="K51" i="22" s="1"/>
  <c r="D51" i="22"/>
  <c r="D88" i="22"/>
  <c r="F89" i="22"/>
  <c r="J88" i="22"/>
  <c r="L88" i="22" s="1"/>
  <c r="F77" i="22"/>
  <c r="J76" i="22"/>
  <c r="L76" i="22" s="1"/>
  <c r="D76" i="22"/>
  <c r="J39" i="22"/>
  <c r="K39" i="22" s="1"/>
  <c r="D39" i="22"/>
  <c r="F40" i="22"/>
  <c r="F77" i="21"/>
  <c r="J76" i="21"/>
  <c r="K76" i="21" s="1"/>
  <c r="D76" i="21"/>
  <c r="F65" i="21"/>
  <c r="J64" i="21"/>
  <c r="L64" i="21" s="1"/>
  <c r="D64" i="21"/>
  <c r="D88" i="21"/>
  <c r="F89" i="21"/>
  <c r="J88" i="21"/>
  <c r="K88" i="21" s="1"/>
  <c r="L51" i="21"/>
  <c r="F53" i="21"/>
  <c r="J52" i="21"/>
  <c r="K52" i="21" s="1"/>
  <c r="D52" i="21"/>
  <c r="J39" i="21"/>
  <c r="K39" i="21" s="1"/>
  <c r="D39" i="21"/>
  <c r="F40" i="21"/>
  <c r="L52" i="23" l="1"/>
  <c r="K88" i="22"/>
  <c r="L39" i="21"/>
  <c r="L52" i="21"/>
  <c r="L76" i="21"/>
  <c r="K64" i="24"/>
  <c r="L51" i="24"/>
  <c r="L64" i="23"/>
  <c r="K64" i="22"/>
  <c r="L39" i="22"/>
  <c r="L51" i="22"/>
  <c r="J52" i="24"/>
  <c r="L52" i="24" s="1"/>
  <c r="D52" i="24"/>
  <c r="F53" i="24"/>
  <c r="L40" i="24"/>
  <c r="F41" i="24"/>
  <c r="K40" i="24"/>
  <c r="D40" i="24"/>
  <c r="L88" i="24"/>
  <c r="L76" i="24"/>
  <c r="F90" i="24"/>
  <c r="J89" i="24"/>
  <c r="L89" i="24" s="1"/>
  <c r="D89" i="24"/>
  <c r="D65" i="24"/>
  <c r="F66" i="24"/>
  <c r="J65" i="24"/>
  <c r="L65" i="24" s="1"/>
  <c r="D77" i="24"/>
  <c r="F78" i="24"/>
  <c r="J77" i="24"/>
  <c r="L77" i="24" s="1"/>
  <c r="L87" i="23"/>
  <c r="L39" i="23"/>
  <c r="F66" i="23"/>
  <c r="J65" i="23"/>
  <c r="K65" i="23" s="1"/>
  <c r="D65" i="23"/>
  <c r="D40" i="23"/>
  <c r="J40" i="23"/>
  <c r="L40" i="23" s="1"/>
  <c r="F41" i="23"/>
  <c r="K76" i="23"/>
  <c r="J77" i="23"/>
  <c r="K77" i="23" s="1"/>
  <c r="D77" i="23"/>
  <c r="F78" i="23"/>
  <c r="D88" i="23"/>
  <c r="J88" i="23"/>
  <c r="K88" i="23" s="1"/>
  <c r="F89" i="23"/>
  <c r="D53" i="23"/>
  <c r="J53" i="23"/>
  <c r="L53" i="23" s="1"/>
  <c r="F54" i="23"/>
  <c r="K76" i="22"/>
  <c r="F90" i="22"/>
  <c r="J89" i="22"/>
  <c r="L89" i="22" s="1"/>
  <c r="D89" i="22"/>
  <c r="J52" i="22"/>
  <c r="L52" i="22" s="1"/>
  <c r="D52" i="22"/>
  <c r="F53" i="22"/>
  <c r="J40" i="22"/>
  <c r="K40" i="22" s="1"/>
  <c r="F41" i="22"/>
  <c r="D40" i="22"/>
  <c r="J77" i="22"/>
  <c r="L77" i="22" s="1"/>
  <c r="D77" i="22"/>
  <c r="F78" i="22"/>
  <c r="D65" i="22"/>
  <c r="F66" i="22"/>
  <c r="J65" i="22"/>
  <c r="K65" i="22" s="1"/>
  <c r="F66" i="21"/>
  <c r="J65" i="21"/>
  <c r="K65" i="21" s="1"/>
  <c r="D65" i="21"/>
  <c r="L88" i="21"/>
  <c r="K64" i="21"/>
  <c r="D40" i="21"/>
  <c r="K40" i="21"/>
  <c r="L40" i="21"/>
  <c r="F41" i="21"/>
  <c r="J53" i="21"/>
  <c r="L53" i="21" s="1"/>
  <c r="D53" i="21"/>
  <c r="F54" i="21"/>
  <c r="F90" i="21"/>
  <c r="J89" i="21"/>
  <c r="K89" i="21" s="1"/>
  <c r="D89" i="21"/>
  <c r="J77" i="21"/>
  <c r="K77" i="21" s="1"/>
  <c r="D77" i="21"/>
  <c r="F78" i="21"/>
  <c r="K53" i="23" l="1"/>
  <c r="L88" i="23"/>
  <c r="L77" i="21"/>
  <c r="L65" i="21"/>
  <c r="L89" i="21"/>
  <c r="K77" i="24"/>
  <c r="K89" i="24"/>
  <c r="K52" i="24"/>
  <c r="L77" i="23"/>
  <c r="K40" i="23"/>
  <c r="L65" i="23"/>
  <c r="K77" i="22"/>
  <c r="L40" i="22"/>
  <c r="K52" i="22"/>
  <c r="F79" i="24"/>
  <c r="J78" i="24"/>
  <c r="K78" i="24" s="1"/>
  <c r="D78" i="24"/>
  <c r="K65" i="24"/>
  <c r="F91" i="24"/>
  <c r="K90" i="24"/>
  <c r="D90" i="24"/>
  <c r="L90" i="24"/>
  <c r="D53" i="24"/>
  <c r="F54" i="24"/>
  <c r="J53" i="24"/>
  <c r="K53" i="24" s="1"/>
  <c r="D66" i="24"/>
  <c r="L66" i="24"/>
  <c r="K66" i="24"/>
  <c r="F67" i="24"/>
  <c r="L41" i="24"/>
  <c r="F42" i="24"/>
  <c r="K41" i="24"/>
  <c r="D41" i="24"/>
  <c r="K66" i="23"/>
  <c r="D66" i="23"/>
  <c r="F67" i="23"/>
  <c r="L66" i="23"/>
  <c r="F55" i="23"/>
  <c r="J54" i="23"/>
  <c r="K54" i="23" s="1"/>
  <c r="D54" i="23"/>
  <c r="F42" i="23"/>
  <c r="J41" i="23"/>
  <c r="L41" i="23" s="1"/>
  <c r="D41" i="23"/>
  <c r="F90" i="23"/>
  <c r="J89" i="23"/>
  <c r="K89" i="23" s="1"/>
  <c r="D89" i="23"/>
  <c r="L78" i="23"/>
  <c r="K78" i="23"/>
  <c r="F79" i="23"/>
  <c r="D78" i="23"/>
  <c r="D66" i="22"/>
  <c r="F67" i="22"/>
  <c r="J66" i="22"/>
  <c r="L66" i="22" s="1"/>
  <c r="D78" i="22"/>
  <c r="L78" i="22"/>
  <c r="F79" i="22"/>
  <c r="K78" i="22"/>
  <c r="K89" i="22"/>
  <c r="L65" i="22"/>
  <c r="D41" i="22"/>
  <c r="F42" i="22"/>
  <c r="J41" i="22"/>
  <c r="K41" i="22" s="1"/>
  <c r="D53" i="22"/>
  <c r="F54" i="22"/>
  <c r="J53" i="22"/>
  <c r="L53" i="22" s="1"/>
  <c r="F91" i="22"/>
  <c r="K90" i="22"/>
  <c r="D90" i="22"/>
  <c r="L90" i="22"/>
  <c r="D54" i="21"/>
  <c r="J54" i="21"/>
  <c r="L54" i="21" s="1"/>
  <c r="F55" i="21"/>
  <c r="K41" i="21"/>
  <c r="F42" i="21"/>
  <c r="D41" i="21"/>
  <c r="L41" i="21"/>
  <c r="K53" i="21"/>
  <c r="D78" i="21"/>
  <c r="L78" i="21"/>
  <c r="F79" i="21"/>
  <c r="K78" i="21"/>
  <c r="F91" i="21"/>
  <c r="K90" i="21"/>
  <c r="D90" i="21"/>
  <c r="L90" i="21"/>
  <c r="F67" i="21"/>
  <c r="J66" i="21"/>
  <c r="L66" i="21" s="1"/>
  <c r="D66" i="21"/>
  <c r="L54" i="23" l="1"/>
  <c r="K54" i="21"/>
  <c r="L89" i="23"/>
  <c r="K66" i="22"/>
  <c r="K53" i="22"/>
  <c r="L78" i="24"/>
  <c r="L53" i="24"/>
  <c r="K91" i="24"/>
  <c r="F92" i="24"/>
  <c r="D91" i="24"/>
  <c r="L91" i="24"/>
  <c r="F68" i="24"/>
  <c r="L67" i="24"/>
  <c r="K67" i="24"/>
  <c r="D42" i="24"/>
  <c r="L42" i="24"/>
  <c r="F43" i="24"/>
  <c r="K42" i="24"/>
  <c r="D54" i="24"/>
  <c r="F55" i="24"/>
  <c r="J54" i="24"/>
  <c r="K54" i="24" s="1"/>
  <c r="J79" i="24"/>
  <c r="L79" i="24" s="1"/>
  <c r="D79" i="24"/>
  <c r="F80" i="24"/>
  <c r="F91" i="23"/>
  <c r="K90" i="23"/>
  <c r="D90" i="23"/>
  <c r="L90" i="23"/>
  <c r="K41" i="23"/>
  <c r="L67" i="23"/>
  <c r="F68" i="23"/>
  <c r="K67" i="23"/>
  <c r="L79" i="23"/>
  <c r="K79" i="23"/>
  <c r="F80" i="23"/>
  <c r="D79" i="23"/>
  <c r="J42" i="23"/>
  <c r="L42" i="23" s="1"/>
  <c r="D42" i="23"/>
  <c r="F43" i="23"/>
  <c r="J55" i="23"/>
  <c r="K55" i="23" s="1"/>
  <c r="D55" i="23"/>
  <c r="F56" i="23"/>
  <c r="L41" i="22"/>
  <c r="D79" i="22"/>
  <c r="L79" i="22"/>
  <c r="F80" i="22"/>
  <c r="K79" i="22"/>
  <c r="F68" i="22"/>
  <c r="J67" i="22"/>
  <c r="L67" i="22" s="1"/>
  <c r="D54" i="22"/>
  <c r="F55" i="22"/>
  <c r="J54" i="22"/>
  <c r="L54" i="22" s="1"/>
  <c r="D42" i="22"/>
  <c r="F43" i="22"/>
  <c r="J42" i="22"/>
  <c r="L42" i="22" s="1"/>
  <c r="K91" i="22"/>
  <c r="F92" i="22"/>
  <c r="D91" i="22"/>
  <c r="L91" i="22"/>
  <c r="D55" i="21"/>
  <c r="L55" i="21"/>
  <c r="F56" i="21"/>
  <c r="K55" i="21"/>
  <c r="K66" i="21"/>
  <c r="F68" i="21"/>
  <c r="L68" i="21" s="1"/>
  <c r="J67" i="21"/>
  <c r="L67" i="21" s="1"/>
  <c r="K91" i="21"/>
  <c r="F92" i="21"/>
  <c r="D91" i="21"/>
  <c r="L91" i="21"/>
  <c r="D42" i="21"/>
  <c r="L42" i="21"/>
  <c r="K42" i="21"/>
  <c r="F43" i="21"/>
  <c r="D79" i="21"/>
  <c r="L79" i="21"/>
  <c r="F80" i="21"/>
  <c r="K79" i="21"/>
  <c r="K42" i="23" l="1"/>
  <c r="K67" i="21"/>
  <c r="K79" i="24"/>
  <c r="L55" i="23"/>
  <c r="K42" i="22"/>
  <c r="L55" i="24"/>
  <c r="F56" i="24"/>
  <c r="K55" i="24"/>
  <c r="D55" i="24"/>
  <c r="D43" i="24"/>
  <c r="L43" i="24"/>
  <c r="F44" i="24"/>
  <c r="K43" i="24"/>
  <c r="L92" i="24"/>
  <c r="K92" i="24"/>
  <c r="K68" i="24"/>
  <c r="L68" i="24"/>
  <c r="D80" i="24"/>
  <c r="L80" i="24"/>
  <c r="K80" i="24"/>
  <c r="L54" i="24"/>
  <c r="L43" i="23"/>
  <c r="F44" i="23"/>
  <c r="D43" i="23"/>
  <c r="K43" i="23"/>
  <c r="L80" i="23"/>
  <c r="D80" i="23"/>
  <c r="K80" i="23"/>
  <c r="K68" i="23"/>
  <c r="L68" i="23"/>
  <c r="L56" i="23"/>
  <c r="K56" i="23"/>
  <c r="D56" i="23"/>
  <c r="K91" i="23"/>
  <c r="D91" i="23"/>
  <c r="L91" i="23"/>
  <c r="F92" i="23"/>
  <c r="L92" i="22"/>
  <c r="K92" i="22"/>
  <c r="K54" i="22"/>
  <c r="L55" i="22"/>
  <c r="F56" i="22"/>
  <c r="K55" i="22"/>
  <c r="D55" i="22"/>
  <c r="L68" i="22"/>
  <c r="K68" i="22"/>
  <c r="D80" i="22"/>
  <c r="L80" i="22"/>
  <c r="K80" i="22"/>
  <c r="K67" i="22"/>
  <c r="D43" i="22"/>
  <c r="L43" i="22"/>
  <c r="F44" i="22"/>
  <c r="K43" i="22"/>
  <c r="D80" i="21"/>
  <c r="L80" i="21"/>
  <c r="K80" i="21"/>
  <c r="L92" i="21"/>
  <c r="K92" i="21"/>
  <c r="D56" i="21"/>
  <c r="L56" i="21"/>
  <c r="K56" i="21"/>
  <c r="D43" i="21"/>
  <c r="L43" i="21"/>
  <c r="K43" i="21"/>
  <c r="F44" i="21"/>
  <c r="D44" i="24" l="1"/>
  <c r="L44" i="24"/>
  <c r="K44" i="24"/>
  <c r="L56" i="24"/>
  <c r="K56" i="24"/>
  <c r="D56" i="24"/>
  <c r="L92" i="23"/>
  <c r="K92" i="23"/>
  <c r="L44" i="23"/>
  <c r="D44" i="23"/>
  <c r="K44" i="23"/>
  <c r="D44" i="22"/>
  <c r="L44" i="22"/>
  <c r="K44" i="22"/>
  <c r="L56" i="22"/>
  <c r="K56" i="22"/>
  <c r="D56" i="22"/>
  <c r="D44" i="21"/>
  <c r="K44" i="21"/>
  <c r="L44" i="21"/>
  <c r="J42" i="17" l="1"/>
  <c r="J38" i="17"/>
  <c r="J40" i="17"/>
  <c r="J36" i="17"/>
  <c r="S5" i="20"/>
  <c r="S13" i="20"/>
  <c r="S14" i="20"/>
  <c r="S15" i="20"/>
  <c r="S16" i="20"/>
  <c r="S12" i="20"/>
  <c r="S20" i="20"/>
  <c r="S21" i="20"/>
  <c r="S22" i="20"/>
  <c r="S23" i="20"/>
  <c r="S19" i="20"/>
  <c r="V61" i="20"/>
  <c r="V60" i="20"/>
  <c r="V59" i="20"/>
  <c r="V58" i="20"/>
  <c r="V56" i="20"/>
  <c r="V55" i="20"/>
  <c r="U61" i="20"/>
  <c r="U60" i="20"/>
  <c r="U59" i="20"/>
  <c r="U58" i="20"/>
  <c r="U56" i="20"/>
  <c r="U55" i="20"/>
  <c r="U53" i="20"/>
  <c r="Q61" i="20"/>
  <c r="Q60" i="20"/>
  <c r="Q59" i="20"/>
  <c r="Q58" i="20"/>
  <c r="Q57" i="20"/>
  <c r="Q56" i="20"/>
  <c r="Q55" i="20"/>
  <c r="Q54" i="20"/>
  <c r="Q53" i="20"/>
  <c r="V51" i="20"/>
  <c r="U51" i="20"/>
  <c r="V50" i="20"/>
  <c r="U50" i="20"/>
  <c r="V49" i="20"/>
  <c r="U49" i="20"/>
  <c r="V48" i="20"/>
  <c r="U48" i="20"/>
  <c r="W48" i="20" s="1"/>
  <c r="X48" i="20" s="1"/>
  <c r="Z48" i="20" s="1"/>
  <c r="V44" i="20"/>
  <c r="U44" i="20"/>
  <c r="V43" i="20"/>
  <c r="U43" i="20"/>
  <c r="W43" i="20" s="1"/>
  <c r="V42" i="20"/>
  <c r="U42" i="20"/>
  <c r="V41" i="20"/>
  <c r="U41" i="20"/>
  <c r="W41" i="20" s="1"/>
  <c r="V37" i="20"/>
  <c r="U37" i="20"/>
  <c r="V36" i="20"/>
  <c r="U36" i="20"/>
  <c r="W36" i="20" s="1"/>
  <c r="X36" i="20" s="1"/>
  <c r="Z36" i="20" s="1"/>
  <c r="V35" i="20"/>
  <c r="U35" i="20"/>
  <c r="V34" i="20"/>
  <c r="U34" i="20"/>
  <c r="W34" i="20" s="1"/>
  <c r="X34" i="20" s="1"/>
  <c r="Z34" i="20" s="1"/>
  <c r="V30" i="20"/>
  <c r="U30" i="20"/>
  <c r="V29" i="20"/>
  <c r="U29" i="20"/>
  <c r="W29" i="20" s="1"/>
  <c r="V28" i="20"/>
  <c r="U28" i="20"/>
  <c r="V27" i="20"/>
  <c r="W27" i="20"/>
  <c r="V23" i="20"/>
  <c r="V22" i="20"/>
  <c r="V21" i="20"/>
  <c r="V20" i="20"/>
  <c r="U23" i="20"/>
  <c r="U22" i="20"/>
  <c r="U21" i="20"/>
  <c r="W20" i="20"/>
  <c r="X20" i="20" s="1"/>
  <c r="Q51" i="20"/>
  <c r="Q50" i="20"/>
  <c r="Q49" i="20"/>
  <c r="Q48" i="20"/>
  <c r="Q47" i="20"/>
  <c r="Q44" i="20"/>
  <c r="Q43" i="20"/>
  <c r="Q42" i="20"/>
  <c r="Q41" i="20"/>
  <c r="Q40" i="20"/>
  <c r="Q37" i="20"/>
  <c r="Q36" i="20"/>
  <c r="Q35" i="20"/>
  <c r="Q34" i="20"/>
  <c r="Q33" i="20"/>
  <c r="Q30" i="20"/>
  <c r="Q29" i="20"/>
  <c r="Q28" i="20"/>
  <c r="Q27" i="20"/>
  <c r="Q26" i="20"/>
  <c r="Q23" i="20"/>
  <c r="Q22" i="20"/>
  <c r="Q21" i="20"/>
  <c r="Q20" i="20"/>
  <c r="Q19" i="20"/>
  <c r="W51" i="20"/>
  <c r="X51" i="20" s="1"/>
  <c r="Z51" i="20" s="1"/>
  <c r="L51" i="20"/>
  <c r="K51" i="20"/>
  <c r="G51" i="20" s="1"/>
  <c r="H51" i="20"/>
  <c r="L50" i="20"/>
  <c r="K50" i="20"/>
  <c r="G50" i="20" s="1"/>
  <c r="H50" i="20"/>
  <c r="W49" i="20"/>
  <c r="X49" i="20" s="1"/>
  <c r="Z49" i="20" s="1"/>
  <c r="L49" i="20"/>
  <c r="K49" i="20"/>
  <c r="G49" i="20" s="1"/>
  <c r="H49" i="20"/>
  <c r="L48" i="20"/>
  <c r="K48" i="20"/>
  <c r="G48" i="20" s="1"/>
  <c r="H48" i="20"/>
  <c r="W47" i="20"/>
  <c r="X47" i="20" s="1"/>
  <c r="Z47" i="20" s="1"/>
  <c r="L47" i="20"/>
  <c r="K47" i="20"/>
  <c r="G47" i="20" s="1"/>
  <c r="H47" i="20"/>
  <c r="W46" i="20"/>
  <c r="X46" i="20" s="1"/>
  <c r="Z46" i="20" s="1"/>
  <c r="L46" i="20"/>
  <c r="K46" i="20"/>
  <c r="G46" i="20" s="1"/>
  <c r="H46" i="20"/>
  <c r="L44" i="20"/>
  <c r="K44" i="20"/>
  <c r="G44" i="20" s="1"/>
  <c r="H44" i="20"/>
  <c r="L43" i="20"/>
  <c r="K43" i="20"/>
  <c r="G43" i="20" s="1"/>
  <c r="H43" i="20"/>
  <c r="L42" i="20"/>
  <c r="K42" i="20"/>
  <c r="G42" i="20" s="1"/>
  <c r="H42" i="20"/>
  <c r="L41" i="20"/>
  <c r="K41" i="20"/>
  <c r="G41" i="20" s="1"/>
  <c r="H41" i="20"/>
  <c r="W40" i="20"/>
  <c r="L40" i="20"/>
  <c r="K40" i="20"/>
  <c r="G40" i="20" s="1"/>
  <c r="H40" i="20"/>
  <c r="W39" i="20"/>
  <c r="L39" i="20"/>
  <c r="K39" i="20"/>
  <c r="G39" i="20" s="1"/>
  <c r="H39" i="20"/>
  <c r="W37" i="20"/>
  <c r="X37" i="20" s="1"/>
  <c r="Z37" i="20" s="1"/>
  <c r="L37" i="20"/>
  <c r="K37" i="20"/>
  <c r="G37" i="20" s="1"/>
  <c r="H37" i="20"/>
  <c r="L36" i="20"/>
  <c r="K36" i="20"/>
  <c r="G36" i="20" s="1"/>
  <c r="H36" i="20"/>
  <c r="L35" i="20"/>
  <c r="K35" i="20"/>
  <c r="G35" i="20" s="1"/>
  <c r="H35" i="20"/>
  <c r="L34" i="20"/>
  <c r="K34" i="20"/>
  <c r="G34" i="20" s="1"/>
  <c r="H34" i="20"/>
  <c r="W33" i="20"/>
  <c r="X33" i="20" s="1"/>
  <c r="Z33" i="20" s="1"/>
  <c r="L33" i="20"/>
  <c r="K33" i="20"/>
  <c r="G33" i="20" s="1"/>
  <c r="H33" i="20"/>
  <c r="W32" i="20"/>
  <c r="X32" i="20" s="1"/>
  <c r="Z32" i="20" s="1"/>
  <c r="L32" i="20"/>
  <c r="K32" i="20"/>
  <c r="G32" i="20" s="1"/>
  <c r="H32" i="20"/>
  <c r="W30" i="20"/>
  <c r="L30" i="20"/>
  <c r="K30" i="20"/>
  <c r="G30" i="20" s="1"/>
  <c r="H30" i="20"/>
  <c r="L29" i="20"/>
  <c r="K29" i="20"/>
  <c r="G29" i="20" s="1"/>
  <c r="H29" i="20"/>
  <c r="W28" i="20"/>
  <c r="L28" i="20"/>
  <c r="K28" i="20"/>
  <c r="G28" i="20" s="1"/>
  <c r="H28" i="20"/>
  <c r="L27" i="20"/>
  <c r="K27" i="20"/>
  <c r="G27" i="20" s="1"/>
  <c r="H27" i="20"/>
  <c r="W26" i="20"/>
  <c r="L26" i="20"/>
  <c r="K26" i="20"/>
  <c r="G26" i="20" s="1"/>
  <c r="H26" i="20"/>
  <c r="W25" i="20"/>
  <c r="L25" i="20"/>
  <c r="K25" i="20"/>
  <c r="G25" i="20" s="1"/>
  <c r="H25" i="20"/>
  <c r="H3" i="20"/>
  <c r="W58" i="20"/>
  <c r="W57" i="20"/>
  <c r="X57" i="20" s="1"/>
  <c r="W56" i="20"/>
  <c r="X56" i="20" s="1"/>
  <c r="W55" i="20"/>
  <c r="X55" i="20" s="1"/>
  <c r="W54" i="20"/>
  <c r="X54" i="20" s="1"/>
  <c r="W53" i="20"/>
  <c r="X53" i="20" s="1"/>
  <c r="W23" i="20"/>
  <c r="L23" i="20"/>
  <c r="K23" i="20"/>
  <c r="H23" i="20"/>
  <c r="W22" i="20"/>
  <c r="X22" i="20" s="1"/>
  <c r="L22" i="20"/>
  <c r="K22" i="20"/>
  <c r="G22" i="20" s="1"/>
  <c r="H22" i="20"/>
  <c r="W21" i="20"/>
  <c r="X21" i="20" s="1"/>
  <c r="L21" i="20"/>
  <c r="K21" i="20"/>
  <c r="H21" i="20"/>
  <c r="L20" i="20"/>
  <c r="K20" i="20"/>
  <c r="G20" i="20" s="1"/>
  <c r="H20" i="20"/>
  <c r="W19" i="20"/>
  <c r="X19" i="20" s="1"/>
  <c r="L19" i="20"/>
  <c r="K19" i="20"/>
  <c r="H19" i="20"/>
  <c r="W16" i="20"/>
  <c r="L16" i="20"/>
  <c r="K16" i="20"/>
  <c r="G16" i="20" s="1"/>
  <c r="H16" i="20"/>
  <c r="W15" i="20"/>
  <c r="L15" i="20"/>
  <c r="K15" i="20"/>
  <c r="H15" i="20"/>
  <c r="W14" i="20"/>
  <c r="X14" i="20" s="1"/>
  <c r="Z14" i="20" s="1"/>
  <c r="L14" i="20"/>
  <c r="K14" i="20"/>
  <c r="H14" i="20"/>
  <c r="W13" i="20"/>
  <c r="L13" i="20"/>
  <c r="K13" i="20"/>
  <c r="H13" i="20"/>
  <c r="W12" i="20"/>
  <c r="L12" i="20"/>
  <c r="K12" i="20"/>
  <c r="H12" i="20"/>
  <c r="W9" i="20"/>
  <c r="L9" i="20"/>
  <c r="K9" i="20"/>
  <c r="H9" i="20"/>
  <c r="W8" i="20"/>
  <c r="L8" i="20"/>
  <c r="K8" i="20"/>
  <c r="W7" i="20"/>
  <c r="L7" i="20"/>
  <c r="K7" i="20"/>
  <c r="H7" i="20"/>
  <c r="W6" i="20"/>
  <c r="L6" i="20"/>
  <c r="K6" i="20"/>
  <c r="H6" i="20"/>
  <c r="W5" i="20"/>
  <c r="L5" i="20"/>
  <c r="K5" i="20"/>
  <c r="H5" i="20"/>
  <c r="W18" i="20"/>
  <c r="L18" i="20"/>
  <c r="K18" i="20"/>
  <c r="H18" i="20"/>
  <c r="W11" i="20"/>
  <c r="X11" i="20" s="1"/>
  <c r="Z11" i="20" s="1"/>
  <c r="L11" i="20"/>
  <c r="K11" i="20"/>
  <c r="H11" i="20"/>
  <c r="W50" i="20" l="1"/>
  <c r="X50" i="20" s="1"/>
  <c r="Z50" i="20" s="1"/>
  <c r="W60" i="20"/>
  <c r="X60" i="20" s="1"/>
  <c r="Z60" i="20" s="1"/>
  <c r="W61" i="20"/>
  <c r="X61" i="20" s="1"/>
  <c r="Z61" i="20" s="1"/>
  <c r="W59" i="20"/>
  <c r="X59" i="20" s="1"/>
  <c r="Z59" i="20" s="1"/>
  <c r="W35" i="20"/>
  <c r="X35" i="20" s="1"/>
  <c r="Z35" i="20" s="1"/>
  <c r="W42" i="20"/>
  <c r="X42" i="20" s="1"/>
  <c r="Z42" i="20" s="1"/>
  <c r="W44" i="20"/>
  <c r="O25" i="20"/>
  <c r="R25" i="20" s="1"/>
  <c r="T25" i="20" s="1"/>
  <c r="O28" i="20"/>
  <c r="O29" i="20"/>
  <c r="O30" i="20"/>
  <c r="O32" i="20"/>
  <c r="R32" i="20" s="1"/>
  <c r="Y32" i="20" s="1"/>
  <c r="O33" i="20"/>
  <c r="O34" i="20"/>
  <c r="O35" i="20"/>
  <c r="O36" i="20"/>
  <c r="S36" i="20" s="1"/>
  <c r="O37" i="20"/>
  <c r="O39" i="20"/>
  <c r="R39" i="20" s="1"/>
  <c r="T39" i="20" s="1"/>
  <c r="O40" i="20"/>
  <c r="O41" i="20"/>
  <c r="O42" i="20"/>
  <c r="O43" i="20"/>
  <c r="O44" i="20"/>
  <c r="O46" i="20"/>
  <c r="O47" i="20"/>
  <c r="O48" i="20"/>
  <c r="O49" i="20"/>
  <c r="O50" i="20"/>
  <c r="O51" i="20"/>
  <c r="O26" i="20"/>
  <c r="O27" i="20"/>
  <c r="X39" i="20"/>
  <c r="Z39" i="20" s="1"/>
  <c r="X40" i="20"/>
  <c r="Z40" i="20" s="1"/>
  <c r="X41" i="20"/>
  <c r="Z41" i="20" s="1"/>
  <c r="X43" i="20"/>
  <c r="Z43" i="20" s="1"/>
  <c r="X44" i="20"/>
  <c r="Z44" i="20" s="1"/>
  <c r="X25" i="20"/>
  <c r="Z25" i="20" s="1"/>
  <c r="X26" i="20"/>
  <c r="Z26" i="20" s="1"/>
  <c r="X27" i="20"/>
  <c r="Z27" i="20" s="1"/>
  <c r="X28" i="20"/>
  <c r="Z28" i="20" s="1"/>
  <c r="X29" i="20"/>
  <c r="Z29" i="20" s="1"/>
  <c r="X30" i="20"/>
  <c r="Z30" i="20" s="1"/>
  <c r="G11" i="20"/>
  <c r="O11" i="20" s="1"/>
  <c r="R11" i="20" s="1"/>
  <c r="G8" i="20"/>
  <c r="G12" i="20"/>
  <c r="O12" i="20" s="1"/>
  <c r="G14" i="20"/>
  <c r="O14" i="20" s="1"/>
  <c r="G21" i="20"/>
  <c r="O21" i="20" s="1"/>
  <c r="G18" i="20"/>
  <c r="O18" i="20" s="1"/>
  <c r="R18" i="20" s="1"/>
  <c r="G7" i="20"/>
  <c r="O7" i="20" s="1"/>
  <c r="G13" i="20"/>
  <c r="O13" i="20" s="1"/>
  <c r="G6" i="20"/>
  <c r="G5" i="20"/>
  <c r="O5" i="20" s="1"/>
  <c r="G9" i="20"/>
  <c r="O9" i="20" s="1"/>
  <c r="G15" i="20"/>
  <c r="O15" i="20" s="1"/>
  <c r="G19" i="20"/>
  <c r="O19" i="20" s="1"/>
  <c r="G23" i="20"/>
  <c r="O23" i="20" s="1"/>
  <c r="X5" i="20"/>
  <c r="Z5" i="20" s="1"/>
  <c r="X6" i="20"/>
  <c r="Z6" i="20" s="1"/>
  <c r="X7" i="20"/>
  <c r="Z7" i="20" s="1"/>
  <c r="X8" i="20"/>
  <c r="Z8" i="20" s="1"/>
  <c r="X9" i="20"/>
  <c r="Z9" i="20" s="1"/>
  <c r="X12" i="20"/>
  <c r="Z12" i="20" s="1"/>
  <c r="X13" i="20"/>
  <c r="Z13" i="20" s="1"/>
  <c r="X15" i="20"/>
  <c r="Z15" i="20" s="1"/>
  <c r="O20" i="20"/>
  <c r="O22" i="20"/>
  <c r="O6" i="20"/>
  <c r="H8" i="20"/>
  <c r="Z19" i="20"/>
  <c r="Z20" i="20"/>
  <c r="Z21" i="20"/>
  <c r="Z22" i="20"/>
  <c r="Z53" i="20"/>
  <c r="Z54" i="20"/>
  <c r="Z55" i="20"/>
  <c r="Z56" i="20"/>
  <c r="Z57" i="20"/>
  <c r="X58" i="20"/>
  <c r="Z58" i="20" s="1"/>
  <c r="X23" i="20"/>
  <c r="Z23" i="20" s="1"/>
  <c r="O16" i="20"/>
  <c r="X16" i="20"/>
  <c r="Z16" i="20" s="1"/>
  <c r="X18" i="20"/>
  <c r="Z18" i="20" s="1"/>
  <c r="S26" i="20" l="1"/>
  <c r="S27" i="20"/>
  <c r="S34" i="20"/>
  <c r="S29" i="20"/>
  <c r="S42" i="20"/>
  <c r="S37" i="20"/>
  <c r="S33" i="20"/>
  <c r="S28" i="20"/>
  <c r="R46" i="20"/>
  <c r="S51" i="20" s="1"/>
  <c r="S41" i="20"/>
  <c r="S43" i="20"/>
  <c r="S44" i="20"/>
  <c r="S40" i="20"/>
  <c r="S35" i="20"/>
  <c r="S30" i="20"/>
  <c r="T32" i="20"/>
  <c r="AA32" i="20" s="1"/>
  <c r="Y25" i="20"/>
  <c r="Y39" i="20"/>
  <c r="AA39" i="20"/>
  <c r="AA25" i="20"/>
  <c r="O8" i="20"/>
  <c r="T18" i="20"/>
  <c r="AA18" i="20" s="1"/>
  <c r="Y18" i="20"/>
  <c r="T11" i="20"/>
  <c r="AA11" i="20" s="1"/>
  <c r="Y11" i="20"/>
  <c r="S50" i="20" l="1"/>
  <c r="T46" i="20"/>
  <c r="AA46" i="20" s="1"/>
  <c r="S48" i="20"/>
  <c r="S47" i="20"/>
  <c r="S49" i="20"/>
  <c r="Y46" i="20"/>
  <c r="W4" i="20" l="1"/>
  <c r="X4" i="20" s="1"/>
  <c r="Z4" i="20" s="1"/>
  <c r="L4" i="20"/>
  <c r="K4" i="20"/>
  <c r="G4" i="20" s="1"/>
  <c r="H4" i="20"/>
  <c r="W3" i="20"/>
  <c r="L3" i="20"/>
  <c r="K3" i="20"/>
  <c r="I33" i="17"/>
  <c r="I25" i="17"/>
  <c r="I17" i="17"/>
  <c r="I9" i="17"/>
  <c r="Q28" i="13"/>
  <c r="N33" i="17" s="1"/>
  <c r="Q13" i="13"/>
  <c r="N25" i="17" s="1"/>
  <c r="H28" i="13"/>
  <c r="N17" i="17" s="1"/>
  <c r="H13" i="13"/>
  <c r="N9" i="17" s="1"/>
  <c r="H9" i="17" l="1"/>
  <c r="G3" i="20"/>
  <c r="O3" i="20" s="1"/>
  <c r="R3" i="20" s="1"/>
  <c r="X3" i="20"/>
  <c r="Z3" i="20" s="1"/>
  <c r="S9" i="20" l="1"/>
  <c r="S6" i="20"/>
  <c r="S7" i="20"/>
  <c r="S8" i="20"/>
  <c r="O4" i="20"/>
  <c r="S4" i="20" s="1"/>
  <c r="Y3" i="20"/>
  <c r="T3" i="20"/>
  <c r="AA3" i="20" s="1"/>
  <c r="T35" i="20" l="1"/>
  <c r="AA35" i="20" s="1"/>
  <c r="Y35" i="20"/>
  <c r="T40" i="20"/>
  <c r="AA40" i="20" s="1"/>
  <c r="Y40" i="20"/>
  <c r="T48" i="20"/>
  <c r="AA48" i="20" s="1"/>
  <c r="Y48" i="20"/>
  <c r="Y26" i="20"/>
  <c r="T26" i="20"/>
  <c r="AA26" i="20" s="1"/>
  <c r="T37" i="20"/>
  <c r="AA37" i="20" s="1"/>
  <c r="Y37" i="20"/>
  <c r="Y30" i="20"/>
  <c r="T30" i="20"/>
  <c r="AA30" i="20" s="1"/>
  <c r="Y33" i="20"/>
  <c r="T33" i="20"/>
  <c r="AA33" i="20" s="1"/>
  <c r="T43" i="20"/>
  <c r="AA43" i="20" s="1"/>
  <c r="Y43" i="20"/>
  <c r="T51" i="20"/>
  <c r="AA51" i="20" s="1"/>
  <c r="Y51" i="20"/>
  <c r="Y28" i="20"/>
  <c r="T28" i="20"/>
  <c r="AA28" i="20" s="1"/>
  <c r="T41" i="20"/>
  <c r="AA41" i="20" s="1"/>
  <c r="Y41" i="20"/>
  <c r="T29" i="20"/>
  <c r="AA29" i="20" s="1"/>
  <c r="Y29" i="20"/>
  <c r="T47" i="20"/>
  <c r="AA47" i="20" s="1"/>
  <c r="Y47" i="20"/>
  <c r="Y34" i="20"/>
  <c r="T34" i="20"/>
  <c r="AA34" i="20" s="1"/>
  <c r="T36" i="20"/>
  <c r="AA36" i="20" s="1"/>
  <c r="Y36" i="20"/>
  <c r="T49" i="20"/>
  <c r="AA49" i="20" s="1"/>
  <c r="Y49" i="20"/>
  <c r="T44" i="20"/>
  <c r="AA44" i="20" s="1"/>
  <c r="Y44" i="20"/>
  <c r="T42" i="20"/>
  <c r="AA42" i="20" s="1"/>
  <c r="Y42" i="20"/>
  <c r="T50" i="20"/>
  <c r="AA50" i="20" s="1"/>
  <c r="Y50" i="20"/>
  <c r="T27" i="20"/>
  <c r="AA27" i="20" s="1"/>
  <c r="Y27" i="20"/>
  <c r="Y22" i="20"/>
  <c r="T22" i="20"/>
  <c r="AA22" i="20" s="1"/>
  <c r="T7" i="20"/>
  <c r="AA7" i="20" s="1"/>
  <c r="Y7" i="20"/>
  <c r="T19" i="20"/>
  <c r="AA19" i="20" s="1"/>
  <c r="Y19" i="20"/>
  <c r="T8" i="20"/>
  <c r="AA8" i="20" s="1"/>
  <c r="Y8" i="20"/>
  <c r="Y5" i="20"/>
  <c r="T5" i="20"/>
  <c r="AA5" i="20" s="1"/>
  <c r="T6" i="20"/>
  <c r="AA6" i="20" s="1"/>
  <c r="Y6" i="20"/>
  <c r="T15" i="20"/>
  <c r="AA15" i="20" s="1"/>
  <c r="Y15" i="20"/>
  <c r="T14" i="20"/>
  <c r="AA14" i="20" s="1"/>
  <c r="Y14" i="20"/>
  <c r="T16" i="20"/>
  <c r="AA16" i="20" s="1"/>
  <c r="Y16" i="20"/>
  <c r="T12" i="20"/>
  <c r="AA12" i="20" s="1"/>
  <c r="Y12" i="20"/>
  <c r="T9" i="20"/>
  <c r="AA9" i="20" s="1"/>
  <c r="Y9" i="20"/>
  <c r="T21" i="20"/>
  <c r="AA21" i="20" s="1"/>
  <c r="Y21" i="20"/>
  <c r="T20" i="20"/>
  <c r="AA20" i="20" s="1"/>
  <c r="Y20" i="20"/>
  <c r="T13" i="20"/>
  <c r="AA13" i="20" s="1"/>
  <c r="Y13" i="20"/>
  <c r="T23" i="20"/>
  <c r="AA23" i="20" s="1"/>
  <c r="Y23" i="20"/>
  <c r="T4" i="20"/>
  <c r="AA4" i="20" s="1"/>
  <c r="Y4" i="20"/>
  <c r="L9" i="17" l="1"/>
  <c r="K9" i="17"/>
  <c r="L17" i="17"/>
  <c r="K17" i="17"/>
  <c r="L33" i="17"/>
  <c r="K33" i="17"/>
  <c r="L25" i="17"/>
  <c r="K25" i="17"/>
  <c r="J33" i="17"/>
  <c r="J25" i="17"/>
  <c r="J17" i="17"/>
  <c r="J9" i="17"/>
  <c r="D25" i="17" l="1"/>
  <c r="D33" i="17"/>
  <c r="G33" i="17"/>
  <c r="G25" i="17"/>
  <c r="H33" i="17" l="1"/>
  <c r="O33" i="17" s="1"/>
  <c r="H25" i="17"/>
  <c r="O25" i="17" s="1"/>
  <c r="W33" i="17"/>
  <c r="X33" i="17" s="1"/>
  <c r="W17" i="17"/>
  <c r="X17" i="17" s="1"/>
  <c r="W25" i="17"/>
  <c r="W9" i="17"/>
  <c r="X9" i="17" s="1"/>
  <c r="D9" i="17"/>
  <c r="D17" i="17"/>
  <c r="W27" i="17"/>
  <c r="X27" i="17" s="1"/>
  <c r="P5" i="17"/>
  <c r="P7" i="17"/>
  <c r="C32" i="17"/>
  <c r="C31" i="17"/>
  <c r="C30" i="17"/>
  <c r="C29" i="17"/>
  <c r="C28" i="17"/>
  <c r="C24" i="17"/>
  <c r="C23" i="17"/>
  <c r="C22" i="17"/>
  <c r="C21" i="17"/>
  <c r="C20" i="17"/>
  <c r="C16" i="17"/>
  <c r="C15" i="17"/>
  <c r="C14" i="17"/>
  <c r="C13" i="17"/>
  <c r="C12" i="17"/>
  <c r="P27" i="17"/>
  <c r="I32" i="17"/>
  <c r="I31" i="17"/>
  <c r="I30" i="17"/>
  <c r="I29" i="17"/>
  <c r="I28" i="17"/>
  <c r="I27" i="17"/>
  <c r="I24" i="17"/>
  <c r="I23" i="17"/>
  <c r="I22" i="17"/>
  <c r="I21" i="17"/>
  <c r="I20" i="17"/>
  <c r="I19" i="17"/>
  <c r="J28" i="17"/>
  <c r="J29" i="17"/>
  <c r="J30" i="17"/>
  <c r="J31" i="17"/>
  <c r="J32" i="17"/>
  <c r="J27" i="17"/>
  <c r="J20" i="17"/>
  <c r="J21" i="17"/>
  <c r="J22" i="17"/>
  <c r="J23" i="17"/>
  <c r="J24" i="17"/>
  <c r="J19" i="17"/>
  <c r="J12" i="17"/>
  <c r="J13" i="17"/>
  <c r="J14" i="17"/>
  <c r="J15" i="17"/>
  <c r="J16" i="17"/>
  <c r="J11" i="17"/>
  <c r="I16" i="17"/>
  <c r="I15" i="17"/>
  <c r="I14" i="17"/>
  <c r="I13" i="17"/>
  <c r="I12" i="17"/>
  <c r="I11" i="17"/>
  <c r="W32" i="17"/>
  <c r="L32" i="17"/>
  <c r="K32" i="17"/>
  <c r="W31" i="17"/>
  <c r="L31" i="17"/>
  <c r="K31" i="17"/>
  <c r="W30" i="17"/>
  <c r="L30" i="17"/>
  <c r="K30" i="17"/>
  <c r="W29" i="17"/>
  <c r="L29" i="17"/>
  <c r="K29" i="17"/>
  <c r="W28" i="17"/>
  <c r="L28" i="17"/>
  <c r="K28" i="17"/>
  <c r="L27" i="17"/>
  <c r="K27" i="17"/>
  <c r="W24" i="17"/>
  <c r="L24" i="17"/>
  <c r="K24" i="17"/>
  <c r="W23" i="17"/>
  <c r="X23" i="17" s="1"/>
  <c r="Z23" i="17" s="1"/>
  <c r="D49" i="17" s="1"/>
  <c r="L23" i="17"/>
  <c r="K23" i="17"/>
  <c r="W22" i="17"/>
  <c r="L22" i="17"/>
  <c r="K22" i="17"/>
  <c r="W21" i="17"/>
  <c r="X21" i="17" s="1"/>
  <c r="L21" i="17"/>
  <c r="K21" i="17"/>
  <c r="W20" i="17"/>
  <c r="X20" i="17" s="1"/>
  <c r="L20" i="17"/>
  <c r="K20" i="17"/>
  <c r="W19" i="17"/>
  <c r="X19" i="17" s="1"/>
  <c r="L19" i="17"/>
  <c r="K19" i="17"/>
  <c r="W16" i="17"/>
  <c r="X16" i="17" s="1"/>
  <c r="Z16" i="17" s="1"/>
  <c r="L16" i="17"/>
  <c r="K16" i="17"/>
  <c r="W15" i="17"/>
  <c r="L15" i="17"/>
  <c r="K15" i="17"/>
  <c r="W14" i="17"/>
  <c r="X14" i="17" s="1"/>
  <c r="Z14" i="17" s="1"/>
  <c r="D43" i="17" s="1"/>
  <c r="L14" i="17"/>
  <c r="K14" i="17"/>
  <c r="W13" i="17"/>
  <c r="X13" i="17" s="1"/>
  <c r="L13" i="17"/>
  <c r="K13" i="17"/>
  <c r="W12" i="17"/>
  <c r="X12" i="17" s="1"/>
  <c r="Z12" i="17" s="1"/>
  <c r="D41" i="17" s="1"/>
  <c r="L12" i="17"/>
  <c r="K12" i="17"/>
  <c r="L11" i="17"/>
  <c r="K11" i="17"/>
  <c r="W4" i="17"/>
  <c r="W5" i="17"/>
  <c r="W6" i="17"/>
  <c r="X6" i="17" s="1"/>
  <c r="W7" i="17"/>
  <c r="X7" i="17" s="1"/>
  <c r="W8" i="17"/>
  <c r="X8" i="17" s="1"/>
  <c r="W3" i="17"/>
  <c r="X3" i="17" s="1"/>
  <c r="L3" i="17"/>
  <c r="K3" i="17"/>
  <c r="L8" i="17"/>
  <c r="L7" i="17"/>
  <c r="L6" i="17"/>
  <c r="L5" i="17"/>
  <c r="K8" i="17"/>
  <c r="K7" i="17"/>
  <c r="K6" i="17"/>
  <c r="K5" i="17"/>
  <c r="I8" i="17"/>
  <c r="I7" i="17"/>
  <c r="I6" i="17"/>
  <c r="I5" i="17"/>
  <c r="I4" i="17"/>
  <c r="I3" i="17"/>
  <c r="D28" i="13"/>
  <c r="N13" i="17" s="1"/>
  <c r="J5" i="17"/>
  <c r="G5" i="17" s="1"/>
  <c r="J6" i="17"/>
  <c r="J7" i="17"/>
  <c r="G7" i="17" s="1"/>
  <c r="J8" i="17"/>
  <c r="J3" i="17"/>
  <c r="G3" i="17" s="1"/>
  <c r="J4" i="17"/>
  <c r="G11" i="17" l="1"/>
  <c r="G30" i="17"/>
  <c r="G14" i="17"/>
  <c r="D19" i="17"/>
  <c r="E19" i="17" s="1"/>
  <c r="D23" i="17"/>
  <c r="E23" i="17" s="1"/>
  <c r="D20" i="17"/>
  <c r="E20" i="17" s="1"/>
  <c r="D24" i="17"/>
  <c r="E24" i="17" s="1"/>
  <c r="G6" i="17"/>
  <c r="D16" i="17"/>
  <c r="E16" i="17" s="1"/>
  <c r="G32" i="17"/>
  <c r="D27" i="17"/>
  <c r="E27" i="17" s="1"/>
  <c r="D30" i="17"/>
  <c r="E30" i="17" s="1"/>
  <c r="G29" i="17"/>
  <c r="Z17" i="17"/>
  <c r="G28" i="17"/>
  <c r="G21" i="17"/>
  <c r="Z33" i="17"/>
  <c r="G31" i="17"/>
  <c r="H13" i="17"/>
  <c r="G15" i="17"/>
  <c r="G12" i="17"/>
  <c r="G22" i="17"/>
  <c r="Z9" i="17"/>
  <c r="G17" i="17"/>
  <c r="D13" i="17"/>
  <c r="X25" i="17"/>
  <c r="Z25" i="17" s="1"/>
  <c r="X5" i="17"/>
  <c r="Z5" i="17" s="1"/>
  <c r="D37" i="17" s="1"/>
  <c r="D14" i="17"/>
  <c r="E14" i="17" s="1"/>
  <c r="Z8" i="17"/>
  <c r="X4" i="17"/>
  <c r="Z4" i="17" s="1"/>
  <c r="D36" i="17" s="1"/>
  <c r="G16" i="17"/>
  <c r="Z7" i="17"/>
  <c r="D39" i="17" s="1"/>
  <c r="Z6" i="17"/>
  <c r="D38" i="17" s="1"/>
  <c r="D11" i="17"/>
  <c r="E11" i="17" s="1"/>
  <c r="G24" i="17"/>
  <c r="D28" i="17"/>
  <c r="E28" i="17" s="1"/>
  <c r="D29" i="17"/>
  <c r="G23" i="17"/>
  <c r="G27" i="17"/>
  <c r="G9" i="17"/>
  <c r="G13" i="17"/>
  <c r="D15" i="17"/>
  <c r="E15" i="17" s="1"/>
  <c r="D22" i="17"/>
  <c r="E22" i="17" s="1"/>
  <c r="D32" i="17"/>
  <c r="E32" i="17" s="1"/>
  <c r="G8" i="17"/>
  <c r="D21" i="17"/>
  <c r="D31" i="17"/>
  <c r="E31" i="17" s="1"/>
  <c r="G19" i="17"/>
  <c r="W11" i="17"/>
  <c r="X11" i="17" s="1"/>
  <c r="X28" i="17"/>
  <c r="Z28" i="17" s="1"/>
  <c r="D51" i="17" s="1"/>
  <c r="Z20" i="17"/>
  <c r="D46" i="17" s="1"/>
  <c r="Z13" i="17"/>
  <c r="D42" i="17" s="1"/>
  <c r="Z21" i="17"/>
  <c r="D47" i="17" s="1"/>
  <c r="X29" i="17"/>
  <c r="Z29" i="17" s="1"/>
  <c r="D52" i="17" s="1"/>
  <c r="X31" i="17"/>
  <c r="Z31" i="17" s="1"/>
  <c r="D54" i="17" s="1"/>
  <c r="X32" i="17"/>
  <c r="Z32" i="17" s="1"/>
  <c r="D55" i="17" s="1"/>
  <c r="X30" i="17"/>
  <c r="Z30" i="17" s="1"/>
  <c r="D53" i="17" s="1"/>
  <c r="X24" i="17"/>
  <c r="Z24" i="17" s="1"/>
  <c r="G20" i="17"/>
  <c r="X22" i="17"/>
  <c r="Z22" i="17" s="1"/>
  <c r="D48" i="17" s="1"/>
  <c r="D12" i="17"/>
  <c r="E12" i="17" s="1"/>
  <c r="X15" i="17"/>
  <c r="Z15" i="17" s="1"/>
  <c r="D44" i="17" s="1"/>
  <c r="D3" i="17"/>
  <c r="E3" i="17" s="1"/>
  <c r="L4" i="17"/>
  <c r="K4" i="17"/>
  <c r="G4" i="17" s="1"/>
  <c r="D5" i="17"/>
  <c r="D6" i="17"/>
  <c r="E6" i="17" s="1"/>
  <c r="D7" i="17"/>
  <c r="E7" i="17" s="1"/>
  <c r="D8" i="17"/>
  <c r="E8" i="17" s="1"/>
  <c r="I22" i="16"/>
  <c r="I21" i="16"/>
  <c r="B13" i="13"/>
  <c r="N3" i="17" s="1"/>
  <c r="H3" i="17" s="1"/>
  <c r="J37" i="17" l="1"/>
  <c r="D40" i="17"/>
  <c r="D50" i="17"/>
  <c r="D45" i="17"/>
  <c r="J39" i="17"/>
  <c r="J43" i="17"/>
  <c r="O13" i="17"/>
  <c r="O3" i="17"/>
  <c r="D4" i="17"/>
  <c r="E4" i="17" s="1"/>
  <c r="R3" i="17" l="1"/>
  <c r="T3" i="17" l="1"/>
  <c r="AA3" i="17" s="1"/>
  <c r="K36" i="17" s="1"/>
  <c r="R54" i="20"/>
  <c r="S54" i="20" s="1"/>
  <c r="R53" i="20"/>
  <c r="S53" i="20" s="1"/>
  <c r="Y3" i="17"/>
  <c r="I36" i="17" s="1"/>
  <c r="T53" i="20" l="1"/>
  <c r="AA53" i="20" s="1"/>
  <c r="Y53" i="20"/>
  <c r="T54" i="20"/>
  <c r="AA54" i="20" s="1"/>
  <c r="Y54" i="20"/>
  <c r="S27" i="16"/>
  <c r="S25" i="16"/>
  <c r="S23" i="16"/>
  <c r="S21" i="16"/>
  <c r="S19" i="16"/>
  <c r="S13" i="16"/>
  <c r="S11" i="16"/>
  <c r="S9" i="16"/>
  <c r="S7" i="16"/>
  <c r="S5" i="16"/>
  <c r="I27" i="16"/>
  <c r="I25" i="16"/>
  <c r="I23" i="16"/>
  <c r="D24" i="16" s="1"/>
  <c r="I19" i="16"/>
  <c r="I13" i="16"/>
  <c r="I11" i="16"/>
  <c r="I9" i="16"/>
  <c r="I7" i="16"/>
  <c r="I5" i="16"/>
  <c r="D6" i="16" s="1"/>
  <c r="B28" i="13"/>
  <c r="K13" i="13"/>
  <c r="K28" i="13"/>
  <c r="G28" i="13"/>
  <c r="P28" i="13"/>
  <c r="O28" i="13"/>
  <c r="N28" i="13"/>
  <c r="M28" i="13"/>
  <c r="L28" i="13"/>
  <c r="P13" i="13"/>
  <c r="O13" i="13"/>
  <c r="N13" i="13"/>
  <c r="M13" i="13"/>
  <c r="L13" i="13"/>
  <c r="F28" i="13"/>
  <c r="E28" i="13"/>
  <c r="C28" i="13"/>
  <c r="D13" i="13"/>
  <c r="E13" i="13"/>
  <c r="F13" i="13"/>
  <c r="G13" i="13"/>
  <c r="C13" i="13"/>
  <c r="N4" i="17" l="1"/>
  <c r="H4" i="17" s="1"/>
  <c r="N5" i="17"/>
  <c r="H5" i="17" s="1"/>
  <c r="N14" i="17"/>
  <c r="H14" i="17" s="1"/>
  <c r="O14" i="17" s="1"/>
  <c r="N22" i="17"/>
  <c r="H22" i="17" s="1"/>
  <c r="O22" i="17" s="1"/>
  <c r="N29" i="17"/>
  <c r="H29" i="17" s="1"/>
  <c r="O29" i="17" s="1"/>
  <c r="N16" i="17"/>
  <c r="H16" i="17" s="1"/>
  <c r="O16" i="17" s="1"/>
  <c r="H17" i="17"/>
  <c r="O17" i="17" s="1"/>
  <c r="O9" i="17"/>
  <c r="S9" i="17" s="1"/>
  <c r="N8" i="17"/>
  <c r="H8" i="17" s="1"/>
  <c r="N12" i="17"/>
  <c r="H12" i="17" s="1"/>
  <c r="O12" i="17" s="1"/>
  <c r="N15" i="17"/>
  <c r="H15" i="17" s="1"/>
  <c r="O15" i="17" s="1"/>
  <c r="N23" i="17"/>
  <c r="H23" i="17" s="1"/>
  <c r="O23" i="17" s="1"/>
  <c r="N30" i="17"/>
  <c r="H30" i="17" s="1"/>
  <c r="O30" i="17" s="1"/>
  <c r="N27" i="17"/>
  <c r="H27" i="17" s="1"/>
  <c r="O27" i="17" s="1"/>
  <c r="R27" i="17" s="1"/>
  <c r="N11" i="17"/>
  <c r="H11" i="17" s="1"/>
  <c r="N7" i="17"/>
  <c r="H7" i="17" s="1"/>
  <c r="N20" i="17"/>
  <c r="H20" i="17" s="1"/>
  <c r="O20" i="17" s="1"/>
  <c r="N24" i="17"/>
  <c r="H24" i="17" s="1"/>
  <c r="O24" i="17" s="1"/>
  <c r="N31" i="17"/>
  <c r="H31" i="17" s="1"/>
  <c r="O31" i="17" s="1"/>
  <c r="N19" i="17"/>
  <c r="H19" i="17" s="1"/>
  <c r="O19" i="17" s="1"/>
  <c r="R19" i="17" s="1"/>
  <c r="N6" i="17"/>
  <c r="H6" i="17" s="1"/>
  <c r="N21" i="17"/>
  <c r="H21" i="17" s="1"/>
  <c r="O21" i="17" s="1"/>
  <c r="N28" i="17"/>
  <c r="H28" i="17" s="1"/>
  <c r="O28" i="17" s="1"/>
  <c r="N32" i="17"/>
  <c r="H32" i="17" s="1"/>
  <c r="O32" i="17" s="1"/>
  <c r="F8" i="16"/>
  <c r="G8" i="16"/>
  <c r="H8" i="16"/>
  <c r="E8" i="16"/>
  <c r="D8" i="16"/>
  <c r="G24" i="16"/>
  <c r="H24" i="16"/>
  <c r="E24" i="16"/>
  <c r="F24" i="16"/>
  <c r="Q6" i="16"/>
  <c r="R6" i="16"/>
  <c r="O6" i="16"/>
  <c r="N6" i="16"/>
  <c r="P6" i="16"/>
  <c r="P14" i="16"/>
  <c r="Q14" i="16"/>
  <c r="R14" i="16"/>
  <c r="O14" i="16"/>
  <c r="N14" i="16"/>
  <c r="P24" i="16"/>
  <c r="Q24" i="16"/>
  <c r="R24" i="16"/>
  <c r="O24" i="16"/>
  <c r="N24" i="16"/>
  <c r="H10" i="16"/>
  <c r="E10" i="16"/>
  <c r="D10" i="16"/>
  <c r="F10" i="16"/>
  <c r="G10" i="16"/>
  <c r="G20" i="16"/>
  <c r="H20" i="16"/>
  <c r="E20" i="16"/>
  <c r="D20" i="16"/>
  <c r="F20" i="16"/>
  <c r="H26" i="16"/>
  <c r="E26" i="16"/>
  <c r="D26" i="16"/>
  <c r="F26" i="16"/>
  <c r="G26" i="16"/>
  <c r="R8" i="16"/>
  <c r="O8" i="16"/>
  <c r="N8" i="16"/>
  <c r="P8" i="16"/>
  <c r="Q8" i="16"/>
  <c r="Q26" i="16"/>
  <c r="R26" i="16"/>
  <c r="O26" i="16"/>
  <c r="N26" i="16"/>
  <c r="P26" i="16"/>
  <c r="E12" i="16"/>
  <c r="D12" i="16"/>
  <c r="F12" i="16"/>
  <c r="G12" i="16"/>
  <c r="H12" i="16"/>
  <c r="E28" i="16"/>
  <c r="D28" i="16"/>
  <c r="F28" i="16"/>
  <c r="G28" i="16"/>
  <c r="H28" i="16"/>
  <c r="R10" i="16"/>
  <c r="O10" i="16"/>
  <c r="N10" i="16"/>
  <c r="P10" i="16"/>
  <c r="Q10" i="16"/>
  <c r="R20" i="16"/>
  <c r="O20" i="16"/>
  <c r="N20" i="16"/>
  <c r="P20" i="16"/>
  <c r="Q20" i="16"/>
  <c r="R28" i="16"/>
  <c r="O28" i="16"/>
  <c r="N28" i="16"/>
  <c r="P28" i="16"/>
  <c r="Q28" i="16"/>
  <c r="E6" i="16"/>
  <c r="F6" i="16"/>
  <c r="G6" i="16"/>
  <c r="H6" i="16"/>
  <c r="F14" i="16"/>
  <c r="G14" i="16"/>
  <c r="H14" i="16"/>
  <c r="E14" i="16"/>
  <c r="D14" i="16"/>
  <c r="O12" i="16"/>
  <c r="N12" i="16"/>
  <c r="P12" i="16"/>
  <c r="Q12" i="16"/>
  <c r="R12" i="16"/>
  <c r="O22" i="16"/>
  <c r="N22" i="16"/>
  <c r="P22" i="16"/>
  <c r="Q22" i="16"/>
  <c r="R22" i="16"/>
  <c r="S32" i="17" l="1"/>
  <c r="T32" i="17" s="1"/>
  <c r="AA32" i="17" s="1"/>
  <c r="E55" i="17" s="1"/>
  <c r="S28" i="17"/>
  <c r="S31" i="17"/>
  <c r="Y31" i="17" s="1"/>
  <c r="C54" i="17" s="1"/>
  <c r="S25" i="17"/>
  <c r="T25" i="17" s="1"/>
  <c r="AA25" i="17" s="1"/>
  <c r="I41" i="17" s="1"/>
  <c r="R59" i="20"/>
  <c r="S59" i="20" s="1"/>
  <c r="R58" i="20"/>
  <c r="S58" i="20" s="1"/>
  <c r="S33" i="17"/>
  <c r="T33" i="17" s="1"/>
  <c r="AA33" i="17" s="1"/>
  <c r="R61" i="20"/>
  <c r="S61" i="20" s="1"/>
  <c r="R60" i="20"/>
  <c r="S60" i="20" s="1"/>
  <c r="O11" i="17"/>
  <c r="R11" i="17" s="1"/>
  <c r="S13" i="17" s="1"/>
  <c r="Y13" i="17" s="1"/>
  <c r="C42" i="17" s="1"/>
  <c r="S21" i="17"/>
  <c r="T21" i="17" s="1"/>
  <c r="AA21" i="17" s="1"/>
  <c r="E47" i="17" s="1"/>
  <c r="S23" i="17"/>
  <c r="Y23" i="17" s="1"/>
  <c r="C49" i="17" s="1"/>
  <c r="S22" i="17"/>
  <c r="Y22" i="17" s="1"/>
  <c r="C48" i="17" s="1"/>
  <c r="S24" i="17"/>
  <c r="T24" i="17" s="1"/>
  <c r="AA24" i="17" s="1"/>
  <c r="E50" i="17" s="1"/>
  <c r="S20" i="17"/>
  <c r="Y20" i="17" s="1"/>
  <c r="C46" i="17" s="1"/>
  <c r="S30" i="17"/>
  <c r="Y30" i="17" s="1"/>
  <c r="C53" i="17" s="1"/>
  <c r="S29" i="17"/>
  <c r="T29" i="17" s="1"/>
  <c r="AA29" i="17" s="1"/>
  <c r="E52" i="17" s="1"/>
  <c r="T19" i="17"/>
  <c r="AA19" i="17" s="1"/>
  <c r="K40" i="17" s="1"/>
  <c r="Y19" i="17"/>
  <c r="I40" i="17" s="1"/>
  <c r="T9" i="17"/>
  <c r="AA9" i="17" s="1"/>
  <c r="Y9" i="17"/>
  <c r="T27" i="17"/>
  <c r="AA27" i="17" s="1"/>
  <c r="K42" i="17" s="1"/>
  <c r="Y27" i="17"/>
  <c r="I42" i="17" s="1"/>
  <c r="T28" i="17"/>
  <c r="AA28" i="17" s="1"/>
  <c r="E51" i="17" s="1"/>
  <c r="Y28" i="17"/>
  <c r="C51" i="17" s="1"/>
  <c r="I12" i="16"/>
  <c r="C7" i="17" s="1"/>
  <c r="O7" i="17" s="1"/>
  <c r="S7" i="17" s="1"/>
  <c r="I28" i="16"/>
  <c r="S26" i="16"/>
  <c r="I26" i="16"/>
  <c r="S22" i="16"/>
  <c r="S24" i="16"/>
  <c r="I14" i="16"/>
  <c r="S10" i="16"/>
  <c r="S8" i="16"/>
  <c r="I10" i="16"/>
  <c r="S14" i="16"/>
  <c r="S12" i="16"/>
  <c r="S20" i="16"/>
  <c r="I20" i="16"/>
  <c r="S6" i="16"/>
  <c r="S28" i="16"/>
  <c r="I24" i="16"/>
  <c r="I8" i="16"/>
  <c r="I6" i="16"/>
  <c r="I37" i="17" l="1"/>
  <c r="Y32" i="17"/>
  <c r="Y25" i="17"/>
  <c r="Y33" i="17"/>
  <c r="Y21" i="17"/>
  <c r="C47" i="17" s="1"/>
  <c r="K37" i="17"/>
  <c r="C55" i="17"/>
  <c r="K41" i="17"/>
  <c r="K43" i="17"/>
  <c r="I43" i="17"/>
  <c r="T30" i="17"/>
  <c r="AA30" i="17" s="1"/>
  <c r="E53" i="17" s="1"/>
  <c r="T22" i="17"/>
  <c r="AA22" i="17" s="1"/>
  <c r="E48" i="17" s="1"/>
  <c r="S15" i="17"/>
  <c r="T15" i="17" s="1"/>
  <c r="AA15" i="17" s="1"/>
  <c r="E44" i="17" s="1"/>
  <c r="S17" i="17"/>
  <c r="Y17" i="17" s="1"/>
  <c r="T20" i="17"/>
  <c r="AA20" i="17" s="1"/>
  <c r="E46" i="17" s="1"/>
  <c r="T31" i="17"/>
  <c r="AA31" i="17" s="1"/>
  <c r="E54" i="17" s="1"/>
  <c r="Y11" i="17"/>
  <c r="I38" i="17" s="1"/>
  <c r="S14" i="17"/>
  <c r="T14" i="17" s="1"/>
  <c r="AA14" i="17" s="1"/>
  <c r="E43" i="17" s="1"/>
  <c r="S12" i="17"/>
  <c r="T12" i="17" s="1"/>
  <c r="AA12" i="17" s="1"/>
  <c r="E41" i="17" s="1"/>
  <c r="T13" i="17"/>
  <c r="AA13" i="17" s="1"/>
  <c r="E42" i="17" s="1"/>
  <c r="T23" i="17"/>
  <c r="AA23" i="17" s="1"/>
  <c r="E49" i="17" s="1"/>
  <c r="R55" i="20"/>
  <c r="S55" i="20" s="1"/>
  <c r="R57" i="20"/>
  <c r="S57" i="20" s="1"/>
  <c r="R56" i="20"/>
  <c r="S56" i="20" s="1"/>
  <c r="T11" i="17"/>
  <c r="AA11" i="17" s="1"/>
  <c r="K38" i="17" s="1"/>
  <c r="Y58" i="20"/>
  <c r="T58" i="20"/>
  <c r="AA58" i="20" s="1"/>
  <c r="S16" i="17"/>
  <c r="Y16" i="17" s="1"/>
  <c r="T60" i="20"/>
  <c r="AA60" i="20" s="1"/>
  <c r="Y60" i="20"/>
  <c r="Y59" i="20"/>
  <c r="T59" i="20"/>
  <c r="AA59" i="20" s="1"/>
  <c r="T61" i="20"/>
  <c r="AA61" i="20" s="1"/>
  <c r="Y61" i="20"/>
  <c r="Y29" i="17"/>
  <c r="C52" i="17" s="1"/>
  <c r="Y24" i="17"/>
  <c r="T7" i="17"/>
  <c r="AA7" i="17" s="1"/>
  <c r="E39" i="17" s="1"/>
  <c r="Y7" i="17"/>
  <c r="C39" i="17" s="1"/>
  <c r="C4" i="17"/>
  <c r="O4" i="17" s="1"/>
  <c r="S4" i="17" s="1"/>
  <c r="T4" i="17" s="1"/>
  <c r="C5" i="17"/>
  <c r="O5" i="17" s="1"/>
  <c r="S5" i="17" s="1"/>
  <c r="C6" i="17"/>
  <c r="O6" i="17" s="1"/>
  <c r="S6" i="17" s="1"/>
  <c r="C8" i="17"/>
  <c r="O8" i="17" s="1"/>
  <c r="S8" i="17" s="1"/>
  <c r="C50" i="17" l="1"/>
  <c r="Y15" i="17"/>
  <c r="C44" i="17" s="1"/>
  <c r="C45" i="17"/>
  <c r="Y12" i="17"/>
  <c r="C41" i="17" s="1"/>
  <c r="T17" i="17"/>
  <c r="AA17" i="17" s="1"/>
  <c r="Y14" i="17"/>
  <c r="C43" i="17" s="1"/>
  <c r="T16" i="17"/>
  <c r="AA16" i="17" s="1"/>
  <c r="E45" i="17" s="1"/>
  <c r="T56" i="20"/>
  <c r="AA56" i="20" s="1"/>
  <c r="Y56" i="20"/>
  <c r="T57" i="20"/>
  <c r="AA57" i="20" s="1"/>
  <c r="Y57" i="20"/>
  <c r="Y55" i="20"/>
  <c r="T55" i="20"/>
  <c r="AA55" i="20" s="1"/>
  <c r="T6" i="17"/>
  <c r="AA6" i="17" s="1"/>
  <c r="E38" i="17" s="1"/>
  <c r="Y6" i="17"/>
  <c r="C38" i="17" s="1"/>
  <c r="AA4" i="17"/>
  <c r="E36" i="17" s="1"/>
  <c r="Y4" i="17"/>
  <c r="C36" i="17" s="1"/>
  <c r="T8" i="17"/>
  <c r="AA8" i="17" s="1"/>
  <c r="E40" i="17" s="1"/>
  <c r="Y8" i="17"/>
  <c r="C40" i="17" s="1"/>
  <c r="T5" i="17"/>
  <c r="AA5" i="17" s="1"/>
  <c r="E37" i="17" s="1"/>
  <c r="Y5" i="17"/>
  <c r="C37" i="17" s="1"/>
  <c r="K39" i="17" l="1"/>
  <c r="I39" i="17"/>
</calcChain>
</file>

<file path=xl/sharedStrings.xml><?xml version="1.0" encoding="utf-8"?>
<sst xmlns="http://schemas.openxmlformats.org/spreadsheetml/2006/main" count="1106" uniqueCount="299">
  <si>
    <t>g</t>
  </si>
  <si>
    <t>c</t>
  </si>
  <si>
    <t>f</t>
  </si>
  <si>
    <t>C</t>
  </si>
  <si>
    <t>-150/+0</t>
  </si>
  <si>
    <t>-425/+150</t>
  </si>
  <si>
    <t>-1000/+425</t>
  </si>
  <si>
    <t>-2000/+1000</t>
  </si>
  <si>
    <t>-6700/+2000</t>
  </si>
  <si>
    <t>q</t>
  </si>
  <si>
    <t>p</t>
  </si>
  <si>
    <t>N</t>
  </si>
  <si>
    <t>1-p</t>
  </si>
  <si>
    <t>Size fraction</t>
  </si>
  <si>
    <t>Sample B</t>
  </si>
  <si>
    <t>Other Sulfide</t>
  </si>
  <si>
    <t>Dissolving</t>
  </si>
  <si>
    <t>Fast Weathering</t>
  </si>
  <si>
    <t>Intermediate Weathering</t>
  </si>
  <si>
    <t>Slow Weathering</t>
  </si>
  <si>
    <t>Inert</t>
  </si>
  <si>
    <t>Other</t>
  </si>
  <si>
    <t>Sample D</t>
  </si>
  <si>
    <t/>
  </si>
  <si>
    <t>ParticleCount</t>
  </si>
  <si>
    <t>Sample</t>
  </si>
  <si>
    <t>Fe-Sulfide</t>
  </si>
  <si>
    <t>Total Mass</t>
  </si>
  <si>
    <t>Total Volume</t>
  </si>
  <si>
    <t>Sample C</t>
  </si>
  <si>
    <t>0-0.2</t>
  </si>
  <si>
    <t>0.2-0.4</t>
  </si>
  <si>
    <t>0.4-0.6</t>
  </si>
  <si>
    <t>0.6-0.8</t>
  </si>
  <si>
    <t>0.8-1</t>
  </si>
  <si>
    <t>SCT</t>
  </si>
  <si>
    <t>b</t>
  </si>
  <si>
    <t>a</t>
  </si>
  <si>
    <t>Sample A</t>
  </si>
  <si>
    <t>Sum</t>
  </si>
  <si>
    <t xml:space="preserve">Sampling constant </t>
  </si>
  <si>
    <t>Shape Factor</t>
  </si>
  <si>
    <t>Liberation Factor</t>
  </si>
  <si>
    <t xml:space="preserve">Constitution Factor </t>
  </si>
  <si>
    <t>l (or β)</t>
  </si>
  <si>
    <t>Grade of the lot or sample (%)</t>
  </si>
  <si>
    <t>Size distribution factor</t>
  </si>
  <si>
    <t>(Minkkinen 2004)</t>
  </si>
  <si>
    <t>(Minnit et al., 2007a)</t>
  </si>
  <si>
    <t>Size Fraction</t>
  </si>
  <si>
    <t>Bulk</t>
  </si>
  <si>
    <t xml:space="preserve">Acicular </t>
  </si>
  <si>
    <t>Perfectly Spherical</t>
  </si>
  <si>
    <t>Roundness QEMSCAN</t>
  </si>
  <si>
    <t>Roundness Equation</t>
  </si>
  <si>
    <t>Roundness Converted</t>
  </si>
  <si>
    <t>Sample A Meso-scale</t>
  </si>
  <si>
    <t>Sample A Micro-scale</t>
  </si>
  <si>
    <t>Mass of lot (g)</t>
  </si>
  <si>
    <t>Number of particles in sample</t>
  </si>
  <si>
    <t>Number of Fe-sulfide-bearing particles in sample</t>
  </si>
  <si>
    <t>Proportion of the mineral of interest</t>
  </si>
  <si>
    <t xml:space="preserve">FSE associated with sub-sample </t>
  </si>
  <si>
    <t>(Napier-Munn, 2015)</t>
  </si>
  <si>
    <t>Standard deviation obtained from the binomial distribution estimation</t>
  </si>
  <si>
    <t>Total standard deviation associated with the mineralogical data</t>
  </si>
  <si>
    <t>Cum. % passing</t>
  </si>
  <si>
    <t>Cum mass</t>
  </si>
  <si>
    <t>Mean Grain Size (μm)</t>
  </si>
  <si>
    <t>Size Fraction (μm)</t>
  </si>
  <si>
    <t>-6700/+2000 L85</t>
  </si>
  <si>
    <t>-2000/+1000 L85</t>
  </si>
  <si>
    <t>-1000/+425 L85</t>
  </si>
  <si>
    <t>-425/+150 L85</t>
  </si>
  <si>
    <t>-150/+0 L85</t>
  </si>
  <si>
    <t>-2000/1000</t>
  </si>
  <si>
    <t>Sample A  Meso-scale</t>
  </si>
  <si>
    <t>Sample B Meso-scale</t>
  </si>
  <si>
    <t>Sample C Meso-scale</t>
  </si>
  <si>
    <t>Sample D Meso-scale</t>
  </si>
  <si>
    <t>Sample B Micro-scale</t>
  </si>
  <si>
    <t>Sub-sample mass (g)</t>
  </si>
  <si>
    <t>FSE variance for sub-sample</t>
  </si>
  <si>
    <t>-</t>
  </si>
  <si>
    <t>FSE variance for parent sub-sample</t>
  </si>
  <si>
    <t>(François-Bongarçon &amp; Gy, 2002)</t>
  </si>
  <si>
    <t>Sample C Micro-scale</t>
  </si>
  <si>
    <t>Sample D Micro-scale</t>
  </si>
  <si>
    <r>
      <t>d</t>
    </r>
    <r>
      <rPr>
        <b/>
        <vertAlign val="subscript"/>
        <sz val="11"/>
        <color theme="1"/>
        <rFont val="Calibri (Body)"/>
      </rPr>
      <t>i</t>
    </r>
    <r>
      <rPr>
        <b/>
        <sz val="11"/>
        <color theme="1"/>
        <rFont val="Calibri"/>
        <family val="2"/>
        <scheme val="minor"/>
      </rPr>
      <t>/d</t>
    </r>
    <r>
      <rPr>
        <b/>
        <vertAlign val="subscript"/>
        <sz val="11"/>
        <color theme="1"/>
        <rFont val="Calibri (Body)"/>
      </rPr>
      <t>5</t>
    </r>
  </si>
  <si>
    <r>
      <t>d</t>
    </r>
    <r>
      <rPr>
        <b/>
        <vertAlign val="subscript"/>
        <sz val="11"/>
        <color theme="1"/>
        <rFont val="Calibri"/>
        <family val="2"/>
      </rPr>
      <t>i</t>
    </r>
  </si>
  <si>
    <r>
      <t>d</t>
    </r>
    <r>
      <rPr>
        <b/>
        <vertAlign val="subscript"/>
        <sz val="11"/>
        <color theme="1"/>
        <rFont val="Calibri"/>
        <family val="2"/>
      </rPr>
      <t>5</t>
    </r>
  </si>
  <si>
    <r>
      <t>ρ</t>
    </r>
    <r>
      <rPr>
        <b/>
        <vertAlign val="subscript"/>
        <sz val="11"/>
        <color theme="1"/>
        <rFont val="Calibri"/>
        <family val="2"/>
      </rPr>
      <t>m</t>
    </r>
  </si>
  <si>
    <r>
      <t>ρ</t>
    </r>
    <r>
      <rPr>
        <b/>
        <vertAlign val="subscript"/>
        <sz val="11"/>
        <color theme="1"/>
        <rFont val="Calibri"/>
        <family val="2"/>
      </rPr>
      <t>g</t>
    </r>
  </si>
  <si>
    <r>
      <t>M</t>
    </r>
    <r>
      <rPr>
        <b/>
        <vertAlign val="subscript"/>
        <sz val="11"/>
        <color theme="1"/>
        <rFont val="Calibri (Body)"/>
      </rPr>
      <t>L</t>
    </r>
  </si>
  <si>
    <r>
      <t>M</t>
    </r>
    <r>
      <rPr>
        <b/>
        <vertAlign val="subscript"/>
        <sz val="11"/>
        <color theme="1"/>
        <rFont val="Calibri (Body)"/>
      </rPr>
      <t>S</t>
    </r>
  </si>
  <si>
    <r>
      <t>σ</t>
    </r>
    <r>
      <rPr>
        <b/>
        <vertAlign val="subscript"/>
        <sz val="11"/>
        <color theme="1"/>
        <rFont val="Calibri (Body)"/>
      </rPr>
      <t>r,bulk</t>
    </r>
    <r>
      <rPr>
        <b/>
        <vertAlign val="superscript"/>
        <sz val="11"/>
        <color theme="1"/>
        <rFont val="Calibri (Body)"/>
      </rPr>
      <t>2</t>
    </r>
  </si>
  <si>
    <r>
      <t>σ</t>
    </r>
    <r>
      <rPr>
        <b/>
        <vertAlign val="subscript"/>
        <sz val="11"/>
        <color theme="1"/>
        <rFont val="Calibri (Body)"/>
      </rPr>
      <t>r</t>
    </r>
    <r>
      <rPr>
        <b/>
        <vertAlign val="superscript"/>
        <sz val="11"/>
        <color theme="1"/>
        <rFont val="Calibri (Body)"/>
      </rPr>
      <t>2</t>
    </r>
  </si>
  <si>
    <r>
      <t>σ</t>
    </r>
    <r>
      <rPr>
        <b/>
        <vertAlign val="subscript"/>
        <sz val="11"/>
        <color theme="1"/>
        <rFont val="Calibri (Body)"/>
      </rPr>
      <t>SE</t>
    </r>
  </si>
  <si>
    <r>
      <t>N</t>
    </r>
    <r>
      <rPr>
        <b/>
        <vertAlign val="subscript"/>
        <sz val="11"/>
        <color theme="1"/>
        <rFont val="Calibri (Body)"/>
      </rPr>
      <t>S</t>
    </r>
  </si>
  <si>
    <r>
      <t>σ</t>
    </r>
    <r>
      <rPr>
        <b/>
        <vertAlign val="subscript"/>
        <sz val="11"/>
        <color theme="1"/>
        <rFont val="Calibri (Body)"/>
      </rPr>
      <t>AE</t>
    </r>
  </si>
  <si>
    <r>
      <t>σ</t>
    </r>
    <r>
      <rPr>
        <b/>
        <vertAlign val="subscript"/>
        <sz val="11"/>
        <color theme="1"/>
        <rFont val="Calibri (Body)"/>
      </rPr>
      <t>t</t>
    </r>
  </si>
  <si>
    <r>
      <t>l</t>
    </r>
    <r>
      <rPr>
        <b/>
        <vertAlign val="subscript"/>
        <sz val="11"/>
        <color theme="1"/>
        <rFont val="Calibri (Body)"/>
      </rPr>
      <t>85</t>
    </r>
    <r>
      <rPr>
        <b/>
        <sz val="11"/>
        <color theme="1"/>
        <rFont val="Calibri"/>
        <family val="2"/>
        <scheme val="minor"/>
      </rPr>
      <t xml:space="preserve"> (cm)</t>
    </r>
  </si>
  <si>
    <r>
      <t>d</t>
    </r>
    <r>
      <rPr>
        <b/>
        <vertAlign val="subscript"/>
        <sz val="11"/>
        <color theme="1"/>
        <rFont val="Calibri (Body)"/>
      </rPr>
      <t xml:space="preserve">95 </t>
    </r>
    <r>
      <rPr>
        <b/>
        <sz val="11"/>
        <color theme="1"/>
        <rFont val="Calibri (Body)"/>
      </rPr>
      <t>or top size</t>
    </r>
    <r>
      <rPr>
        <b/>
        <sz val="11"/>
        <color theme="1"/>
        <rFont val="Calibri"/>
        <family val="2"/>
        <scheme val="minor"/>
      </rPr>
      <t xml:space="preserve"> (cm)</t>
    </r>
  </si>
  <si>
    <r>
      <t>d</t>
    </r>
    <r>
      <rPr>
        <b/>
        <vertAlign val="subscript"/>
        <sz val="11"/>
        <color theme="1"/>
        <rFont val="Calibri (Body)"/>
      </rPr>
      <t>5</t>
    </r>
    <r>
      <rPr>
        <b/>
        <sz val="11"/>
        <color theme="1"/>
        <rFont val="Calibri"/>
        <family val="2"/>
        <scheme val="minor"/>
      </rPr>
      <t xml:space="preserve"> or lower size limit (cm)</t>
    </r>
  </si>
  <si>
    <r>
      <t>Density of MoI (g/m</t>
    </r>
    <r>
      <rPr>
        <b/>
        <vertAlign val="superscript"/>
        <sz val="11"/>
        <color theme="1"/>
        <rFont val="Calibri (Body)"/>
      </rPr>
      <t>3</t>
    </r>
    <r>
      <rPr>
        <b/>
        <sz val="11"/>
        <color theme="1"/>
        <rFont val="Calibri"/>
        <family val="2"/>
        <scheme val="minor"/>
      </rPr>
      <t>)</t>
    </r>
  </si>
  <si>
    <r>
      <t>Density of Gangue (g/m</t>
    </r>
    <r>
      <rPr>
        <b/>
        <vertAlign val="superscript"/>
        <sz val="11"/>
        <color theme="1"/>
        <rFont val="Calibri (Body)"/>
      </rPr>
      <t>3</t>
    </r>
    <r>
      <rPr>
        <b/>
        <sz val="11"/>
        <color theme="1"/>
        <rFont val="Calibri"/>
        <family val="2"/>
        <scheme val="minor"/>
      </rPr>
      <t>)</t>
    </r>
  </si>
  <si>
    <t>Standard deviation of the FSE</t>
  </si>
  <si>
    <t>HCT</t>
  </si>
  <si>
    <t>HCT L85</t>
  </si>
  <si>
    <t>SCT L85</t>
  </si>
  <si>
    <t>Parameter</t>
  </si>
  <si>
    <t>Description</t>
  </si>
  <si>
    <t>Commonly used values</t>
  </si>
  <si>
    <t>Shape factor</t>
  </si>
  <si>
    <t>1 – cubic particles</t>
  </si>
  <si>
    <t>0.524 – perfectly spherical particles</t>
  </si>
  <si>
    <t>0.5 – spheroidal particles</t>
  </si>
  <si>
    <t>0.1 – flat, disk-like particles</t>
  </si>
  <si>
    <t>1 – all particles of identical size</t>
  </si>
  <si>
    <t>(Minnitt et al., 2007a)</t>
  </si>
  <si>
    <t>Estimated based on the width of the size distribution for the sample/fraction</t>
  </si>
  <si>
    <t>Liberation factor</t>
  </si>
  <si>
    <t>1 – liberated material or material ground to size below the liberation size</t>
  </si>
  <si>
    <t>0.03 – minerals of interest very small in comparison to particle size</t>
  </si>
  <si>
    <t>Grade of the lot (% or decimal proportion of the mineral of interes)</t>
  </si>
  <si>
    <t>Parameter estimation</t>
  </si>
  <si>
    <t>Density of the mineral of interest</t>
  </si>
  <si>
    <t>Density of the mineral matrix</t>
  </si>
  <si>
    <t>Constitution factor</t>
  </si>
  <si>
    <t>Sampling constant</t>
  </si>
  <si>
    <t>Estimated by categorising the particles in the size fraction/sample according to “roundness”, similar to the method developed by Little et al. (2015), then normalising with respect to asicular and perfectly spherical particles (see "Roundness" sheet).</t>
  </si>
  <si>
    <r>
      <t>d</t>
    </r>
    <r>
      <rPr>
        <b/>
        <vertAlign val="subscript"/>
        <sz val="11"/>
        <color theme="1"/>
        <rFont val="Calibri"/>
        <family val="2"/>
      </rPr>
      <t>l</t>
    </r>
  </si>
  <si>
    <t>Obtained from the average grade of the sample/size fraction (see "Mineralogy" sheet).</t>
  </si>
  <si>
    <t>Roughly estimated as the total mass over the total volume of the sample or size fraction, as obtained from QEMSCAN (see "Mineralogy" sheet).</t>
  </si>
  <si>
    <r>
      <t>d</t>
    </r>
    <r>
      <rPr>
        <vertAlign val="subscript"/>
        <sz val="11"/>
        <color theme="1"/>
        <rFont val="Calibri (Body)"/>
      </rPr>
      <t>85</t>
    </r>
    <r>
      <rPr>
        <sz val="11"/>
        <color theme="1"/>
        <rFont val="Calibri"/>
        <family val="2"/>
        <scheme val="minor"/>
      </rPr>
      <t xml:space="preserve"> liberation size </t>
    </r>
  </si>
  <si>
    <r>
      <t>d</t>
    </r>
    <r>
      <rPr>
        <b/>
        <vertAlign val="subscript"/>
        <sz val="11"/>
        <color theme="1"/>
        <rFont val="Calibri (Body)"/>
      </rPr>
      <t>85</t>
    </r>
    <r>
      <rPr>
        <b/>
        <sz val="11"/>
        <color theme="1"/>
        <rFont val="Calibri"/>
        <family val="2"/>
        <scheme val="minor"/>
      </rPr>
      <t xml:space="preserve"> liberation size </t>
    </r>
  </si>
  <si>
    <t>See "Grain Size Distribution" sheet.</t>
  </si>
  <si>
    <t>Sample lowest size for size distribution factor determination or lower bound of size fraction</t>
  </si>
  <si>
    <t>Obtained from particle size distribution or upper bound of size fraction range.</t>
  </si>
  <si>
    <t>Obtained from particle size distribution or lower bound of size fraction range.</t>
  </si>
  <si>
    <r>
      <t>0.75 – if di/d</t>
    </r>
    <r>
      <rPr>
        <vertAlign val="subscript"/>
        <sz val="11"/>
        <color theme="1"/>
        <rFont val="Calibri"/>
        <family val="2"/>
        <scheme val="minor"/>
      </rPr>
      <t>5</t>
    </r>
    <r>
      <rPr>
        <sz val="11"/>
        <color theme="1"/>
        <rFont val="Calibri"/>
        <family val="2"/>
        <scheme val="minor"/>
      </rPr>
      <t xml:space="preserve"> is between 1 and 2</t>
    </r>
  </si>
  <si>
    <r>
      <t>0.5 – if d</t>
    </r>
    <r>
      <rPr>
        <vertAlign val="subscript"/>
        <sz val="11"/>
        <color theme="1"/>
        <rFont val="Calibri"/>
        <family val="2"/>
        <scheme val="minor"/>
      </rPr>
      <t>i</t>
    </r>
    <r>
      <rPr>
        <sz val="11"/>
        <color theme="1"/>
        <rFont val="Calibri"/>
        <family val="2"/>
        <scheme val="minor"/>
      </rPr>
      <t>/d</t>
    </r>
    <r>
      <rPr>
        <vertAlign val="subscript"/>
        <sz val="11"/>
        <color theme="1"/>
        <rFont val="Calibri"/>
        <family val="2"/>
        <scheme val="minor"/>
      </rPr>
      <t>5</t>
    </r>
    <r>
      <rPr>
        <sz val="11"/>
        <color theme="1"/>
        <rFont val="Calibri"/>
        <family val="2"/>
        <scheme val="minor"/>
      </rPr>
      <t xml:space="preserve"> is between 2 and 4</t>
    </r>
  </si>
  <si>
    <r>
      <t>0.25 – wide particle size distribution or if d</t>
    </r>
    <r>
      <rPr>
        <vertAlign val="subscript"/>
        <sz val="11"/>
        <color theme="1"/>
        <rFont val="Calibri"/>
        <family val="2"/>
        <scheme val="minor"/>
      </rPr>
      <t>i</t>
    </r>
    <r>
      <rPr>
        <sz val="11"/>
        <color theme="1"/>
        <rFont val="Calibri"/>
        <family val="2"/>
        <scheme val="minor"/>
      </rPr>
      <t>/d</t>
    </r>
    <r>
      <rPr>
        <vertAlign val="subscript"/>
        <sz val="11"/>
        <color theme="1"/>
        <rFont val="Calibri"/>
        <family val="2"/>
        <scheme val="minor"/>
      </rPr>
      <t>5</t>
    </r>
    <r>
      <rPr>
        <sz val="11"/>
        <color theme="1"/>
        <rFont val="Calibri"/>
        <family val="2"/>
        <scheme val="minor"/>
      </rPr>
      <t xml:space="preserve"> is greater than 4</t>
    </r>
  </si>
  <si>
    <r>
      <t>Calculated as a ratio of the d</t>
    </r>
    <r>
      <rPr>
        <vertAlign val="subscript"/>
        <sz val="11"/>
        <color theme="1"/>
        <rFont val="Calibri"/>
        <family val="2"/>
        <scheme val="minor"/>
      </rPr>
      <t>85</t>
    </r>
    <r>
      <rPr>
        <sz val="11"/>
        <color theme="1"/>
        <rFont val="Calibri"/>
        <family val="2"/>
        <scheme val="minor"/>
      </rPr>
      <t xml:space="preserve"> liberation size (d</t>
    </r>
    <r>
      <rPr>
        <vertAlign val="subscript"/>
        <sz val="11"/>
        <color theme="1"/>
        <rFont val="Calibri"/>
        <family val="2"/>
        <scheme val="minor"/>
      </rPr>
      <t>l</t>
    </r>
    <r>
      <rPr>
        <sz val="11"/>
        <color theme="1"/>
        <rFont val="Calibri"/>
        <family val="2"/>
        <scheme val="minor"/>
      </rPr>
      <t>) for the mineral of interest and the sample/size fraction top size) . d</t>
    </r>
    <r>
      <rPr>
        <vertAlign val="subscript"/>
        <sz val="11"/>
        <color theme="1"/>
        <rFont val="Calibri"/>
        <family val="2"/>
        <scheme val="minor"/>
      </rPr>
      <t>l</t>
    </r>
    <r>
      <rPr>
        <sz val="11"/>
        <color theme="1"/>
        <rFont val="Calibri"/>
        <family val="2"/>
        <scheme val="minor"/>
      </rPr>
      <t xml:space="preserve"> estimated from the grain size distributions (see "Grain Size Distribution" sheet) and b conservatively estimated as 1</t>
    </r>
  </si>
  <si>
    <r>
      <t>ρ</t>
    </r>
    <r>
      <rPr>
        <b/>
        <vertAlign val="subscript"/>
        <sz val="11"/>
        <color theme="1"/>
        <rFont val="Calibri"/>
        <family val="2"/>
        <scheme val="minor"/>
      </rPr>
      <t>m</t>
    </r>
  </si>
  <si>
    <r>
      <t>Estimated from the content and density of the respective Fe-sulfide minerals in the sample/size fraction. For pyrite-rich sample B this was taken as 5.01g/cm</t>
    </r>
    <r>
      <rPr>
        <vertAlign val="superscript"/>
        <sz val="11"/>
        <color theme="1"/>
        <rFont val="Calibri"/>
        <family val="2"/>
        <scheme val="minor"/>
      </rPr>
      <t>3</t>
    </r>
    <r>
      <rPr>
        <sz val="11"/>
        <color theme="1"/>
        <rFont val="Calibri"/>
        <family val="2"/>
        <scheme val="minor"/>
      </rPr>
      <t>. For pyrrhotite-rich samples A, C and D this was taken as 4.61 g/cm</t>
    </r>
    <r>
      <rPr>
        <vertAlign val="superscript"/>
        <sz val="11"/>
        <color theme="1"/>
        <rFont val="Calibri"/>
        <family val="2"/>
        <scheme val="minor"/>
      </rPr>
      <t>3</t>
    </r>
    <r>
      <rPr>
        <sz val="11"/>
        <color theme="1"/>
        <rFont val="Calibri"/>
        <family val="2"/>
        <scheme val="minor"/>
      </rPr>
      <t>.</t>
    </r>
  </si>
  <si>
    <r>
      <t>ρ</t>
    </r>
    <r>
      <rPr>
        <b/>
        <vertAlign val="subscript"/>
        <sz val="11"/>
        <color theme="1"/>
        <rFont val="Calibri"/>
        <family val="2"/>
        <scheme val="minor"/>
      </rPr>
      <t>g</t>
    </r>
  </si>
  <si>
    <r>
      <t>d</t>
    </r>
    <r>
      <rPr>
        <b/>
        <vertAlign val="subscript"/>
        <sz val="11"/>
        <color theme="1"/>
        <rFont val="Calibri"/>
        <family val="2"/>
        <scheme val="minor"/>
      </rPr>
      <t>l</t>
    </r>
  </si>
  <si>
    <r>
      <t>d</t>
    </r>
    <r>
      <rPr>
        <vertAlign val="subscript"/>
        <sz val="11"/>
        <color theme="1"/>
        <rFont val="Calibri"/>
        <family val="2"/>
        <scheme val="minor"/>
      </rPr>
      <t>85</t>
    </r>
    <r>
      <rPr>
        <sz val="11"/>
        <color theme="1"/>
        <rFont val="Calibri"/>
        <family val="2"/>
        <scheme val="minor"/>
      </rPr>
      <t xml:space="preserve"> liberation size </t>
    </r>
  </si>
  <si>
    <r>
      <t>d</t>
    </r>
    <r>
      <rPr>
        <b/>
        <vertAlign val="subscript"/>
        <sz val="11"/>
        <color theme="1"/>
        <rFont val="Calibri"/>
        <family val="2"/>
        <scheme val="minor"/>
      </rPr>
      <t>i</t>
    </r>
  </si>
  <si>
    <r>
      <t>Sample top size or sample d</t>
    </r>
    <r>
      <rPr>
        <vertAlign val="subscript"/>
        <sz val="11"/>
        <color theme="1"/>
        <rFont val="Calibri"/>
        <family val="2"/>
        <scheme val="minor"/>
      </rPr>
      <t>95</t>
    </r>
    <r>
      <rPr>
        <sz val="11"/>
        <color theme="1"/>
        <rFont val="Calibri"/>
        <family val="2"/>
        <scheme val="minor"/>
      </rPr>
      <t xml:space="preserve"> </t>
    </r>
  </si>
  <si>
    <r>
      <t>d</t>
    </r>
    <r>
      <rPr>
        <b/>
        <vertAlign val="subscript"/>
        <sz val="11"/>
        <color theme="1"/>
        <rFont val="Calibri"/>
        <family val="2"/>
        <scheme val="minor"/>
      </rPr>
      <t>5</t>
    </r>
  </si>
  <si>
    <t>Mass of the lot</t>
  </si>
  <si>
    <t>Taken as the mass from which the sub-sample was obtained. For HCT, this was the mass of the received parent sample.</t>
  </si>
  <si>
    <r>
      <t>M</t>
    </r>
    <r>
      <rPr>
        <vertAlign val="subscript"/>
        <sz val="11"/>
        <color theme="1"/>
        <rFont val="Calibri (Body)"/>
      </rPr>
      <t>S</t>
    </r>
  </si>
  <si>
    <t>Mass of the sub-sample</t>
  </si>
  <si>
    <r>
      <t>Taken as the final mass of the sub-sample obtained from the corresponding M</t>
    </r>
    <r>
      <rPr>
        <vertAlign val="subscript"/>
        <sz val="11"/>
        <color theme="1"/>
        <rFont val="Calibri (Body)"/>
      </rPr>
      <t>L</t>
    </r>
    <r>
      <rPr>
        <sz val="11"/>
        <color theme="1"/>
        <rFont val="Calibri"/>
        <family val="2"/>
        <scheme val="minor"/>
      </rPr>
      <t>.</t>
    </r>
  </si>
  <si>
    <t xml:space="preserve">Fundamental sampling error (FSE) variance associated with the sub-sampling of the bulk parent material </t>
  </si>
  <si>
    <r>
      <t>Fundamental sampling error (FSE) variance associated with the sub-sampling of the sub-samples of the parent material for various experiments(also σ</t>
    </r>
    <r>
      <rPr>
        <vertAlign val="superscript"/>
        <sz val="11"/>
        <color theme="1"/>
        <rFont val="Calibri (Body)"/>
      </rPr>
      <t>2</t>
    </r>
    <r>
      <rPr>
        <vertAlign val="subscript"/>
        <sz val="11"/>
        <color theme="1"/>
        <rFont val="Calibri (Body)"/>
      </rPr>
      <t>SE</t>
    </r>
    <r>
      <rPr>
        <sz val="11"/>
        <color theme="1"/>
        <rFont val="Calibri"/>
        <family val="2"/>
        <scheme val="minor"/>
      </rPr>
      <t>)</t>
    </r>
  </si>
  <si>
    <r>
      <t>Computed based  on the sampling of the "as received" parent sample, with the inclusion of the error obtained from the sampling of the original lot (i.e. where M</t>
    </r>
    <r>
      <rPr>
        <vertAlign val="subscript"/>
        <sz val="11"/>
        <color theme="1"/>
        <rFont val="Calibri (Body)"/>
      </rPr>
      <t>L</t>
    </r>
    <r>
      <rPr>
        <sz val="11"/>
        <color theme="1"/>
        <rFont val="Calibri"/>
        <family val="2"/>
        <scheme val="minor"/>
      </rPr>
      <t>&gt;&gt;M</t>
    </r>
    <r>
      <rPr>
        <vertAlign val="subscript"/>
        <sz val="11"/>
        <color theme="1"/>
        <rFont val="Calibri (Body)"/>
      </rPr>
      <t>S</t>
    </r>
    <r>
      <rPr>
        <sz val="11"/>
        <color theme="1"/>
        <rFont val="Calibri"/>
        <family val="2"/>
        <scheme val="minor"/>
      </rPr>
      <t>).</t>
    </r>
  </si>
  <si>
    <t>Total number of assessed particles</t>
  </si>
  <si>
    <t>Obtained from QEMSCAN.</t>
  </si>
  <si>
    <t>Total number of assessed Fe-sulfide-bearing particles</t>
  </si>
  <si>
    <r>
      <t>N</t>
    </r>
    <r>
      <rPr>
        <vertAlign val="subscript"/>
        <sz val="11"/>
        <color theme="1"/>
        <rFont val="Calibri (Body)"/>
      </rPr>
      <t>S</t>
    </r>
  </si>
  <si>
    <r>
      <t>σ</t>
    </r>
    <r>
      <rPr>
        <b/>
        <vertAlign val="superscript"/>
        <sz val="11"/>
        <color theme="1"/>
        <rFont val="Calibri (Body)"/>
      </rPr>
      <t>2</t>
    </r>
    <r>
      <rPr>
        <b/>
        <vertAlign val="subscript"/>
        <sz val="11"/>
        <color theme="1"/>
        <rFont val="Calibri (Body)"/>
      </rPr>
      <t>r,bulk</t>
    </r>
  </si>
  <si>
    <r>
      <t>σ</t>
    </r>
    <r>
      <rPr>
        <b/>
        <vertAlign val="superscript"/>
        <sz val="11"/>
        <color theme="1"/>
        <rFont val="Calibri (Body)"/>
      </rPr>
      <t>2</t>
    </r>
    <r>
      <rPr>
        <b/>
        <vertAlign val="subscript"/>
        <sz val="11"/>
        <color theme="1"/>
        <rFont val="Calibri (Body)"/>
      </rPr>
      <t>r</t>
    </r>
  </si>
  <si>
    <t xml:space="preserve">Proportion of the mineral of interest </t>
  </si>
  <si>
    <t xml:space="preserve">Standard deviation of a binomial distribution of the mineral grains of interest </t>
  </si>
  <si>
    <t>Total error that includes consideration for both the FSE and mineralogical error</t>
  </si>
  <si>
    <t>Troubleshooting Variant</t>
  </si>
  <si>
    <t>Test</t>
  </si>
  <si>
    <r>
      <t>Variation of σ</t>
    </r>
    <r>
      <rPr>
        <b/>
        <vertAlign val="subscript"/>
        <sz val="11"/>
        <color theme="1"/>
        <rFont val="Calibri (Body)"/>
      </rPr>
      <t>t</t>
    </r>
    <r>
      <rPr>
        <b/>
        <sz val="11"/>
        <color theme="1"/>
        <rFont val="Calibri"/>
        <family val="2"/>
        <scheme val="minor"/>
      </rPr>
      <t xml:space="preserve"> with d</t>
    </r>
    <r>
      <rPr>
        <b/>
        <vertAlign val="subscript"/>
        <sz val="11"/>
        <color theme="1"/>
        <rFont val="Calibri (Body)"/>
      </rPr>
      <t>l</t>
    </r>
  </si>
  <si>
    <r>
      <t>Variation of σ</t>
    </r>
    <r>
      <rPr>
        <b/>
        <vertAlign val="subscript"/>
        <sz val="11"/>
        <color theme="1"/>
        <rFont val="Calibri (Body)"/>
      </rPr>
      <t>t</t>
    </r>
    <r>
      <rPr>
        <b/>
        <sz val="11"/>
        <color theme="1"/>
        <rFont val="Calibri"/>
        <family val="2"/>
        <scheme val="minor"/>
      </rPr>
      <t xml:space="preserve"> with a</t>
    </r>
  </si>
  <si>
    <r>
      <t>Variation of σ</t>
    </r>
    <r>
      <rPr>
        <b/>
        <vertAlign val="subscript"/>
        <sz val="11"/>
        <color theme="1"/>
        <rFont val="Calibri (Body)"/>
      </rPr>
      <t>t</t>
    </r>
    <r>
      <rPr>
        <b/>
        <sz val="11"/>
        <color theme="1"/>
        <rFont val="Calibri"/>
        <family val="2"/>
        <scheme val="minor"/>
      </rPr>
      <t xml:space="preserve"> with the number of blocks at values of a at 1%, 2.5%, 5%, 10% and 15%</t>
    </r>
  </si>
  <si>
    <r>
      <t>Variation of σ</t>
    </r>
    <r>
      <rPr>
        <b/>
        <vertAlign val="subscript"/>
        <sz val="11"/>
        <color theme="1"/>
        <rFont val="Calibri (Body)"/>
      </rPr>
      <t>t</t>
    </r>
    <r>
      <rPr>
        <b/>
        <sz val="11"/>
        <color theme="1"/>
        <rFont val="Calibri"/>
        <family val="2"/>
        <scheme val="minor"/>
      </rPr>
      <t xml:space="preserve"> with the number of blocks for samples A, B, C and D</t>
    </r>
  </si>
  <si>
    <t>Sample A Bulk SE</t>
  </si>
  <si>
    <r>
      <t>d</t>
    </r>
    <r>
      <rPr>
        <b/>
        <vertAlign val="subscript"/>
        <sz val="11"/>
        <color theme="1"/>
        <rFont val="Calibri (Body)"/>
      </rPr>
      <t xml:space="preserve">l </t>
    </r>
    <r>
      <rPr>
        <b/>
        <sz val="11"/>
        <color theme="1"/>
        <rFont val="Calibri"/>
        <family val="2"/>
        <scheme val="minor"/>
      </rPr>
      <t>= 0.1</t>
    </r>
  </si>
  <si>
    <r>
      <t>d</t>
    </r>
    <r>
      <rPr>
        <b/>
        <vertAlign val="subscript"/>
        <sz val="11"/>
        <color theme="1"/>
        <rFont val="Calibri (Body)"/>
      </rPr>
      <t xml:space="preserve">l </t>
    </r>
    <r>
      <rPr>
        <b/>
        <sz val="11"/>
        <color theme="1"/>
        <rFont val="Calibri"/>
        <family val="2"/>
        <scheme val="minor"/>
      </rPr>
      <t>= 0.2</t>
    </r>
    <r>
      <rPr>
        <sz val="12"/>
        <color theme="1"/>
        <rFont val="Calibri"/>
        <family val="2"/>
        <scheme val="minor"/>
      </rPr>
      <t/>
    </r>
  </si>
  <si>
    <r>
      <t>d</t>
    </r>
    <r>
      <rPr>
        <b/>
        <vertAlign val="subscript"/>
        <sz val="11"/>
        <color theme="1"/>
        <rFont val="Calibri (Body)"/>
      </rPr>
      <t xml:space="preserve">l </t>
    </r>
    <r>
      <rPr>
        <b/>
        <sz val="11"/>
        <color theme="1"/>
        <rFont val="Calibri"/>
        <family val="2"/>
        <scheme val="minor"/>
      </rPr>
      <t>= 0.3</t>
    </r>
    <r>
      <rPr>
        <sz val="12"/>
        <color theme="1"/>
        <rFont val="Calibri"/>
        <family val="2"/>
        <scheme val="minor"/>
      </rPr>
      <t/>
    </r>
  </si>
  <si>
    <r>
      <t>d</t>
    </r>
    <r>
      <rPr>
        <b/>
        <vertAlign val="subscript"/>
        <sz val="11"/>
        <color theme="1"/>
        <rFont val="Calibri (Body)"/>
      </rPr>
      <t xml:space="preserve">l </t>
    </r>
    <r>
      <rPr>
        <b/>
        <sz val="11"/>
        <color theme="1"/>
        <rFont val="Calibri"/>
        <family val="2"/>
        <scheme val="minor"/>
      </rPr>
      <t>= 0.4</t>
    </r>
    <r>
      <rPr>
        <sz val="12"/>
        <color theme="1"/>
        <rFont val="Calibri"/>
        <family val="2"/>
        <scheme val="minor"/>
      </rPr>
      <t/>
    </r>
  </si>
  <si>
    <r>
      <t>d</t>
    </r>
    <r>
      <rPr>
        <b/>
        <vertAlign val="subscript"/>
        <sz val="11"/>
        <color theme="1"/>
        <rFont val="Calibri (Body)"/>
      </rPr>
      <t xml:space="preserve">l </t>
    </r>
    <r>
      <rPr>
        <b/>
        <sz val="11"/>
        <color theme="1"/>
        <rFont val="Calibri"/>
        <family val="2"/>
        <scheme val="minor"/>
      </rPr>
      <t>= 0.5</t>
    </r>
    <r>
      <rPr>
        <sz val="12"/>
        <color theme="1"/>
        <rFont val="Calibri"/>
        <family val="2"/>
        <scheme val="minor"/>
      </rPr>
      <t/>
    </r>
  </si>
  <si>
    <r>
      <t>d</t>
    </r>
    <r>
      <rPr>
        <b/>
        <vertAlign val="subscript"/>
        <sz val="11"/>
        <color theme="1"/>
        <rFont val="Calibri (Body)"/>
      </rPr>
      <t xml:space="preserve">l </t>
    </r>
    <r>
      <rPr>
        <b/>
        <sz val="11"/>
        <color theme="1"/>
        <rFont val="Calibri"/>
        <family val="2"/>
        <scheme val="minor"/>
      </rPr>
      <t>= 0.6</t>
    </r>
    <r>
      <rPr>
        <sz val="12"/>
        <color theme="1"/>
        <rFont val="Calibri"/>
        <family val="2"/>
        <scheme val="minor"/>
      </rPr>
      <t/>
    </r>
  </si>
  <si>
    <t>a = 1%</t>
  </si>
  <si>
    <t>a = 2.5%</t>
  </si>
  <si>
    <t>a = 5%</t>
  </si>
  <si>
    <t>a = 10%</t>
  </si>
  <si>
    <t>a = 15%</t>
  </si>
  <si>
    <t>1 block, a = 1%</t>
  </si>
  <si>
    <t>2 block, a = 1%</t>
  </si>
  <si>
    <t>3 block, a = 1%</t>
  </si>
  <si>
    <t>4 block, a = 1%</t>
  </si>
  <si>
    <t>5 block, a = 1%</t>
  </si>
  <si>
    <t>1 block, a = 2.5%</t>
  </si>
  <si>
    <t>2 block, a = 2.5%</t>
  </si>
  <si>
    <t>3 block, a = 2.5%</t>
  </si>
  <si>
    <t>4 block, a = 2.5%</t>
  </si>
  <si>
    <t>5 block, a = 2.5%</t>
  </si>
  <si>
    <t>1 block, a = 5%</t>
  </si>
  <si>
    <t>2 block, a = 5%</t>
  </si>
  <si>
    <t>3 block, a = 5%</t>
  </si>
  <si>
    <t>4 block, a = 5%</t>
  </si>
  <si>
    <t>5 block, a = 5%</t>
  </si>
  <si>
    <t>1 block, a = 10%</t>
  </si>
  <si>
    <t>2 block, a = 10%</t>
  </si>
  <si>
    <t>3 block, a = 10%</t>
  </si>
  <si>
    <t>4 block, a = 10%</t>
  </si>
  <si>
    <t>5 block, a = 10%</t>
  </si>
  <si>
    <t>1 block, a = 15%</t>
  </si>
  <si>
    <t>2 block, a = 15%</t>
  </si>
  <si>
    <t>3 block, a = 15%</t>
  </si>
  <si>
    <t>4 block, a = 15%</t>
  </si>
  <si>
    <t>5 block, a = 15%</t>
  </si>
  <si>
    <t>1 block, Sample A</t>
  </si>
  <si>
    <t>2 block, Sample A</t>
  </si>
  <si>
    <t>1 block, Sample B</t>
  </si>
  <si>
    <t>2 block, Sample B</t>
  </si>
  <si>
    <t>3 block, Sample B</t>
  </si>
  <si>
    <t>1 block, Sample C</t>
  </si>
  <si>
    <t>2 block, Sample C</t>
  </si>
  <si>
    <t>1 block, Sample D</t>
  </si>
  <si>
    <t>4 block, Sample D</t>
  </si>
  <si>
    <t>X-axis</t>
  </si>
  <si>
    <t>Block 1</t>
  </si>
  <si>
    <t>Block 2</t>
  </si>
  <si>
    <t>Block 3</t>
  </si>
  <si>
    <r>
      <t>σ</t>
    </r>
    <r>
      <rPr>
        <b/>
        <vertAlign val="subscript"/>
        <sz val="11"/>
        <color rgb="FF000000"/>
        <rFont val="Times New Roman"/>
        <family val="1"/>
      </rPr>
      <t>SE</t>
    </r>
  </si>
  <si>
    <r>
      <t>σ</t>
    </r>
    <r>
      <rPr>
        <b/>
        <vertAlign val="subscript"/>
        <sz val="11"/>
        <color rgb="FF000000"/>
        <rFont val="Times New Roman"/>
        <family val="1"/>
      </rPr>
      <t>AE</t>
    </r>
  </si>
  <si>
    <r>
      <t>σ</t>
    </r>
    <r>
      <rPr>
        <b/>
        <vertAlign val="subscript"/>
        <sz val="11"/>
        <color rgb="FF000000"/>
        <rFont val="Times New Roman"/>
        <family val="1"/>
      </rPr>
      <t>t</t>
    </r>
  </si>
  <si>
    <t>A</t>
  </si>
  <si>
    <t>B</t>
  </si>
  <si>
    <t>D</t>
  </si>
  <si>
    <t>Error pertains to</t>
  </si>
  <si>
    <t>Bulk parent sample</t>
  </si>
  <si>
    <t>Micro-scale total</t>
  </si>
  <si>
    <t>Liberation by Size</t>
  </si>
  <si>
    <t>Liberation of Fe-Sulfide</t>
  </si>
  <si>
    <t>0%</t>
  </si>
  <si>
    <t>&lt;= 10%</t>
  </si>
  <si>
    <t>&lt;= 20%</t>
  </si>
  <si>
    <t>&lt;= 30%</t>
  </si>
  <si>
    <t>&lt;= 40%</t>
  </si>
  <si>
    <t>&lt;= 50%</t>
  </si>
  <si>
    <t>&lt;= 60%</t>
  </si>
  <si>
    <t>&lt;= 70%</t>
  </si>
  <si>
    <t>&lt;= 80%</t>
  </si>
  <si>
    <t>&lt;= 90%</t>
  </si>
  <si>
    <t>&lt; 100%</t>
  </si>
  <si>
    <t>100%</t>
  </si>
  <si>
    <t>Fraction</t>
  </si>
  <si>
    <t>HCT Sample</t>
  </si>
  <si>
    <t>Particle Grade (Vol. %)</t>
  </si>
  <si>
    <t>Particle Size (µm)</t>
  </si>
  <si>
    <t>Frequency (n)</t>
  </si>
  <si>
    <t>Average particle grade (vol.%)</t>
  </si>
  <si>
    <t>Particle size (µm)</t>
  </si>
  <si>
    <t>Mean grade of composition class</t>
  </si>
  <si>
    <t>Number of particles in class</t>
  </si>
  <si>
    <t>N0</t>
  </si>
  <si>
    <t>N1</t>
  </si>
  <si>
    <t>95% CI</t>
  </si>
  <si>
    <t>-150</t>
  </si>
  <si>
    <t>Total Mass % in Fraction</t>
  </si>
  <si>
    <t>Error Calculation Sheet</t>
  </si>
  <si>
    <t>References</t>
  </si>
  <si>
    <t>Confidence intervals over the liberation data sheets for samples A, B, C and D</t>
  </si>
  <si>
    <t>(Leigh et al., 1993; Napier-Munn, 2015)</t>
  </si>
  <si>
    <r>
      <t xml:space="preserve">François-Bongarçon, D. &amp; Gy, P. 2002. The most common error in applying “Gy’s formula” in the theory of mineral sampling, and the history of the liberation factor. </t>
    </r>
    <r>
      <rPr>
        <i/>
        <sz val="11"/>
        <color theme="1"/>
        <rFont val="Calibri"/>
        <family val="2"/>
        <scheme val="minor"/>
      </rPr>
      <t>Journal of The South African Institute of Mining and Metallurgy</t>
    </r>
    <r>
      <rPr>
        <sz val="11"/>
        <color theme="1"/>
        <rFont val="Calibri"/>
        <family val="2"/>
        <scheme val="minor"/>
      </rPr>
      <t>. 102(8):475–479.</t>
    </r>
  </si>
  <si>
    <r>
      <t xml:space="preserve">Leigh, G.M., Sutherland, D.N. &amp; Gottlieb, P. 1993. Confidence limits for liberation measurements. </t>
    </r>
    <r>
      <rPr>
        <i/>
        <sz val="11"/>
        <color theme="1"/>
        <rFont val="Calibri"/>
        <family val="2"/>
        <scheme val="minor"/>
      </rPr>
      <t>Minerals Engineering</t>
    </r>
    <r>
      <rPr>
        <sz val="11"/>
        <color theme="1"/>
        <rFont val="Calibri"/>
        <family val="2"/>
        <scheme val="minor"/>
      </rPr>
      <t>. 6(2):155–161.</t>
    </r>
  </si>
  <si>
    <r>
      <t xml:space="preserve">Minkkinen, P. 2004. Practical applications of sampling theory. </t>
    </r>
    <r>
      <rPr>
        <i/>
        <sz val="11"/>
        <color theme="1"/>
        <rFont val="Calibri"/>
        <family val="2"/>
        <scheme val="minor"/>
      </rPr>
      <t>Chemometrics and Intelligent Laboratory Systems</t>
    </r>
    <r>
      <rPr>
        <sz val="11"/>
        <color theme="1"/>
        <rFont val="Calibri"/>
        <family val="2"/>
        <scheme val="minor"/>
      </rPr>
      <t>. 74(1):85–94.</t>
    </r>
  </si>
  <si>
    <r>
      <t xml:space="preserve">Minnitt, R.C.A., Rice, P.M. &amp; Spangenberg, C. 2007a. Part 1: Understanding the components of the fundamental sampling error: a key to good sampling practice. </t>
    </r>
    <r>
      <rPr>
        <i/>
        <sz val="11"/>
        <color theme="1"/>
        <rFont val="Calibri"/>
        <family val="2"/>
        <scheme val="minor"/>
      </rPr>
      <t>Journal of the Southern African Institute of Mining and Metallurgy</t>
    </r>
    <r>
      <rPr>
        <sz val="11"/>
        <color theme="1"/>
        <rFont val="Calibri"/>
        <family val="2"/>
        <scheme val="minor"/>
      </rPr>
      <t>. 107(8):505–512.</t>
    </r>
  </si>
  <si>
    <r>
      <t xml:space="preserve">Napier-Munn, T.J. 2015. Statistics for Chemists and Mineralogists. In </t>
    </r>
    <r>
      <rPr>
        <i/>
        <sz val="11"/>
        <color theme="1"/>
        <rFont val="Calibri"/>
        <family val="2"/>
        <scheme val="minor"/>
      </rPr>
      <t>Statistical methods for mineral engineers - How to design experiments and analyse data</t>
    </r>
    <r>
      <rPr>
        <sz val="11"/>
        <color theme="1"/>
        <rFont val="Calibri"/>
        <family val="2"/>
        <scheme val="minor"/>
      </rPr>
      <t>. Queensland, Australia: Julius Kruttschnitt Mineral Research Centre, The University of Queensland. 507–525.</t>
    </r>
  </si>
  <si>
    <r>
      <t>Y</t>
    </r>
    <r>
      <rPr>
        <b/>
        <vertAlign val="subscript"/>
        <sz val="11"/>
        <color theme="1"/>
        <rFont val="Calibri (Body)"/>
      </rPr>
      <t>C</t>
    </r>
  </si>
  <si>
    <r>
      <t>N</t>
    </r>
    <r>
      <rPr>
        <b/>
        <vertAlign val="subscript"/>
        <sz val="11"/>
        <color theme="1"/>
        <rFont val="Calibri (Body)"/>
      </rPr>
      <t>0</t>
    </r>
  </si>
  <si>
    <r>
      <t>N</t>
    </r>
    <r>
      <rPr>
        <b/>
        <vertAlign val="subscript"/>
        <sz val="11"/>
        <color theme="1"/>
        <rFont val="Calibri (Body)"/>
      </rPr>
      <t>1</t>
    </r>
  </si>
  <si>
    <t xml:space="preserve">The cumulative liberation yield as a proportion, at a composition C </t>
  </si>
  <si>
    <t xml:space="preserve">Number of particles having a composition &lt; C </t>
  </si>
  <si>
    <t xml:space="preserve">Number of particles having a composition of at least C </t>
  </si>
  <si>
    <t>Obtained from frequency categorisers in QEMSCAN</t>
  </si>
  <si>
    <t>Worked out based on the method described in Leigh et al. (1993)</t>
  </si>
  <si>
    <r>
      <t>Density (g/cm</t>
    </r>
    <r>
      <rPr>
        <b/>
        <vertAlign val="superscript"/>
        <sz val="10"/>
        <color rgb="FF000000"/>
        <rFont val="Arial"/>
        <family val="2"/>
      </rPr>
      <t>3</t>
    </r>
    <r>
      <rPr>
        <b/>
        <sz val="10"/>
        <color indexed="8"/>
        <rFont val="Arial"/>
        <family val="2"/>
      </rPr>
      <t>)</t>
    </r>
  </si>
  <si>
    <t>Table of Contents</t>
  </si>
  <si>
    <t>Sheet #</t>
  </si>
  <si>
    <t xml:space="preserve">This sheet provides the reference materials. These include the relevant equations and variables with descriptions and indication of how some of the parameters were estimated. Additionally, this section provides the references used for the variables and equations. </t>
  </si>
  <si>
    <t xml:space="preserve">The error calculation for samples A, B, C and D with Fe-sulfide as the mineral of interest. </t>
  </si>
  <si>
    <t xml:space="preserve">QEMSCAN mineraloy and density required for the calculation of the sampling error. </t>
  </si>
  <si>
    <t xml:space="preserve">Evaluation of roundness of particles required for the calculation of the sampling error. </t>
  </si>
  <si>
    <t>Grain size distribution of the Fe-sulfide minerals in the meso-scale size fractions with indication of the liberation size required for the sampling calculations.</t>
  </si>
  <si>
    <t>Confidence intervals over the Fe-sulfide liberation data for sample B and associated charts.</t>
  </si>
  <si>
    <t>Confidence intervals over the Fe-sulfide liberation data for sample C and associated charts.</t>
  </si>
  <si>
    <t>Confidence intervals over the Fe-sulfide liberation data for sample D and associated charts.</t>
  </si>
  <si>
    <r>
      <t>Particle Size (</t>
    </r>
    <r>
      <rPr>
        <b/>
        <sz val="11"/>
        <color theme="1"/>
        <rFont val="Calibri"/>
        <family val="2"/>
      </rPr>
      <t>µm)</t>
    </r>
  </si>
  <si>
    <t>Liberation</t>
  </si>
  <si>
    <t>Cumulative liberation of Fe-sulfide</t>
  </si>
  <si>
    <t>100-Cumulative liberation of Fe-sulfide</t>
  </si>
  <si>
    <t>Lower Confidence Interval</t>
  </si>
  <si>
    <t>Upper Confidence Interval</t>
  </si>
  <si>
    <t xml:space="preserve">This workbook provides the data, calculations and charts pertaining to the error assessment section of the thesis. These include the error assessment for samples A, B, C and D, the error variation with vrious variables, as well as the confidence intervals for samples A, B, C and D. Additional sheets include the data required for the error calculations. </t>
  </si>
  <si>
    <t>Provides the assessment of how the Fe-sulfide liberation size and grade, as well as the number of sample blocks affects the error (theoretically), with a comparison of the effect of the number of blocks on the largest size fraction of samples A, B, C and D. Appropriate charts provided.</t>
  </si>
  <si>
    <t>Confidence intervals over the Fe-sulfide liberation data for sample A and associated charts.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</si>
</sst>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000"/>
    <numFmt numFmtId="165" formatCode="0.000"/>
    <numFmt numFmtId="166" formatCode="0.000000"/>
    <numFmt numFmtId="167" formatCode="0.000000000"/>
    <numFmt numFmtId="168" formatCode="0.0"/>
    <numFmt numFmtId="169" formatCode="0.0%"/>
  </numFmts>
  <fonts count="27">
    <font>
      <sz val="11"/>
      <color theme="1"/>
      <name val="Calibri"/>
      <family val="2"/>
      <scheme val="minor"/>
    </font>
    <font>
      <sz val="12"/>
      <color theme="1"/>
      <name val="Calibri"/>
      <family val="2"/>
      <scheme val="minor"/>
    </font>
    <font>
      <sz val="11"/>
      <color theme="1"/>
      <name val="Calibri"/>
      <family val="2"/>
      <scheme val="minor"/>
    </font>
    <font>
      <sz val="11"/>
      <name val="Calibri"/>
      <family val="2"/>
      <scheme val="minor"/>
    </font>
    <font>
      <b/>
      <sz val="11"/>
      <color theme="1"/>
      <name val="Calibri"/>
      <family val="2"/>
      <scheme val="minor"/>
    </font>
    <font>
      <b/>
      <sz val="10"/>
      <color indexed="8"/>
      <name val="Arial"/>
      <family val="2"/>
    </font>
    <font>
      <sz val="10"/>
      <color indexed="8"/>
      <name val="Arial"/>
      <family val="2"/>
    </font>
    <font>
      <b/>
      <sz val="10"/>
      <color indexed="8"/>
      <name val="Arial"/>
      <family val="2"/>
    </font>
    <font>
      <sz val="11"/>
      <color theme="1"/>
      <name val="Times New Roman"/>
      <family val="1"/>
    </font>
    <font>
      <b/>
      <sz val="14"/>
      <color theme="1"/>
      <name val="Calibri"/>
      <family val="2"/>
      <scheme val="minor"/>
    </font>
    <font>
      <b/>
      <vertAlign val="superscript"/>
      <sz val="10"/>
      <color rgb="FF000000"/>
      <name val="Arial"/>
      <family val="2"/>
    </font>
    <font>
      <b/>
      <vertAlign val="subscript"/>
      <sz val="11"/>
      <color theme="1"/>
      <name val="Calibri (Body)"/>
    </font>
    <font>
      <b/>
      <sz val="11"/>
      <color theme="1"/>
      <name val="Calibri"/>
      <family val="2"/>
    </font>
    <font>
      <b/>
      <vertAlign val="subscript"/>
      <sz val="11"/>
      <color theme="1"/>
      <name val="Calibri"/>
      <family val="2"/>
    </font>
    <font>
      <b/>
      <vertAlign val="superscript"/>
      <sz val="11"/>
      <color theme="1"/>
      <name val="Calibri (Body)"/>
    </font>
    <font>
      <b/>
      <sz val="11"/>
      <color theme="1"/>
      <name val="Calibri (Body)"/>
    </font>
    <font>
      <b/>
      <sz val="11"/>
      <color theme="1"/>
      <name val="Times New Roman"/>
      <family val="1"/>
    </font>
    <font>
      <vertAlign val="subscript"/>
      <sz val="11"/>
      <color theme="1"/>
      <name val="Calibri (Body)"/>
    </font>
    <font>
      <vertAlign val="subscript"/>
      <sz val="11"/>
      <color theme="1"/>
      <name val="Calibri"/>
      <family val="2"/>
      <scheme val="minor"/>
    </font>
    <font>
      <b/>
      <vertAlign val="subscript"/>
      <sz val="11"/>
      <color theme="1"/>
      <name val="Calibri"/>
      <family val="2"/>
      <scheme val="minor"/>
    </font>
    <font>
      <vertAlign val="superscript"/>
      <sz val="11"/>
      <color theme="1"/>
      <name val="Calibri"/>
      <family val="2"/>
      <scheme val="minor"/>
    </font>
    <font>
      <vertAlign val="superscript"/>
      <sz val="11"/>
      <color theme="1"/>
      <name val="Calibri (Body)"/>
    </font>
    <font>
      <sz val="8"/>
      <name val="Calibri"/>
      <family val="2"/>
      <scheme val="minor"/>
    </font>
    <font>
      <b/>
      <sz val="11"/>
      <color rgb="FF000000"/>
      <name val="Times New Roman"/>
      <family val="1"/>
    </font>
    <font>
      <b/>
      <vertAlign val="subscript"/>
      <sz val="11"/>
      <color rgb="FF000000"/>
      <name val="Times New Roman"/>
      <family val="1"/>
    </font>
    <font>
      <sz val="11"/>
      <color rgb="FF000000"/>
      <name val="Times New Roman"/>
      <family val="1"/>
    </font>
    <font>
      <i/>
      <sz val="11"/>
      <color theme="1"/>
      <name val="Calibri"/>
      <family val="2"/>
      <scheme val="minor"/>
    </font>
  </fonts>
  <fills count="3">
    <fill>
      <patternFill patternType="none"/>
    </fill>
    <fill>
      <patternFill patternType="gray125"/>
    </fill>
    <fill>
      <patternFill patternType="solid">
        <fgColor theme="2"/>
        <bgColor indexed="64"/>
      </patternFill>
    </fill>
  </fills>
  <borders count="51">
    <border>
      <left/>
      <right/>
      <top/>
      <bottom/>
      <diagonal/>
    </border>
    <border>
      <left/>
      <right/>
      <top/>
      <bottom style="thin">
        <color indexed="64"/>
      </bottom>
      <diagonal/>
    </border>
    <border>
      <left/>
      <right/>
      <top style="thin">
        <color indexed="64"/>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medium">
        <color rgb="FF000000"/>
      </bottom>
      <diagonal/>
    </border>
    <border>
      <left/>
      <right/>
      <top style="medium">
        <color indexed="64"/>
      </top>
      <bottom style="medium">
        <color rgb="FF000000"/>
      </bottom>
      <diagonal/>
    </border>
    <border>
      <left/>
      <right style="medium">
        <color indexed="64"/>
      </right>
      <top/>
      <bottom style="double">
        <color indexed="64"/>
      </bottom>
      <diagonal/>
    </border>
    <border>
      <left/>
      <right style="medium">
        <color rgb="FF000000"/>
      </right>
      <top/>
      <bottom style="medium">
        <color indexed="64"/>
      </bottom>
      <diagonal/>
    </border>
    <border>
      <left/>
      <right style="medium">
        <color rgb="FF000000"/>
      </right>
      <top/>
      <bottom style="double">
        <color indexed="64"/>
      </bottom>
      <diagonal/>
    </border>
    <border>
      <left/>
      <right/>
      <top/>
      <bottom style="double">
        <color indexed="64"/>
      </bottom>
      <diagonal/>
    </border>
    <border>
      <left style="medium">
        <color rgb="FF000000"/>
      </left>
      <right style="medium">
        <color indexed="64"/>
      </right>
      <top/>
      <bottom style="double">
        <color indexed="64"/>
      </bottom>
      <diagonal/>
    </border>
    <border>
      <left/>
      <right style="medium">
        <color indexed="64"/>
      </right>
      <top style="double">
        <color indexed="64"/>
      </top>
      <bottom/>
      <diagonal/>
    </border>
    <border>
      <left/>
      <right style="medium">
        <color indexed="64"/>
      </right>
      <top style="double">
        <color indexed="64"/>
      </top>
      <bottom style="medium">
        <color indexed="64"/>
      </bottom>
      <diagonal/>
    </border>
    <border>
      <left/>
      <right/>
      <top style="double">
        <color indexed="64"/>
      </top>
      <bottom style="medium">
        <color indexed="64"/>
      </bottom>
      <diagonal/>
    </border>
    <border>
      <left/>
      <right style="medium">
        <color rgb="FF000000"/>
      </right>
      <top style="double">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top/>
      <bottom style="thin">
        <color indexed="64"/>
      </bottom>
      <diagonal/>
    </border>
  </borders>
  <cellStyleXfs count="2">
    <xf numFmtId="0" fontId="0" fillId="0" borderId="0"/>
    <xf numFmtId="9" fontId="2" fillId="0" borderId="0" applyFont="0" applyFill="0" applyBorder="0" applyAlignment="0" applyProtection="0"/>
  </cellStyleXfs>
  <cellXfs count="422">
    <xf numFmtId="0" fontId="0" fillId="0" borderId="0" xfId="0"/>
    <xf numFmtId="0" fontId="4" fillId="0" borderId="0" xfId="0" applyFont="1"/>
    <xf numFmtId="0" fontId="8" fillId="0" borderId="0" xfId="0" applyFont="1" applyAlignment="1">
      <alignment vertical="center"/>
    </xf>
    <xf numFmtId="0" fontId="4" fillId="0" borderId="0" xfId="0" applyFont="1" applyAlignment="1">
      <alignment horizontal="center" vertical="center"/>
    </xf>
    <xf numFmtId="0" fontId="0" fillId="0" borderId="0" xfId="0" applyFont="1" applyAlignment="1">
      <alignment horizontal="center" vertical="center"/>
    </xf>
    <xf numFmtId="0" fontId="6" fillId="0" borderId="0" xfId="0" applyFont="1" applyAlignment="1">
      <alignment horizontal="center" vertical="center"/>
    </xf>
    <xf numFmtId="0" fontId="0" fillId="0" borderId="0" xfId="0" applyAlignment="1">
      <alignment horizontal="center"/>
    </xf>
    <xf numFmtId="0" fontId="4" fillId="0" borderId="0" xfId="0" applyFont="1" applyAlignment="1">
      <alignment horizontal="center"/>
    </xf>
    <xf numFmtId="0" fontId="0" fillId="0" borderId="0" xfId="0" applyBorder="1" applyAlignment="1">
      <alignment horizontal="center"/>
    </xf>
    <xf numFmtId="0" fontId="6" fillId="0" borderId="0" xfId="0" applyNumberFormat="1" applyFont="1" applyFill="1" applyBorder="1" applyAlignment="1" applyProtection="1">
      <alignment horizontal="center"/>
    </xf>
    <xf numFmtId="0" fontId="5" fillId="0" borderId="0" xfId="0" applyNumberFormat="1" applyFont="1" applyFill="1" applyBorder="1" applyAlignment="1" applyProtection="1">
      <alignment horizontal="center"/>
    </xf>
    <xf numFmtId="2" fontId="6" fillId="0" borderId="0" xfId="0" applyNumberFormat="1" applyFont="1" applyFill="1" applyBorder="1" applyAlignment="1" applyProtection="1">
      <alignment horizontal="center"/>
    </xf>
    <xf numFmtId="2" fontId="6" fillId="0" borderId="2" xfId="0" applyNumberFormat="1" applyFont="1" applyFill="1" applyBorder="1" applyAlignment="1" applyProtection="1">
      <alignment horizontal="center"/>
    </xf>
    <xf numFmtId="2" fontId="4" fillId="0" borderId="0" xfId="0" applyNumberFormat="1" applyFont="1" applyBorder="1" applyAlignment="1">
      <alignment horizontal="center"/>
    </xf>
    <xf numFmtId="0" fontId="4" fillId="0" borderId="0" xfId="0" applyFont="1" applyBorder="1" applyAlignment="1">
      <alignment horizontal="center"/>
    </xf>
    <xf numFmtId="0" fontId="0" fillId="0" borderId="0" xfId="0" applyFill="1" applyAlignment="1">
      <alignment horizontal="center"/>
    </xf>
    <xf numFmtId="0" fontId="4" fillId="0" borderId="0" xfId="0" applyFont="1" applyFill="1" applyAlignment="1">
      <alignment horizontal="center"/>
    </xf>
    <xf numFmtId="0" fontId="4" fillId="0" borderId="0" xfId="0" applyFont="1" applyFill="1" applyAlignment="1">
      <alignment horizontal="left"/>
    </xf>
    <xf numFmtId="0" fontId="4" fillId="0" borderId="0" xfId="0" applyFont="1" applyFill="1" applyAlignment="1">
      <alignment horizontal="center" vertical="center" wrapText="1"/>
    </xf>
    <xf numFmtId="165" fontId="0" fillId="0" borderId="0" xfId="0" applyNumberFormat="1" applyFill="1" applyBorder="1" applyAlignment="1">
      <alignment horizontal="center"/>
    </xf>
    <xf numFmtId="2" fontId="0" fillId="0" borderId="0" xfId="0" applyNumberFormat="1" applyFill="1" applyBorder="1" applyAlignment="1">
      <alignment horizontal="center"/>
    </xf>
    <xf numFmtId="0" fontId="0" fillId="0" borderId="0" xfId="0" applyFill="1" applyBorder="1" applyAlignment="1">
      <alignment horizontal="center"/>
    </xf>
    <xf numFmtId="168" fontId="0" fillId="0" borderId="0" xfId="0" applyNumberFormat="1" applyFill="1" applyBorder="1" applyAlignment="1">
      <alignment horizontal="center"/>
    </xf>
    <xf numFmtId="10" fontId="0" fillId="0" borderId="0" xfId="1" applyNumberFormat="1" applyFont="1" applyFill="1" applyBorder="1" applyAlignment="1">
      <alignment horizontal="center"/>
    </xf>
    <xf numFmtId="1" fontId="3" fillId="0" borderId="0" xfId="0" applyNumberFormat="1" applyFont="1" applyFill="1" applyBorder="1" applyAlignment="1">
      <alignment horizontal="center"/>
    </xf>
    <xf numFmtId="1" fontId="0" fillId="0" borderId="0" xfId="0" applyNumberFormat="1" applyFill="1" applyBorder="1" applyAlignment="1">
      <alignment horizontal="center"/>
    </xf>
    <xf numFmtId="0" fontId="0" fillId="0" borderId="0" xfId="0" quotePrefix="1" applyFill="1" applyBorder="1" applyAlignment="1">
      <alignment horizontal="center"/>
    </xf>
    <xf numFmtId="166" fontId="0" fillId="0" borderId="0" xfId="0" applyNumberFormat="1" applyFill="1" applyBorder="1" applyAlignment="1">
      <alignment horizontal="center"/>
    </xf>
    <xf numFmtId="0" fontId="0" fillId="0" borderId="0" xfId="0" quotePrefix="1" applyFont="1" applyFill="1" applyBorder="1" applyAlignment="1">
      <alignment horizontal="center"/>
    </xf>
    <xf numFmtId="10" fontId="0" fillId="0" borderId="1" xfId="1" applyNumberFormat="1" applyFont="1" applyFill="1" applyBorder="1" applyAlignment="1">
      <alignment horizontal="center"/>
    </xf>
    <xf numFmtId="0" fontId="4" fillId="0" borderId="0" xfId="0" applyFont="1" applyFill="1" applyBorder="1" applyAlignment="1">
      <alignment horizontal="center"/>
    </xf>
    <xf numFmtId="0" fontId="0" fillId="0" borderId="0" xfId="0" applyBorder="1" applyAlignment="1">
      <alignment horizontal="center"/>
    </xf>
    <xf numFmtId="0" fontId="16" fillId="0" borderId="3" xfId="0" applyFont="1" applyBorder="1" applyAlignment="1">
      <alignment horizontal="center" vertical="center" wrapText="1"/>
    </xf>
    <xf numFmtId="0" fontId="4" fillId="0" borderId="0" xfId="0" applyFont="1" applyFill="1" applyBorder="1" applyAlignment="1">
      <alignment horizontal="center" wrapText="1"/>
    </xf>
    <xf numFmtId="0" fontId="4" fillId="0" borderId="0" xfId="0" quotePrefix="1" applyFont="1" applyFill="1" applyBorder="1" applyAlignment="1">
      <alignment horizontal="center" wrapText="1"/>
    </xf>
    <xf numFmtId="9" fontId="0" fillId="0" borderId="5" xfId="0" applyNumberFormat="1" applyFont="1" applyBorder="1" applyAlignment="1">
      <alignment horizontal="center" vertical="center"/>
    </xf>
    <xf numFmtId="0" fontId="6" fillId="0" borderId="13" xfId="0" applyFont="1" applyBorder="1" applyAlignment="1">
      <alignment horizontal="center" vertical="center"/>
    </xf>
    <xf numFmtId="0" fontId="6" fillId="0" borderId="6" xfId="0" applyFont="1" applyBorder="1" applyAlignment="1">
      <alignment horizontal="center" vertical="center"/>
    </xf>
    <xf numFmtId="9" fontId="0" fillId="0" borderId="4" xfId="0" applyNumberFormat="1" applyFont="1" applyBorder="1" applyAlignment="1">
      <alignment horizontal="center" vertical="center"/>
    </xf>
    <xf numFmtId="0" fontId="0" fillId="0" borderId="15" xfId="0" applyFont="1" applyFill="1" applyBorder="1" applyAlignment="1">
      <alignment horizontal="center" vertical="center" wrapText="1"/>
    </xf>
    <xf numFmtId="0" fontId="4" fillId="0" borderId="15" xfId="0" applyFont="1" applyBorder="1" applyAlignment="1">
      <alignment horizontal="center" vertical="center"/>
    </xf>
    <xf numFmtId="0" fontId="4" fillId="0" borderId="3" xfId="0" applyFont="1" applyBorder="1" applyAlignment="1">
      <alignment horizontal="center" vertical="center" wrapText="1"/>
    </xf>
    <xf numFmtId="0" fontId="4" fillId="0" borderId="16" xfId="0" applyFont="1" applyFill="1" applyBorder="1" applyAlignment="1">
      <alignment horizontal="center"/>
    </xf>
    <xf numFmtId="0" fontId="4" fillId="0" borderId="13" xfId="0" applyFont="1" applyFill="1" applyBorder="1" applyAlignment="1">
      <alignment horizontal="center"/>
    </xf>
    <xf numFmtId="0" fontId="4" fillId="0" borderId="11" xfId="0" applyFont="1" applyFill="1" applyBorder="1" applyAlignment="1">
      <alignment horizontal="center"/>
    </xf>
    <xf numFmtId="0" fontId="4" fillId="0" borderId="14" xfId="0" applyFont="1" applyFill="1" applyBorder="1" applyAlignment="1">
      <alignment horizontal="center" vertical="center" wrapText="1"/>
    </xf>
    <xf numFmtId="10" fontId="4" fillId="0" borderId="14" xfId="1"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10" fontId="0" fillId="0" borderId="5" xfId="1" applyNumberFormat="1" applyFont="1" applyFill="1" applyBorder="1" applyAlignment="1">
      <alignment horizontal="center"/>
    </xf>
    <xf numFmtId="0" fontId="4" fillId="0" borderId="20" xfId="0" applyFont="1" applyFill="1" applyBorder="1" applyAlignment="1">
      <alignment vertical="center" wrapText="1"/>
    </xf>
    <xf numFmtId="0" fontId="4" fillId="0" borderId="21" xfId="0" quotePrefix="1" applyFont="1" applyFill="1" applyBorder="1" applyAlignment="1">
      <alignment horizontal="center" wrapText="1"/>
    </xf>
    <xf numFmtId="165" fontId="0" fillId="0" borderId="21" xfId="0" applyNumberFormat="1" applyFill="1" applyBorder="1" applyAlignment="1">
      <alignment horizontal="center"/>
    </xf>
    <xf numFmtId="2" fontId="0" fillId="0" borderId="21" xfId="0" applyNumberFormat="1" applyFill="1" applyBorder="1" applyAlignment="1">
      <alignment horizontal="center"/>
    </xf>
    <xf numFmtId="0" fontId="0" fillId="0" borderId="21" xfId="0" applyFill="1" applyBorder="1" applyAlignment="1">
      <alignment horizontal="center"/>
    </xf>
    <xf numFmtId="168" fontId="0" fillId="0" borderId="21" xfId="0" applyNumberFormat="1" applyFill="1" applyBorder="1" applyAlignment="1">
      <alignment horizontal="center"/>
    </xf>
    <xf numFmtId="10" fontId="0" fillId="0" borderId="21" xfId="1" applyNumberFormat="1" applyFont="1" applyFill="1" applyBorder="1" applyAlignment="1">
      <alignment horizontal="center"/>
    </xf>
    <xf numFmtId="1" fontId="0" fillId="0" borderId="21" xfId="0" applyNumberFormat="1" applyFill="1" applyBorder="1" applyAlignment="1">
      <alignment horizontal="center"/>
    </xf>
    <xf numFmtId="0" fontId="0" fillId="0" borderId="21" xfId="0" quotePrefix="1" applyFill="1" applyBorder="1" applyAlignment="1">
      <alignment horizontal="center"/>
    </xf>
    <xf numFmtId="166" fontId="0" fillId="0" borderId="21" xfId="0" applyNumberFormat="1" applyFill="1" applyBorder="1" applyAlignment="1">
      <alignment horizontal="center"/>
    </xf>
    <xf numFmtId="0" fontId="0" fillId="0" borderId="21" xfId="0" quotePrefix="1" applyFont="1" applyFill="1" applyBorder="1" applyAlignment="1">
      <alignment horizontal="center"/>
    </xf>
    <xf numFmtId="10" fontId="0" fillId="0" borderId="22" xfId="1" applyNumberFormat="1" applyFont="1" applyFill="1" applyBorder="1" applyAlignment="1">
      <alignment horizontal="center"/>
    </xf>
    <xf numFmtId="167" fontId="0" fillId="0" borderId="0" xfId="0" quotePrefix="1" applyNumberFormat="1" applyFill="1" applyBorder="1" applyAlignment="1">
      <alignment horizontal="center"/>
    </xf>
    <xf numFmtId="0" fontId="4" fillId="0" borderId="6" xfId="0" applyFont="1" applyFill="1" applyBorder="1" applyAlignment="1">
      <alignment horizontal="center"/>
    </xf>
    <xf numFmtId="0" fontId="12" fillId="0" borderId="6" xfId="0" applyFont="1" applyFill="1" applyBorder="1" applyAlignment="1">
      <alignment horizontal="center"/>
    </xf>
    <xf numFmtId="10" fontId="4" fillId="0" borderId="6" xfId="1" applyNumberFormat="1" applyFont="1" applyFill="1" applyBorder="1" applyAlignment="1">
      <alignment horizontal="center"/>
    </xf>
    <xf numFmtId="0" fontId="4" fillId="0" borderId="6" xfId="0" applyFont="1" applyFill="1" applyBorder="1" applyAlignment="1">
      <alignment horizontal="center" vertical="center" wrapText="1"/>
    </xf>
    <xf numFmtId="0" fontId="4" fillId="0" borderId="4" xfId="0" applyFont="1" applyFill="1" applyBorder="1" applyAlignment="1">
      <alignment horizontal="center"/>
    </xf>
    <xf numFmtId="0" fontId="4" fillId="0" borderId="14" xfId="0" applyFont="1" applyFill="1" applyBorder="1" applyAlignment="1">
      <alignment horizontal="center" wrapText="1"/>
    </xf>
    <xf numFmtId="165" fontId="0" fillId="0" borderId="14" xfId="0" applyNumberFormat="1" applyFill="1" applyBorder="1" applyAlignment="1">
      <alignment horizontal="center"/>
    </xf>
    <xf numFmtId="2" fontId="0" fillId="0" borderId="14" xfId="0" applyNumberFormat="1" applyFill="1" applyBorder="1" applyAlignment="1">
      <alignment horizontal="center"/>
    </xf>
    <xf numFmtId="0" fontId="0" fillId="0" borderId="14" xfId="0" applyFill="1" applyBorder="1" applyAlignment="1">
      <alignment horizontal="center"/>
    </xf>
    <xf numFmtId="168" fontId="0" fillId="0" borderId="14" xfId="0" applyNumberFormat="1" applyFill="1" applyBorder="1" applyAlignment="1">
      <alignment horizontal="center"/>
    </xf>
    <xf numFmtId="10" fontId="0" fillId="0" borderId="14" xfId="1" applyNumberFormat="1" applyFont="1" applyFill="1" applyBorder="1" applyAlignment="1">
      <alignment horizontal="center"/>
    </xf>
    <xf numFmtId="1" fontId="0" fillId="0" borderId="14" xfId="0" applyNumberFormat="1" applyFill="1" applyBorder="1" applyAlignment="1">
      <alignment horizontal="center"/>
    </xf>
    <xf numFmtId="166" fontId="0" fillId="0" borderId="14" xfId="0" applyNumberFormat="1" applyFill="1" applyBorder="1" applyAlignment="1">
      <alignment horizontal="center"/>
    </xf>
    <xf numFmtId="167" fontId="0" fillId="0" borderId="14" xfId="0" quotePrefix="1" applyNumberFormat="1" applyFill="1" applyBorder="1" applyAlignment="1">
      <alignment horizontal="center"/>
    </xf>
    <xf numFmtId="10" fontId="0" fillId="0" borderId="7" xfId="1" applyNumberFormat="1" applyFont="1" applyFill="1" applyBorder="1" applyAlignment="1">
      <alignment horizontal="center"/>
    </xf>
    <xf numFmtId="0" fontId="4" fillId="2" borderId="12" xfId="0" applyFont="1" applyFill="1" applyBorder="1" applyAlignment="1">
      <alignment horizontal="center"/>
    </xf>
    <xf numFmtId="0" fontId="4" fillId="2" borderId="0" xfId="0" applyFont="1" applyFill="1" applyBorder="1" applyAlignment="1">
      <alignment horizontal="center" wrapText="1"/>
    </xf>
    <xf numFmtId="0" fontId="0" fillId="2" borderId="0" xfId="0" applyFill="1" applyBorder="1" applyAlignment="1">
      <alignment horizontal="center"/>
    </xf>
    <xf numFmtId="10" fontId="0" fillId="2" borderId="0" xfId="1" applyNumberFormat="1" applyFont="1" applyFill="1" applyBorder="1" applyAlignment="1">
      <alignment horizontal="center"/>
    </xf>
    <xf numFmtId="1" fontId="0" fillId="2" borderId="0" xfId="0" applyNumberFormat="1" applyFill="1" applyBorder="1" applyAlignment="1">
      <alignment horizontal="center"/>
    </xf>
    <xf numFmtId="0" fontId="0" fillId="2" borderId="5" xfId="0" applyFill="1" applyBorder="1" applyAlignment="1">
      <alignment horizontal="center"/>
    </xf>
    <xf numFmtId="0" fontId="0" fillId="0" borderId="8" xfId="0" applyFont="1" applyFill="1" applyBorder="1" applyAlignment="1">
      <alignment horizontal="center" vertical="center"/>
    </xf>
    <xf numFmtId="0" fontId="0" fillId="0" borderId="10" xfId="0" applyFont="1" applyFill="1" applyBorder="1" applyAlignment="1">
      <alignment horizontal="center" vertical="center"/>
    </xf>
    <xf numFmtId="0" fontId="4" fillId="2" borderId="12" xfId="0" applyFont="1" applyFill="1" applyBorder="1" applyAlignment="1">
      <alignment horizontal="center" vertical="center" wrapText="1"/>
    </xf>
    <xf numFmtId="0" fontId="4" fillId="2" borderId="0" xfId="0" quotePrefix="1" applyFont="1" applyFill="1" applyBorder="1" applyAlignment="1">
      <alignment horizontal="center" wrapText="1"/>
    </xf>
    <xf numFmtId="165" fontId="0" fillId="2" borderId="0" xfId="0" applyNumberFormat="1" applyFill="1" applyBorder="1" applyAlignment="1">
      <alignment horizontal="center"/>
    </xf>
    <xf numFmtId="2" fontId="0" fillId="2" borderId="0" xfId="0" applyNumberFormat="1" applyFill="1" applyBorder="1" applyAlignment="1">
      <alignment horizontal="center"/>
    </xf>
    <xf numFmtId="168" fontId="0" fillId="2" borderId="0" xfId="0" applyNumberFormat="1" applyFill="1" applyBorder="1" applyAlignment="1">
      <alignment horizontal="center"/>
    </xf>
    <xf numFmtId="1" fontId="3" fillId="2" borderId="0" xfId="0" applyNumberFormat="1" applyFont="1" applyFill="1" applyBorder="1" applyAlignment="1">
      <alignment horizontal="center"/>
    </xf>
    <xf numFmtId="0" fontId="0" fillId="2" borderId="0" xfId="0" quotePrefix="1" applyFill="1" applyBorder="1" applyAlignment="1">
      <alignment horizontal="center"/>
    </xf>
    <xf numFmtId="166" fontId="0" fillId="2" borderId="0" xfId="0" applyNumberFormat="1" applyFill="1" applyBorder="1" applyAlignment="1">
      <alignment horizontal="center"/>
    </xf>
    <xf numFmtId="10" fontId="0" fillId="2" borderId="5" xfId="1" applyNumberFormat="1" applyFont="1" applyFill="1" applyBorder="1" applyAlignment="1">
      <alignment horizontal="center"/>
    </xf>
    <xf numFmtId="9" fontId="4" fillId="0" borderId="0" xfId="0" quotePrefix="1" applyNumberFormat="1" applyFont="1" applyFill="1" applyBorder="1" applyAlignment="1">
      <alignment horizontal="center" wrapText="1"/>
    </xf>
    <xf numFmtId="10" fontId="4" fillId="0" borderId="0" xfId="0" quotePrefix="1" applyNumberFormat="1" applyFont="1" applyFill="1" applyBorder="1" applyAlignment="1">
      <alignment horizontal="center" wrapText="1"/>
    </xf>
    <xf numFmtId="0" fontId="0" fillId="0" borderId="5" xfId="0" quotePrefix="1" applyFill="1" applyBorder="1" applyAlignment="1">
      <alignment horizontal="center"/>
    </xf>
    <xf numFmtId="0" fontId="0" fillId="0" borderId="6" xfId="0" applyFill="1" applyBorder="1" applyAlignment="1">
      <alignment horizontal="center"/>
    </xf>
    <xf numFmtId="0" fontId="0" fillId="0" borderId="4" xfId="0" quotePrefix="1" applyFill="1" applyBorder="1" applyAlignment="1">
      <alignment horizontal="center"/>
    </xf>
    <xf numFmtId="0" fontId="4" fillId="0" borderId="14" xfId="0" applyFont="1" applyFill="1" applyBorder="1" applyAlignment="1">
      <alignment horizontal="center"/>
    </xf>
    <xf numFmtId="0" fontId="4" fillId="0" borderId="7" xfId="0" applyFont="1" applyFill="1" applyBorder="1" applyAlignment="1">
      <alignment horizontal="center"/>
    </xf>
    <xf numFmtId="0" fontId="0" fillId="0" borderId="7" xfId="0" quotePrefix="1" applyFill="1" applyBorder="1" applyAlignment="1">
      <alignment horizontal="center"/>
    </xf>
    <xf numFmtId="166" fontId="0" fillId="0" borderId="0" xfId="0" quotePrefix="1" applyNumberFormat="1" applyFill="1" applyBorder="1" applyAlignment="1">
      <alignment horizontal="center"/>
    </xf>
    <xf numFmtId="0" fontId="4" fillId="0" borderId="6" xfId="0" quotePrefix="1" applyFont="1" applyFill="1" applyBorder="1" applyAlignment="1">
      <alignment horizontal="center" wrapText="1"/>
    </xf>
    <xf numFmtId="165" fontId="0" fillId="0" borderId="6" xfId="0" applyNumberFormat="1" applyFill="1" applyBorder="1" applyAlignment="1">
      <alignment horizontal="center"/>
    </xf>
    <xf numFmtId="2" fontId="0" fillId="0" borderId="6" xfId="0" applyNumberFormat="1" applyFill="1" applyBorder="1" applyAlignment="1">
      <alignment horizontal="center"/>
    </xf>
    <xf numFmtId="168" fontId="0" fillId="0" borderId="6" xfId="0" applyNumberFormat="1" applyFill="1" applyBorder="1" applyAlignment="1">
      <alignment horizontal="center"/>
    </xf>
    <xf numFmtId="10" fontId="0" fillId="0" borderId="6" xfId="1" applyNumberFormat="1" applyFont="1" applyFill="1" applyBorder="1" applyAlignment="1">
      <alignment horizontal="center"/>
    </xf>
    <xf numFmtId="1" fontId="3" fillId="0" borderId="6" xfId="0" applyNumberFormat="1" applyFont="1" applyFill="1" applyBorder="1" applyAlignment="1">
      <alignment horizontal="center"/>
    </xf>
    <xf numFmtId="1" fontId="0" fillId="0" borderId="6" xfId="0" applyNumberFormat="1" applyFill="1" applyBorder="1" applyAlignment="1">
      <alignment horizontal="center"/>
    </xf>
    <xf numFmtId="0" fontId="0" fillId="0" borderId="6" xfId="0" quotePrefix="1" applyFill="1" applyBorder="1" applyAlignment="1">
      <alignment horizontal="center"/>
    </xf>
    <xf numFmtId="166" fontId="0" fillId="0" borderId="6" xfId="0" applyNumberFormat="1" applyFill="1" applyBorder="1" applyAlignment="1">
      <alignment horizontal="center"/>
    </xf>
    <xf numFmtId="10" fontId="0" fillId="0" borderId="4" xfId="1" applyNumberFormat="1" applyFont="1" applyFill="1" applyBorder="1" applyAlignment="1">
      <alignment horizontal="center"/>
    </xf>
    <xf numFmtId="9" fontId="4" fillId="0" borderId="6" xfId="0" quotePrefix="1" applyNumberFormat="1" applyFont="1" applyFill="1" applyBorder="1" applyAlignment="1">
      <alignment horizontal="center" wrapText="1"/>
    </xf>
    <xf numFmtId="0" fontId="4" fillId="0" borderId="14" xfId="0" quotePrefix="1" applyFont="1" applyFill="1" applyBorder="1" applyAlignment="1">
      <alignment horizontal="center" wrapText="1"/>
    </xf>
    <xf numFmtId="166" fontId="0" fillId="0" borderId="14" xfId="0" quotePrefix="1" applyNumberFormat="1" applyFill="1" applyBorder="1" applyAlignment="1">
      <alignment horizontal="center"/>
    </xf>
    <xf numFmtId="166" fontId="0" fillId="0" borderId="6" xfId="0" quotePrefix="1" applyNumberFormat="1" applyFill="1" applyBorder="1" applyAlignment="1">
      <alignment horizontal="center"/>
    </xf>
    <xf numFmtId="0" fontId="4" fillId="0" borderId="1" xfId="0" quotePrefix="1" applyFont="1" applyFill="1" applyBorder="1" applyAlignment="1">
      <alignment horizontal="center" wrapText="1"/>
    </xf>
    <xf numFmtId="0" fontId="0" fillId="0" borderId="1" xfId="0" applyFill="1" applyBorder="1" applyAlignment="1">
      <alignment horizontal="center"/>
    </xf>
    <xf numFmtId="1" fontId="0" fillId="0" borderId="1" xfId="0" applyNumberFormat="1" applyFill="1" applyBorder="1" applyAlignment="1">
      <alignment horizontal="center"/>
    </xf>
    <xf numFmtId="166" fontId="0" fillId="0" borderId="1" xfId="0" quotePrefix="1" applyNumberFormat="1" applyFill="1" applyBorder="1" applyAlignment="1">
      <alignment horizontal="center"/>
    </xf>
    <xf numFmtId="166" fontId="0" fillId="0" borderId="1" xfId="0" applyNumberFormat="1" applyFill="1" applyBorder="1" applyAlignment="1">
      <alignment horizontal="center"/>
    </xf>
    <xf numFmtId="2" fontId="0" fillId="0" borderId="1" xfId="0" applyNumberFormat="1" applyFill="1" applyBorder="1" applyAlignment="1">
      <alignment horizontal="center"/>
    </xf>
    <xf numFmtId="10" fontId="0" fillId="0" borderId="23" xfId="1" applyNumberFormat="1" applyFont="1" applyFill="1" applyBorder="1" applyAlignment="1">
      <alignment horizontal="center"/>
    </xf>
    <xf numFmtId="0" fontId="4" fillId="0" borderId="0" xfId="0" applyFont="1" applyBorder="1" applyAlignment="1">
      <alignment horizontal="center" vertical="center"/>
    </xf>
    <xf numFmtId="0" fontId="5" fillId="0" borderId="0" xfId="0" quotePrefix="1" applyFont="1" applyBorder="1" applyAlignment="1">
      <alignment horizontal="center" vertical="center"/>
    </xf>
    <xf numFmtId="0" fontId="4" fillId="0" borderId="0" xfId="0" quotePrefix="1" applyFont="1" applyBorder="1" applyAlignment="1">
      <alignment horizontal="center" vertical="center"/>
    </xf>
    <xf numFmtId="0" fontId="5" fillId="0" borderId="0" xfId="0" applyFont="1" applyBorder="1" applyAlignment="1">
      <alignment horizontal="center" vertical="center"/>
    </xf>
    <xf numFmtId="0" fontId="6" fillId="0" borderId="0" xfId="0" applyFont="1" applyBorder="1" applyAlignment="1">
      <alignment horizontal="center" vertical="center"/>
    </xf>
    <xf numFmtId="0" fontId="5" fillId="0" borderId="12" xfId="0" applyFont="1" applyBorder="1" applyAlignment="1">
      <alignment horizontal="center" vertical="center"/>
    </xf>
    <xf numFmtId="9" fontId="6" fillId="0" borderId="0" xfId="1" applyFont="1" applyBorder="1" applyAlignment="1">
      <alignment horizontal="center" vertical="center"/>
    </xf>
    <xf numFmtId="9" fontId="2" fillId="0" borderId="0" xfId="1" applyFont="1" applyBorder="1" applyAlignment="1">
      <alignment horizontal="center" vertical="center"/>
    </xf>
    <xf numFmtId="9" fontId="0" fillId="0" borderId="0" xfId="1" applyFont="1" applyBorder="1" applyAlignment="1">
      <alignment horizontal="center" vertical="center"/>
    </xf>
    <xf numFmtId="2" fontId="5" fillId="0" borderId="12" xfId="0" applyNumberFormat="1" applyFont="1" applyBorder="1" applyAlignment="1">
      <alignment horizontal="center" vertical="center"/>
    </xf>
    <xf numFmtId="2" fontId="5" fillId="0" borderId="0" xfId="0" applyNumberFormat="1" applyFont="1" applyBorder="1" applyAlignment="1">
      <alignment horizontal="center" vertical="center"/>
    </xf>
    <xf numFmtId="2" fontId="6" fillId="0" borderId="0" xfId="0" applyNumberFormat="1" applyFont="1" applyBorder="1" applyAlignment="1">
      <alignment horizontal="center" vertical="center"/>
    </xf>
    <xf numFmtId="1" fontId="5" fillId="0" borderId="13" xfId="0" applyNumberFormat="1" applyFont="1" applyBorder="1" applyAlignment="1">
      <alignment horizontal="center" vertical="center"/>
    </xf>
    <xf numFmtId="9" fontId="6" fillId="0" borderId="6" xfId="1" applyFont="1" applyBorder="1" applyAlignment="1">
      <alignment horizontal="center" vertical="center"/>
    </xf>
    <xf numFmtId="0" fontId="4" fillId="0" borderId="6" xfId="0" applyFont="1" applyBorder="1" applyAlignment="1">
      <alignment horizontal="center" vertical="center"/>
    </xf>
    <xf numFmtId="0" fontId="5" fillId="0" borderId="6" xfId="0" applyFont="1" applyBorder="1" applyAlignment="1">
      <alignment horizontal="center" vertical="center"/>
    </xf>
    <xf numFmtId="0" fontId="6" fillId="0" borderId="5" xfId="0" applyFont="1" applyBorder="1" applyAlignment="1">
      <alignment horizontal="center" vertical="center"/>
    </xf>
    <xf numFmtId="9" fontId="2" fillId="0" borderId="6" xfId="1" applyFont="1" applyBorder="1" applyAlignment="1">
      <alignment horizontal="center" vertical="center"/>
    </xf>
    <xf numFmtId="2" fontId="5" fillId="0" borderId="6" xfId="0" applyNumberFormat="1" applyFont="1" applyBorder="1" applyAlignment="1">
      <alignment horizontal="center" vertical="center"/>
    </xf>
    <xf numFmtId="2" fontId="6" fillId="0" borderId="6" xfId="0" applyNumberFormat="1" applyFont="1" applyBorder="1" applyAlignment="1">
      <alignment horizontal="center" vertical="center"/>
    </xf>
    <xf numFmtId="0" fontId="5" fillId="0" borderId="12" xfId="0" applyNumberFormat="1" applyFont="1" applyFill="1" applyBorder="1" applyAlignment="1" applyProtection="1">
      <alignment horizontal="center"/>
    </xf>
    <xf numFmtId="0" fontId="4" fillId="0" borderId="5" xfId="0" applyFont="1" applyBorder="1" applyAlignment="1">
      <alignment horizontal="center"/>
    </xf>
    <xf numFmtId="0" fontId="6" fillId="0" borderId="12" xfId="0" applyNumberFormat="1" applyFont="1" applyFill="1" applyBorder="1" applyAlignment="1" applyProtection="1">
      <alignment horizontal="center"/>
    </xf>
    <xf numFmtId="2" fontId="0" fillId="0" borderId="5" xfId="0" applyNumberFormat="1" applyBorder="1" applyAlignment="1">
      <alignment horizontal="center"/>
    </xf>
    <xf numFmtId="0" fontId="6" fillId="0" borderId="18" xfId="0" applyNumberFormat="1" applyFont="1" applyFill="1" applyBorder="1" applyAlignment="1" applyProtection="1">
      <alignment horizontal="center"/>
    </xf>
    <xf numFmtId="2" fontId="0" fillId="0" borderId="19" xfId="0" applyNumberFormat="1" applyBorder="1" applyAlignment="1">
      <alignment horizontal="center"/>
    </xf>
    <xf numFmtId="2" fontId="4" fillId="0" borderId="21" xfId="0" applyNumberFormat="1" applyFont="1" applyBorder="1" applyAlignment="1">
      <alignment horizontal="center"/>
    </xf>
    <xf numFmtId="2" fontId="4" fillId="0" borderId="22" xfId="0" applyNumberFormat="1" applyFont="1" applyBorder="1" applyAlignment="1">
      <alignment horizontal="center"/>
    </xf>
    <xf numFmtId="0" fontId="5" fillId="0" borderId="20" xfId="0" applyNumberFormat="1" applyFont="1" applyFill="1" applyBorder="1" applyAlignment="1" applyProtection="1">
      <alignment horizontal="center"/>
    </xf>
    <xf numFmtId="0" fontId="5" fillId="0" borderId="28" xfId="0" applyNumberFormat="1" applyFont="1" applyFill="1" applyBorder="1" applyAlignment="1" applyProtection="1">
      <alignment horizontal="center"/>
    </xf>
    <xf numFmtId="0" fontId="5" fillId="0" borderId="2" xfId="0" applyNumberFormat="1" applyFont="1" applyFill="1" applyBorder="1" applyAlignment="1" applyProtection="1">
      <alignment horizontal="center"/>
    </xf>
    <xf numFmtId="2" fontId="6" fillId="0" borderId="29" xfId="0" applyNumberFormat="1" applyFont="1" applyFill="1" applyBorder="1" applyAlignment="1" applyProtection="1">
      <alignment horizontal="center"/>
    </xf>
    <xf numFmtId="2" fontId="6" fillId="0" borderId="28" xfId="0" applyNumberFormat="1" applyFont="1" applyFill="1" applyBorder="1" applyAlignment="1" applyProtection="1">
      <alignment horizontal="center"/>
    </xf>
    <xf numFmtId="2" fontId="4" fillId="0" borderId="27" xfId="0" applyNumberFormat="1" applyFont="1" applyBorder="1" applyAlignment="1">
      <alignment horizontal="center"/>
    </xf>
    <xf numFmtId="0" fontId="5" fillId="0" borderId="30" xfId="0" applyNumberFormat="1" applyFont="1" applyFill="1" applyBorder="1" applyAlignment="1" applyProtection="1">
      <alignment horizontal="center"/>
    </xf>
    <xf numFmtId="2" fontId="6" fillId="0" borderId="24" xfId="0" applyNumberFormat="1" applyFont="1" applyFill="1" applyBorder="1" applyAlignment="1" applyProtection="1">
      <alignment horizontal="center"/>
    </xf>
    <xf numFmtId="2" fontId="6" fillId="0" borderId="30" xfId="0" applyNumberFormat="1" applyFont="1" applyFill="1" applyBorder="1" applyAlignment="1" applyProtection="1">
      <alignment horizontal="center"/>
    </xf>
    <xf numFmtId="2" fontId="4" fillId="0" borderId="31" xfId="0" applyNumberFormat="1" applyFont="1" applyBorder="1" applyAlignment="1">
      <alignment horizontal="center"/>
    </xf>
    <xf numFmtId="0" fontId="5" fillId="0" borderId="32" xfId="0" applyNumberFormat="1" applyFont="1" applyFill="1" applyBorder="1" applyAlignment="1" applyProtection="1">
      <alignment horizontal="center"/>
    </xf>
    <xf numFmtId="0" fontId="23" fillId="0" borderId="33" xfId="0" applyFont="1" applyBorder="1" applyAlignment="1">
      <alignment horizontal="center" vertical="center" wrapText="1"/>
    </xf>
    <xf numFmtId="0" fontId="23" fillId="0" borderId="34" xfId="0" applyFont="1" applyBorder="1" applyAlignment="1">
      <alignment horizontal="center" vertical="center" wrapText="1"/>
    </xf>
    <xf numFmtId="0" fontId="25" fillId="0" borderId="36" xfId="0" applyFont="1" applyBorder="1" applyAlignment="1">
      <alignment horizontal="center" vertical="center" wrapText="1"/>
    </xf>
    <xf numFmtId="10" fontId="25" fillId="0" borderId="4" xfId="0" applyNumberFormat="1" applyFont="1" applyBorder="1" applyAlignment="1">
      <alignment horizontal="center" vertical="center" wrapText="1"/>
    </xf>
    <xf numFmtId="10" fontId="25" fillId="0" borderId="6" xfId="0" applyNumberFormat="1" applyFont="1" applyBorder="1" applyAlignment="1">
      <alignment horizontal="center" vertical="center" wrapText="1"/>
    </xf>
    <xf numFmtId="0" fontId="25" fillId="0" borderId="37" xfId="0" applyFont="1" applyBorder="1" applyAlignment="1">
      <alignment horizontal="center" vertical="center" wrapText="1"/>
    </xf>
    <xf numFmtId="10" fontId="25" fillId="0" borderId="35" xfId="0" applyNumberFormat="1" applyFont="1" applyBorder="1" applyAlignment="1">
      <alignment horizontal="center" vertical="center" wrapText="1"/>
    </xf>
    <xf numFmtId="10" fontId="25" fillId="0" borderId="38" xfId="0" applyNumberFormat="1" applyFont="1" applyBorder="1" applyAlignment="1">
      <alignment horizontal="center" vertical="center" wrapText="1"/>
    </xf>
    <xf numFmtId="0" fontId="25" fillId="0" borderId="4" xfId="0" applyFont="1" applyBorder="1" applyAlignment="1">
      <alignment horizontal="center" vertical="center" wrapText="1"/>
    </xf>
    <xf numFmtId="0" fontId="25" fillId="0" borderId="38" xfId="0" applyFont="1" applyBorder="1" applyAlignment="1">
      <alignment horizontal="center" vertical="center" wrapText="1"/>
    </xf>
    <xf numFmtId="10" fontId="25" fillId="0" borderId="39" xfId="0" applyNumberFormat="1" applyFont="1" applyBorder="1" applyAlignment="1">
      <alignment horizontal="center" vertical="center" wrapText="1"/>
    </xf>
    <xf numFmtId="0" fontId="25" fillId="0" borderId="41" xfId="0" applyFont="1" applyBorder="1" applyAlignment="1">
      <alignment horizontal="center" vertical="center" wrapText="1"/>
    </xf>
    <xf numFmtId="10" fontId="25" fillId="0" borderId="41" xfId="0" applyNumberFormat="1" applyFont="1" applyBorder="1" applyAlignment="1">
      <alignment horizontal="center" vertical="center" wrapText="1"/>
    </xf>
    <xf numFmtId="10" fontId="25" fillId="0" borderId="42" xfId="0" applyNumberFormat="1" applyFont="1" applyBorder="1" applyAlignment="1">
      <alignment horizontal="center" vertical="center" wrapText="1"/>
    </xf>
    <xf numFmtId="0" fontId="25" fillId="0" borderId="43"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17" xfId="0" applyFont="1" applyBorder="1" applyAlignment="1">
      <alignment horizontal="center" vertical="center" wrapText="1"/>
    </xf>
    <xf numFmtId="0" fontId="25" fillId="0" borderId="35" xfId="0" applyFont="1" applyBorder="1" applyAlignment="1">
      <alignment horizontal="center" vertical="center" wrapText="1"/>
    </xf>
    <xf numFmtId="10" fontId="0" fillId="0" borderId="14" xfId="1" quotePrefix="1" applyNumberFormat="1" applyFont="1" applyFill="1" applyBorder="1" applyAlignment="1">
      <alignment horizontal="center"/>
    </xf>
    <xf numFmtId="0" fontId="0" fillId="0" borderId="0" xfId="0" applyFont="1" applyAlignment="1">
      <alignment horizontal="left" vertical="center"/>
    </xf>
    <xf numFmtId="0" fontId="0" fillId="0" borderId="0" xfId="0" applyFont="1"/>
    <xf numFmtId="0" fontId="0" fillId="0" borderId="0" xfId="0" applyFont="1" applyAlignment="1">
      <alignment vertical="center"/>
    </xf>
    <xf numFmtId="0" fontId="4" fillId="0" borderId="12" xfId="0" applyFont="1" applyBorder="1" applyAlignment="1">
      <alignment horizontal="center" vertical="center"/>
    </xf>
    <xf numFmtId="0" fontId="0" fillId="0" borderId="12" xfId="0" applyFont="1" applyBorder="1" applyAlignment="1">
      <alignment horizontal="center" vertical="center"/>
    </xf>
    <xf numFmtId="0" fontId="0" fillId="0" borderId="0" xfId="0" applyFont="1" applyBorder="1" applyAlignment="1">
      <alignment horizontal="center" vertical="center"/>
    </xf>
    <xf numFmtId="0" fontId="0" fillId="0" borderId="6" xfId="0" applyFont="1" applyBorder="1" applyAlignment="1">
      <alignment horizontal="center" vertical="center"/>
    </xf>
    <xf numFmtId="0" fontId="0" fillId="0" borderId="5" xfId="0" applyFont="1" applyBorder="1" applyAlignment="1">
      <alignment horizontal="center" vertical="center"/>
    </xf>
    <xf numFmtId="0" fontId="0" fillId="0" borderId="4" xfId="0" applyFont="1" applyBorder="1" applyAlignment="1">
      <alignment horizontal="center" vertical="center"/>
    </xf>
    <xf numFmtId="0" fontId="0" fillId="0" borderId="12" xfId="0" quotePrefix="1" applyFont="1" applyBorder="1" applyAlignment="1">
      <alignment horizontal="center" vertical="center"/>
    </xf>
    <xf numFmtId="0" fontId="0" fillId="0" borderId="0" xfId="0" applyAlignment="1">
      <alignment horizontal="center" vertical="center"/>
    </xf>
    <xf numFmtId="0" fontId="0" fillId="0" borderId="14" xfId="0" applyBorder="1" applyAlignment="1">
      <alignment horizontal="center" vertical="center"/>
    </xf>
    <xf numFmtId="0" fontId="0" fillId="0" borderId="7" xfId="0" applyBorder="1" applyAlignment="1">
      <alignment horizontal="center" vertical="center"/>
    </xf>
    <xf numFmtId="0" fontId="0" fillId="0" borderId="0" xfId="0" applyBorder="1" applyAlignment="1">
      <alignment horizontal="center" vertical="center"/>
    </xf>
    <xf numFmtId="0" fontId="5" fillId="0" borderId="5" xfId="0" applyNumberFormat="1" applyFont="1" applyFill="1" applyBorder="1" applyAlignment="1" applyProtection="1">
      <alignment horizontal="center" vertical="center"/>
    </xf>
    <xf numFmtId="0" fontId="0" fillId="0" borderId="5" xfId="0" applyBorder="1" applyAlignment="1">
      <alignment horizontal="center" vertical="center"/>
    </xf>
    <xf numFmtId="0" fontId="5" fillId="0" borderId="0" xfId="0" applyNumberFormat="1" applyFont="1" applyFill="1" applyBorder="1" applyAlignment="1" applyProtection="1">
      <alignment horizontal="center" vertical="center"/>
    </xf>
    <xf numFmtId="0" fontId="5" fillId="0" borderId="2" xfId="0" applyNumberFormat="1" applyFont="1" applyFill="1" applyBorder="1" applyAlignment="1" applyProtection="1">
      <alignment horizontal="center" vertical="center"/>
    </xf>
    <xf numFmtId="1" fontId="6" fillId="0" borderId="2" xfId="0" applyNumberFormat="1" applyFont="1" applyFill="1" applyBorder="1" applyAlignment="1" applyProtection="1">
      <alignment horizontal="center" vertical="center"/>
    </xf>
    <xf numFmtId="1" fontId="0" fillId="0" borderId="19" xfId="0" applyNumberFormat="1" applyBorder="1" applyAlignment="1">
      <alignment horizontal="center" vertical="center"/>
    </xf>
    <xf numFmtId="164" fontId="5" fillId="0" borderId="0" xfId="0" applyNumberFormat="1" applyFont="1" applyFill="1" applyBorder="1" applyAlignment="1" applyProtection="1">
      <alignment horizontal="center" vertical="center"/>
    </xf>
    <xf numFmtId="164" fontId="0" fillId="0" borderId="0" xfId="0" applyNumberFormat="1" applyBorder="1" applyAlignment="1">
      <alignment horizontal="center" vertical="center"/>
    </xf>
    <xf numFmtId="164" fontId="0" fillId="0" borderId="5" xfId="0" applyNumberFormat="1" applyBorder="1" applyAlignment="1">
      <alignment horizontal="center" vertical="center"/>
    </xf>
    <xf numFmtId="164" fontId="0" fillId="0" borderId="0" xfId="0" applyNumberFormat="1" applyAlignment="1">
      <alignment horizontal="center" vertical="center"/>
    </xf>
    <xf numFmtId="164" fontId="5" fillId="0" borderId="1" xfId="0" applyNumberFormat="1" applyFont="1" applyFill="1" applyBorder="1" applyAlignment="1" applyProtection="1">
      <alignment horizontal="center" vertical="center"/>
    </xf>
    <xf numFmtId="164" fontId="0" fillId="0" borderId="1" xfId="0" applyNumberFormat="1" applyBorder="1" applyAlignment="1">
      <alignment horizontal="center" vertical="center"/>
    </xf>
    <xf numFmtId="164" fontId="0" fillId="0" borderId="23" xfId="0" applyNumberFormat="1" applyBorder="1" applyAlignment="1">
      <alignment horizontal="center" vertical="center"/>
    </xf>
    <xf numFmtId="1" fontId="6" fillId="0" borderId="0" xfId="0" applyNumberFormat="1" applyFont="1" applyFill="1" applyBorder="1" applyAlignment="1" applyProtection="1">
      <alignment horizontal="center" vertical="center"/>
    </xf>
    <xf numFmtId="1" fontId="0" fillId="0" borderId="5" xfId="0" applyNumberFormat="1" applyBorder="1" applyAlignment="1">
      <alignment horizontal="center" vertical="center"/>
    </xf>
    <xf numFmtId="164" fontId="5" fillId="0" borderId="6" xfId="0" applyNumberFormat="1" applyFont="1" applyFill="1" applyBorder="1" applyAlignment="1" applyProtection="1">
      <alignment horizontal="center" vertical="center"/>
    </xf>
    <xf numFmtId="164" fontId="0" fillId="0" borderId="6" xfId="0" applyNumberFormat="1" applyBorder="1" applyAlignment="1">
      <alignment horizontal="center" vertical="center"/>
    </xf>
    <xf numFmtId="164" fontId="0" fillId="0" borderId="4" xfId="0" applyNumberFormat="1" applyBorder="1" applyAlignment="1">
      <alignment horizontal="center" vertical="center"/>
    </xf>
    <xf numFmtId="0" fontId="7" fillId="0" borderId="0" xfId="0" applyNumberFormat="1" applyFont="1" applyFill="1" applyBorder="1" applyAlignment="1" applyProtection="1">
      <alignment horizontal="center" vertical="center"/>
    </xf>
    <xf numFmtId="0" fontId="5" fillId="0" borderId="0" xfId="0" applyFont="1" applyAlignment="1">
      <alignment horizontal="center" vertical="center"/>
    </xf>
    <xf numFmtId="2" fontId="5" fillId="0" borderId="0" xfId="0" applyNumberFormat="1" applyFont="1" applyAlignment="1">
      <alignment horizontal="center" vertical="center"/>
    </xf>
    <xf numFmtId="2" fontId="6" fillId="0" borderId="0" xfId="0" applyNumberFormat="1" applyFont="1" applyAlignment="1">
      <alignment horizontal="center" vertical="center"/>
    </xf>
    <xf numFmtId="2" fontId="6" fillId="0" borderId="4" xfId="0" applyNumberFormat="1" applyFont="1" applyBorder="1" applyAlignment="1">
      <alignment horizontal="center" vertical="center"/>
    </xf>
    <xf numFmtId="1" fontId="0" fillId="0" borderId="0" xfId="0" applyNumberFormat="1" applyAlignment="1">
      <alignment horizontal="center" vertical="center"/>
    </xf>
    <xf numFmtId="2" fontId="0" fillId="0" borderId="0" xfId="0" applyNumberFormat="1" applyAlignment="1">
      <alignment horizontal="center" vertical="center"/>
    </xf>
    <xf numFmtId="0" fontId="0" fillId="0" borderId="13" xfId="0" applyBorder="1" applyAlignment="1">
      <alignment horizontal="left" vertical="center" wrapText="1"/>
    </xf>
    <xf numFmtId="0" fontId="0" fillId="0" borderId="12" xfId="0" applyBorder="1" applyAlignment="1">
      <alignment horizontal="left" vertical="center" wrapText="1"/>
    </xf>
    <xf numFmtId="0" fontId="4" fillId="0" borderId="45" xfId="0" applyFont="1" applyBorder="1" applyAlignment="1">
      <alignment horizontal="center" vertical="center" wrapText="1"/>
    </xf>
    <xf numFmtId="0" fontId="4" fillId="0" borderId="47" xfId="0" applyFont="1" applyBorder="1" applyAlignment="1">
      <alignment horizontal="center" vertical="center"/>
    </xf>
    <xf numFmtId="0" fontId="0" fillId="0" borderId="49" xfId="0" applyBorder="1" applyAlignment="1">
      <alignment horizontal="center" vertical="center"/>
    </xf>
    <xf numFmtId="0" fontId="0" fillId="0" borderId="49" xfId="0" applyFill="1" applyBorder="1" applyAlignment="1">
      <alignment horizontal="center" vertical="center"/>
    </xf>
    <xf numFmtId="0" fontId="0" fillId="0" borderId="48" xfId="0" applyFill="1" applyBorder="1" applyAlignment="1">
      <alignment horizontal="center" vertical="center"/>
    </xf>
    <xf numFmtId="0" fontId="4" fillId="0" borderId="13" xfId="0" applyFont="1" applyBorder="1" applyAlignment="1">
      <alignment horizontal="center" vertical="center"/>
    </xf>
    <xf numFmtId="0" fontId="4" fillId="0" borderId="12" xfId="0" applyFont="1" applyBorder="1" applyAlignment="1">
      <alignment horizontal="center" vertical="center"/>
    </xf>
    <xf numFmtId="0" fontId="0" fillId="0" borderId="1" xfId="0" applyBorder="1" applyAlignment="1">
      <alignment horizontal="center" vertical="center"/>
    </xf>
    <xf numFmtId="0" fontId="0" fillId="0" borderId="0" xfId="0" applyAlignment="1">
      <alignment horizontal="center" vertical="center"/>
    </xf>
    <xf numFmtId="1" fontId="6" fillId="0" borderId="0" xfId="0" applyNumberFormat="1" applyFont="1" applyAlignment="1">
      <alignment horizontal="center" vertical="center"/>
    </xf>
    <xf numFmtId="2" fontId="0" fillId="0" borderId="0" xfId="0" applyNumberFormat="1" applyBorder="1" applyAlignment="1">
      <alignment horizontal="center" vertical="center"/>
    </xf>
    <xf numFmtId="2" fontId="0" fillId="0" borderId="0" xfId="1" applyNumberFormat="1" applyFont="1" applyBorder="1" applyAlignment="1">
      <alignment horizontal="center" vertical="center"/>
    </xf>
    <xf numFmtId="1" fontId="0" fillId="0" borderId="0" xfId="0" applyNumberFormat="1" applyBorder="1" applyAlignment="1">
      <alignment horizontal="center" vertical="center"/>
    </xf>
    <xf numFmtId="2" fontId="0" fillId="0" borderId="5" xfId="0" applyNumberFormat="1" applyBorder="1" applyAlignment="1">
      <alignment horizontal="center" vertical="center"/>
    </xf>
    <xf numFmtId="2" fontId="0" fillId="0" borderId="6" xfId="0" applyNumberFormat="1" applyBorder="1" applyAlignment="1">
      <alignment horizontal="center" vertical="center"/>
    </xf>
    <xf numFmtId="2" fontId="0" fillId="0" borderId="6" xfId="1" applyNumberFormat="1" applyFont="1" applyBorder="1" applyAlignment="1">
      <alignment horizontal="center" vertical="center"/>
    </xf>
    <xf numFmtId="1" fontId="0" fillId="0" borderId="6" xfId="0" applyNumberFormat="1" applyBorder="1" applyAlignment="1">
      <alignment horizontal="center" vertical="center"/>
    </xf>
    <xf numFmtId="2" fontId="0" fillId="0" borderId="4" xfId="0" applyNumberFormat="1" applyBorder="1" applyAlignment="1">
      <alignment horizontal="center" vertical="center"/>
    </xf>
    <xf numFmtId="2" fontId="0" fillId="0" borderId="1" xfId="0" applyNumberFormat="1" applyBorder="1" applyAlignment="1">
      <alignment horizontal="center" vertical="center"/>
    </xf>
    <xf numFmtId="2" fontId="0" fillId="0" borderId="1" xfId="1" applyNumberFormat="1" applyFont="1" applyBorder="1" applyAlignment="1">
      <alignment horizontal="center" vertical="center"/>
    </xf>
    <xf numFmtId="1" fontId="0" fillId="0" borderId="1" xfId="0" applyNumberFormat="1" applyBorder="1" applyAlignment="1">
      <alignment horizontal="center" vertical="center"/>
    </xf>
    <xf numFmtId="2" fontId="0" fillId="0" borderId="23" xfId="0" applyNumberFormat="1" applyBorder="1" applyAlignment="1">
      <alignment horizontal="center" vertical="center"/>
    </xf>
    <xf numFmtId="2" fontId="0" fillId="0" borderId="2" xfId="0" applyNumberFormat="1" applyBorder="1" applyAlignment="1">
      <alignment horizontal="center" vertical="center"/>
    </xf>
    <xf numFmtId="2" fontId="0" fillId="0" borderId="2" xfId="1" applyNumberFormat="1" applyFont="1" applyBorder="1" applyAlignment="1">
      <alignment horizontal="center" vertical="center"/>
    </xf>
    <xf numFmtId="1" fontId="0" fillId="0" borderId="2" xfId="0" applyNumberFormat="1" applyBorder="1" applyAlignment="1">
      <alignment horizontal="center" vertical="center"/>
    </xf>
    <xf numFmtId="2" fontId="0" fillId="0" borderId="19" xfId="0" applyNumberFormat="1" applyBorder="1" applyAlignment="1">
      <alignment horizontal="center" vertical="center"/>
    </xf>
    <xf numFmtId="0" fontId="0" fillId="0" borderId="12" xfId="0" applyBorder="1" applyAlignment="1">
      <alignment horizontal="center" vertical="center"/>
    </xf>
    <xf numFmtId="2" fontId="6" fillId="0" borderId="5" xfId="0" applyNumberFormat="1" applyFont="1" applyBorder="1" applyAlignment="1">
      <alignment horizontal="center" vertical="center"/>
    </xf>
    <xf numFmtId="169" fontId="4" fillId="0" borderId="0" xfId="1" applyNumberFormat="1" applyFont="1" applyBorder="1" applyAlignment="1">
      <alignment horizontal="center" vertical="center"/>
    </xf>
    <xf numFmtId="1" fontId="4" fillId="0" borderId="0" xfId="0" applyNumberFormat="1" applyFont="1" applyBorder="1" applyAlignment="1">
      <alignment horizontal="center" vertical="center"/>
    </xf>
    <xf numFmtId="1" fontId="4" fillId="0" borderId="5" xfId="0" applyNumberFormat="1" applyFont="1" applyBorder="1" applyAlignment="1">
      <alignment horizontal="center" vertical="center"/>
    </xf>
    <xf numFmtId="0" fontId="5" fillId="0" borderId="4" xfId="0" applyFont="1" applyBorder="1" applyAlignment="1">
      <alignment horizontal="center" vertical="center"/>
    </xf>
    <xf numFmtId="0" fontId="4" fillId="0" borderId="1" xfId="0" applyFont="1" applyBorder="1" applyAlignment="1">
      <alignment horizontal="center" vertical="center"/>
    </xf>
    <xf numFmtId="2" fontId="4" fillId="0" borderId="1" xfId="0" applyNumberFormat="1" applyFont="1" applyBorder="1" applyAlignment="1">
      <alignment horizontal="center" vertical="center"/>
    </xf>
    <xf numFmtId="0" fontId="4" fillId="0" borderId="23" xfId="0" applyFont="1" applyBorder="1" applyAlignment="1">
      <alignment horizontal="center" vertical="center"/>
    </xf>
    <xf numFmtId="0" fontId="0" fillId="0" borderId="18" xfId="0" applyBorder="1" applyAlignment="1">
      <alignment horizontal="center" vertical="center"/>
    </xf>
    <xf numFmtId="2" fontId="6" fillId="0" borderId="2" xfId="0" applyNumberFormat="1" applyFont="1" applyBorder="1" applyAlignment="1">
      <alignment horizontal="center" vertical="center"/>
    </xf>
    <xf numFmtId="0" fontId="0" fillId="0" borderId="50" xfId="0" applyBorder="1" applyAlignment="1">
      <alignment horizontal="center" vertical="center"/>
    </xf>
    <xf numFmtId="2" fontId="6" fillId="0" borderId="1" xfId="0" applyNumberFormat="1" applyFont="1" applyBorder="1" applyAlignment="1">
      <alignment horizontal="center" vertical="center"/>
    </xf>
    <xf numFmtId="2" fontId="6" fillId="0" borderId="23" xfId="0" applyNumberFormat="1" applyFont="1" applyBorder="1" applyAlignment="1">
      <alignment horizontal="center" vertical="center"/>
    </xf>
    <xf numFmtId="2" fontId="5" fillId="0" borderId="5" xfId="0" applyNumberFormat="1" applyFont="1" applyBorder="1" applyAlignment="1">
      <alignment horizontal="center" vertical="center"/>
    </xf>
    <xf numFmtId="49" fontId="5" fillId="0" borderId="0" xfId="0" quotePrefix="1" applyNumberFormat="1" applyFont="1" applyBorder="1" applyAlignment="1">
      <alignment horizontal="center" vertical="center"/>
    </xf>
    <xf numFmtId="0" fontId="4" fillId="0" borderId="25" xfId="0" applyFont="1" applyBorder="1" applyAlignment="1">
      <alignment horizontal="center" vertical="center"/>
    </xf>
    <xf numFmtId="0" fontId="4" fillId="0" borderId="44" xfId="0" applyFont="1" applyBorder="1" applyAlignment="1">
      <alignment horizontal="center" vertical="center"/>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0" fillId="0" borderId="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14" xfId="0" applyBorder="1" applyAlignment="1">
      <alignment horizontal="center" vertical="center" wrapText="1"/>
    </xf>
    <xf numFmtId="0" fontId="0" fillId="0" borderId="7" xfId="0" applyBorder="1" applyAlignment="1">
      <alignment horizontal="center" vertical="center" wrapText="1"/>
    </xf>
    <xf numFmtId="0" fontId="0" fillId="0" borderId="0"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4" xfId="0" applyBorder="1" applyAlignment="1">
      <alignment horizontal="center" vertical="center" wrapText="1"/>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0" fillId="0" borderId="14" xfId="0" applyFont="1" applyBorder="1" applyAlignment="1">
      <alignment horizontal="center" vertical="center" wrapText="1"/>
    </xf>
    <xf numFmtId="0" fontId="4" fillId="0" borderId="6" xfId="0" applyFont="1" applyBorder="1" applyAlignment="1">
      <alignment horizontal="center"/>
    </xf>
    <xf numFmtId="0" fontId="0" fillId="0" borderId="11" xfId="0" applyBorder="1" applyAlignment="1">
      <alignment horizontal="center"/>
    </xf>
    <xf numFmtId="0" fontId="0" fillId="0" borderId="14" xfId="0" applyBorder="1" applyAlignment="1">
      <alignment horizontal="center"/>
    </xf>
    <xf numFmtId="0" fontId="0" fillId="0" borderId="7" xfId="0" applyBorder="1" applyAlignment="1">
      <alignment horizontal="center"/>
    </xf>
    <xf numFmtId="0" fontId="0" fillId="0" borderId="12" xfId="0" applyBorder="1" applyAlignment="1">
      <alignment horizontal="center"/>
    </xf>
    <xf numFmtId="0" fontId="0" fillId="0" borderId="0" xfId="0" applyBorder="1" applyAlignment="1">
      <alignment horizontal="center"/>
    </xf>
    <xf numFmtId="0" fontId="0" fillId="0" borderId="5" xfId="0" applyBorder="1" applyAlignment="1">
      <alignment horizontal="center"/>
    </xf>
    <xf numFmtId="0" fontId="4" fillId="0" borderId="0" xfId="0" applyFont="1" applyAlignment="1">
      <alignment horizontal="center"/>
    </xf>
    <xf numFmtId="0" fontId="0" fillId="0" borderId="12" xfId="0" applyFont="1" applyBorder="1" applyAlignment="1">
      <alignment horizontal="center"/>
    </xf>
    <xf numFmtId="0" fontId="0" fillId="0" borderId="0" xfId="0" applyFont="1" applyBorder="1" applyAlignment="1">
      <alignment horizontal="center"/>
    </xf>
    <xf numFmtId="0" fontId="0" fillId="0" borderId="5" xfId="0" applyFont="1" applyBorder="1" applyAlignment="1">
      <alignment horizontal="center"/>
    </xf>
    <xf numFmtId="0" fontId="4" fillId="0" borderId="16"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7" xfId="0" applyFont="1" applyBorder="1" applyAlignment="1">
      <alignment horizontal="center" vertical="center"/>
    </xf>
    <xf numFmtId="0" fontId="4" fillId="0" borderId="3" xfId="0" applyFont="1" applyBorder="1" applyAlignment="1">
      <alignment horizontal="center" vertical="center"/>
    </xf>
    <xf numFmtId="0" fontId="0" fillId="0" borderId="12" xfId="0" applyFont="1" applyBorder="1" applyAlignment="1">
      <alignment horizontal="center" vertical="center"/>
    </xf>
    <xf numFmtId="0" fontId="0" fillId="0" borderId="0" xfId="0" applyFont="1" applyBorder="1" applyAlignment="1">
      <alignment horizontal="center" vertical="center"/>
    </xf>
    <xf numFmtId="0" fontId="0" fillId="0" borderId="13" xfId="0" applyFont="1" applyBorder="1" applyAlignment="1">
      <alignment horizontal="center" vertical="center"/>
    </xf>
    <xf numFmtId="0" fontId="0" fillId="0" borderId="6" xfId="0" applyFont="1" applyBorder="1" applyAlignment="1">
      <alignment horizontal="center" vertical="center"/>
    </xf>
    <xf numFmtId="0" fontId="0" fillId="0" borderId="8" xfId="0" applyFont="1" applyBorder="1" applyAlignment="1">
      <alignment horizontal="center" vertical="center" wrapText="1"/>
    </xf>
    <xf numFmtId="0" fontId="0" fillId="0" borderId="9" xfId="0" applyFont="1" applyBorder="1" applyAlignment="1">
      <alignment horizontal="center" vertical="center" wrapText="1"/>
    </xf>
    <xf numFmtId="0" fontId="0" fillId="0" borderId="10" xfId="0" applyFont="1" applyBorder="1" applyAlignment="1">
      <alignment horizontal="center" vertical="center" wrapText="1"/>
    </xf>
    <xf numFmtId="0" fontId="0" fillId="0" borderId="11" xfId="0" applyFont="1" applyBorder="1" applyAlignment="1">
      <alignment horizontal="center" vertical="center"/>
    </xf>
    <xf numFmtId="0" fontId="0"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0" fillId="0" borderId="11" xfId="0" applyFont="1" applyBorder="1" applyAlignment="1">
      <alignment horizontal="center" vertical="center" wrapText="1"/>
    </xf>
    <xf numFmtId="0" fontId="0" fillId="0" borderId="12" xfId="0" applyFont="1" applyBorder="1" applyAlignment="1">
      <alignment horizontal="center" vertical="center" wrapText="1"/>
    </xf>
    <xf numFmtId="0" fontId="0" fillId="0" borderId="13" xfId="0" applyFont="1" applyBorder="1" applyAlignment="1">
      <alignment horizontal="center" vertical="center" wrapText="1"/>
    </xf>
    <xf numFmtId="0" fontId="4" fillId="0" borderId="16" xfId="0" applyFont="1" applyBorder="1" applyAlignment="1">
      <alignment horizontal="center" vertical="center"/>
    </xf>
    <xf numFmtId="0" fontId="0" fillId="0" borderId="7" xfId="0" applyFont="1" applyBorder="1" applyAlignment="1">
      <alignment horizontal="center" vertical="center" wrapText="1"/>
    </xf>
    <xf numFmtId="0" fontId="0" fillId="0" borderId="5" xfId="0" applyFont="1" applyBorder="1" applyAlignment="1">
      <alignment horizontal="center" vertical="center" wrapText="1"/>
    </xf>
    <xf numFmtId="0" fontId="0" fillId="0" borderId="4" xfId="0" applyFont="1" applyBorder="1" applyAlignment="1">
      <alignment horizontal="center" vertical="center" wrapText="1"/>
    </xf>
    <xf numFmtId="0" fontId="0" fillId="0" borderId="5" xfId="0" applyFont="1" applyBorder="1" applyAlignment="1">
      <alignment horizontal="center" vertical="center"/>
    </xf>
    <xf numFmtId="0" fontId="0" fillId="0" borderId="14" xfId="0" applyFont="1" applyBorder="1" applyAlignment="1">
      <alignment horizontal="center" vertical="center"/>
    </xf>
    <xf numFmtId="0" fontId="0" fillId="0" borderId="11" xfId="0" quotePrefix="1" applyFont="1" applyFill="1" applyBorder="1" applyAlignment="1">
      <alignment horizontal="center" vertical="center"/>
    </xf>
    <xf numFmtId="0" fontId="0" fillId="0" borderId="7" xfId="0" applyFont="1" applyFill="1" applyBorder="1" applyAlignment="1">
      <alignment horizontal="center" vertical="center"/>
    </xf>
    <xf numFmtId="0" fontId="0" fillId="0" borderId="12" xfId="0" applyFont="1" applyFill="1" applyBorder="1" applyAlignment="1">
      <alignment horizontal="center" vertical="center"/>
    </xf>
    <xf numFmtId="0" fontId="0" fillId="0" borderId="5" xfId="0" applyFont="1" applyFill="1" applyBorder="1" applyAlignment="1">
      <alignment horizontal="center" vertical="center"/>
    </xf>
    <xf numFmtId="0" fontId="0" fillId="0" borderId="13" xfId="0" applyFont="1" applyFill="1" applyBorder="1" applyAlignment="1">
      <alignment horizontal="center" vertical="center"/>
    </xf>
    <xf numFmtId="0" fontId="0" fillId="0" borderId="4" xfId="0" applyFont="1" applyFill="1" applyBorder="1" applyAlignment="1">
      <alignment horizontal="center" vertical="center"/>
    </xf>
    <xf numFmtId="0" fontId="0" fillId="0" borderId="7" xfId="0" quotePrefix="1" applyFont="1" applyFill="1" applyBorder="1" applyAlignment="1">
      <alignment horizontal="center" vertical="center"/>
    </xf>
    <xf numFmtId="0" fontId="0" fillId="0" borderId="12" xfId="0" quotePrefix="1" applyFont="1" applyFill="1" applyBorder="1" applyAlignment="1">
      <alignment horizontal="center" vertical="center"/>
    </xf>
    <xf numFmtId="0" fontId="0" fillId="0" borderId="5" xfId="0" quotePrefix="1" applyFont="1" applyFill="1" applyBorder="1" applyAlignment="1">
      <alignment horizontal="center" vertical="center"/>
    </xf>
    <xf numFmtId="0" fontId="0" fillId="0" borderId="13" xfId="0" quotePrefix="1" applyFont="1" applyFill="1" applyBorder="1" applyAlignment="1">
      <alignment horizontal="center" vertical="center"/>
    </xf>
    <xf numFmtId="0" fontId="0" fillId="0" borderId="4" xfId="0" quotePrefix="1" applyFont="1" applyFill="1" applyBorder="1" applyAlignment="1">
      <alignment horizontal="center" vertical="center"/>
    </xf>
    <xf numFmtId="0" fontId="0" fillId="0" borderId="6" xfId="0" applyFont="1" applyFill="1" applyBorder="1" applyAlignment="1">
      <alignment horizontal="center" vertical="center"/>
    </xf>
    <xf numFmtId="0" fontId="0" fillId="0" borderId="14" xfId="0" applyFont="1" applyFill="1" applyBorder="1" applyAlignment="1">
      <alignment horizontal="center" vertical="center"/>
    </xf>
    <xf numFmtId="0" fontId="4" fillId="0" borderId="17" xfId="0" applyFont="1" applyBorder="1" applyAlignment="1">
      <alignment horizontal="center" vertical="center" wrapText="1"/>
    </xf>
    <xf numFmtId="0" fontId="0" fillId="0" borderId="4" xfId="0" applyFont="1" applyBorder="1" applyAlignment="1">
      <alignment horizontal="center" vertical="center"/>
    </xf>
    <xf numFmtId="0" fontId="4" fillId="0" borderId="11" xfId="0" applyFont="1" applyFill="1" applyBorder="1" applyAlignment="1">
      <alignment horizontal="center" vertical="center"/>
    </xf>
    <xf numFmtId="0" fontId="4" fillId="0" borderId="12" xfId="0" applyFont="1" applyFill="1" applyBorder="1" applyAlignment="1">
      <alignment horizontal="center" vertical="center"/>
    </xf>
    <xf numFmtId="0" fontId="4" fillId="0" borderId="13" xfId="0" applyFont="1" applyFill="1" applyBorder="1" applyAlignment="1">
      <alignment horizontal="center" vertical="center"/>
    </xf>
    <xf numFmtId="0" fontId="0" fillId="0" borderId="11" xfId="0" quotePrefix="1" applyFont="1" applyBorder="1" applyAlignment="1">
      <alignment horizontal="center" vertical="center" wrapText="1"/>
    </xf>
    <xf numFmtId="0" fontId="0" fillId="0" borderId="7" xfId="0" quotePrefix="1" applyFont="1" applyBorder="1" applyAlignment="1">
      <alignment horizontal="center" vertical="center" wrapText="1"/>
    </xf>
    <xf numFmtId="0" fontId="0" fillId="0" borderId="13" xfId="0" quotePrefix="1" applyFont="1" applyBorder="1" applyAlignment="1">
      <alignment horizontal="center" vertical="center" wrapText="1"/>
    </xf>
    <xf numFmtId="0" fontId="0" fillId="0" borderId="4" xfId="0" quotePrefix="1" applyFont="1" applyBorder="1" applyAlignment="1">
      <alignment horizontal="center" vertical="center" wrapText="1"/>
    </xf>
    <xf numFmtId="0" fontId="0" fillId="0" borderId="0" xfId="0" applyFont="1" applyFill="1" applyBorder="1" applyAlignment="1">
      <alignment horizontal="center" vertical="center"/>
    </xf>
    <xf numFmtId="0" fontId="0" fillId="0" borderId="8" xfId="0" applyFont="1" applyFill="1" applyBorder="1" applyAlignment="1">
      <alignment horizontal="center" vertical="center"/>
    </xf>
    <xf numFmtId="0" fontId="0" fillId="0" borderId="9" xfId="0" applyFont="1" applyFill="1" applyBorder="1" applyAlignment="1">
      <alignment horizontal="center" vertical="center"/>
    </xf>
    <xf numFmtId="0" fontId="0" fillId="0" borderId="10" xfId="0" applyFont="1" applyFill="1" applyBorder="1" applyAlignment="1">
      <alignment horizontal="center" vertical="center"/>
    </xf>
    <xf numFmtId="0" fontId="0" fillId="0" borderId="16" xfId="0" quotePrefix="1" applyFont="1" applyFill="1" applyBorder="1" applyAlignment="1">
      <alignment horizontal="center"/>
    </xf>
    <xf numFmtId="0" fontId="0" fillId="0" borderId="3" xfId="0" applyFont="1" applyFill="1" applyBorder="1" applyAlignment="1">
      <alignment horizontal="center"/>
    </xf>
    <xf numFmtId="0" fontId="0" fillId="0" borderId="17" xfId="0" applyFont="1" applyFill="1" applyBorder="1" applyAlignment="1">
      <alignment horizontal="center" vertical="center"/>
    </xf>
    <xf numFmtId="0" fontId="0" fillId="0" borderId="3" xfId="0" applyFont="1" applyFill="1" applyBorder="1" applyAlignment="1">
      <alignment horizontal="center" vertical="center"/>
    </xf>
    <xf numFmtId="0" fontId="4" fillId="0" borderId="11" xfId="0" applyFont="1" applyFill="1" applyBorder="1" applyAlignment="1">
      <alignment horizontal="center"/>
    </xf>
    <xf numFmtId="0" fontId="4" fillId="0" borderId="12" xfId="0" applyFont="1" applyFill="1" applyBorder="1" applyAlignment="1">
      <alignment horizontal="center"/>
    </xf>
    <xf numFmtId="0" fontId="4" fillId="0" borderId="13" xfId="0" applyFont="1" applyFill="1" applyBorder="1" applyAlignment="1">
      <alignment horizontal="center"/>
    </xf>
    <xf numFmtId="0" fontId="0" fillId="0" borderId="11" xfId="0" applyFont="1" applyFill="1" applyBorder="1" applyAlignment="1">
      <alignment horizontal="center" vertical="center" wrapText="1"/>
    </xf>
    <xf numFmtId="0" fontId="0" fillId="0" borderId="12" xfId="0" applyFont="1" applyFill="1" applyBorder="1" applyAlignment="1">
      <alignment horizontal="center" vertical="center" wrapText="1"/>
    </xf>
    <xf numFmtId="0" fontId="0" fillId="0" borderId="13" xfId="0" applyFont="1" applyFill="1" applyBorder="1" applyAlignment="1">
      <alignment horizontal="center" vertical="center" wrapText="1"/>
    </xf>
    <xf numFmtId="0" fontId="0" fillId="0" borderId="11" xfId="0" quotePrefix="1" applyFont="1" applyBorder="1" applyAlignment="1">
      <alignment horizontal="center" vertical="center"/>
    </xf>
    <xf numFmtId="0" fontId="0" fillId="0" borderId="7" xfId="0" quotePrefix="1" applyFont="1" applyBorder="1" applyAlignment="1">
      <alignment horizontal="center" vertical="center"/>
    </xf>
    <xf numFmtId="0" fontId="0" fillId="0" borderId="12" xfId="0" quotePrefix="1" applyFont="1" applyBorder="1" applyAlignment="1">
      <alignment horizontal="center" vertical="center"/>
    </xf>
    <xf numFmtId="0" fontId="0" fillId="0" borderId="5" xfId="0" quotePrefix="1" applyFont="1" applyBorder="1" applyAlignment="1">
      <alignment horizontal="center" vertical="center"/>
    </xf>
    <xf numFmtId="0" fontId="0" fillId="0" borderId="13" xfId="0" quotePrefix="1" applyFont="1" applyBorder="1" applyAlignment="1">
      <alignment horizontal="center" vertical="center"/>
    </xf>
    <xf numFmtId="0" fontId="0" fillId="0" borderId="4" xfId="0" quotePrefix="1" applyFont="1" applyBorder="1" applyAlignment="1">
      <alignment horizontal="center" vertical="center"/>
    </xf>
    <xf numFmtId="0" fontId="0" fillId="0" borderId="0" xfId="0" applyFont="1" applyFill="1" applyBorder="1" applyAlignment="1">
      <alignment horizontal="center" vertical="center" wrapText="1"/>
    </xf>
    <xf numFmtId="0" fontId="0" fillId="0" borderId="5"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4" fillId="0" borderId="14" xfId="0" applyFont="1" applyFill="1" applyBorder="1" applyAlignment="1">
      <alignment horizontal="center" vertical="center"/>
    </xf>
    <xf numFmtId="0" fontId="4" fillId="0" borderId="0" xfId="0" applyFont="1" applyFill="1" applyBorder="1" applyAlignment="1">
      <alignment horizontal="center" vertical="center"/>
    </xf>
    <xf numFmtId="0" fontId="0" fillId="0" borderId="8"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14" xfId="0" quotePrefix="1" applyFont="1" applyFill="1" applyBorder="1" applyAlignment="1">
      <alignment horizontal="center" vertical="center"/>
    </xf>
    <xf numFmtId="0" fontId="0" fillId="0" borderId="1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0" xfId="0" quotePrefix="1" applyFont="1" applyFill="1" applyBorder="1" applyAlignment="1">
      <alignment horizontal="center" vertical="center"/>
    </xf>
    <xf numFmtId="0" fontId="0" fillId="0" borderId="11" xfId="0" applyFont="1" applyFill="1" applyBorder="1" applyAlignment="1">
      <alignment horizontal="center" vertical="center"/>
    </xf>
    <xf numFmtId="0" fontId="0" fillId="0" borderId="10" xfId="0" applyFont="1" applyFill="1" applyBorder="1" applyAlignment="1">
      <alignment horizontal="center" vertical="center" wrapText="1"/>
    </xf>
    <xf numFmtId="0" fontId="0" fillId="0" borderId="6" xfId="0" quotePrefix="1" applyFont="1" applyFill="1" applyBorder="1" applyAlignment="1">
      <alignment horizontal="center" vertical="center"/>
    </xf>
    <xf numFmtId="0" fontId="4" fillId="0" borderId="6" xfId="0" quotePrefix="1" applyFont="1" applyFill="1" applyBorder="1" applyAlignment="1">
      <alignment horizontal="center"/>
    </xf>
    <xf numFmtId="0" fontId="4" fillId="0" borderId="6" xfId="0" applyFont="1" applyFill="1" applyBorder="1" applyAlignment="1">
      <alignment horizontal="center"/>
    </xf>
    <xf numFmtId="0" fontId="16" fillId="0" borderId="40"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35"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4" xfId="0" applyFont="1" applyBorder="1" applyAlignment="1">
      <alignment horizontal="center" vertical="center" wrapText="1"/>
    </xf>
    <xf numFmtId="0" fontId="4" fillId="0" borderId="14"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5" fillId="0" borderId="25" xfId="0" applyNumberFormat="1" applyFont="1" applyFill="1" applyBorder="1" applyAlignment="1" applyProtection="1">
      <alignment horizontal="center"/>
    </xf>
    <xf numFmtId="0" fontId="5" fillId="0" borderId="26" xfId="0" applyNumberFormat="1" applyFont="1" applyFill="1" applyBorder="1" applyAlignment="1" applyProtection="1">
      <alignment horizontal="center"/>
    </xf>
    <xf numFmtId="0" fontId="0" fillId="0" borderId="0" xfId="0" applyBorder="1" applyAlignment="1">
      <alignment horizontal="center" vertical="center"/>
    </xf>
    <xf numFmtId="0" fontId="0" fillId="0" borderId="1" xfId="0" applyBorder="1" applyAlignment="1">
      <alignment horizontal="center" vertical="center"/>
    </xf>
    <xf numFmtId="0" fontId="0" fillId="0" borderId="2" xfId="0" quotePrefix="1" applyBorder="1" applyAlignment="1">
      <alignment horizontal="center" vertical="center"/>
    </xf>
    <xf numFmtId="0" fontId="0" fillId="0" borderId="6" xfId="0" quotePrefix="1" applyBorder="1" applyAlignment="1">
      <alignment horizontal="center" vertical="center"/>
    </xf>
    <xf numFmtId="0" fontId="0" fillId="0" borderId="0" xfId="0" quotePrefix="1" applyBorder="1" applyAlignment="1">
      <alignment horizontal="center" vertical="center"/>
    </xf>
    <xf numFmtId="0" fontId="0" fillId="0" borderId="1" xfId="0" quotePrefix="1" applyBorder="1" applyAlignment="1">
      <alignment horizontal="center" vertical="center"/>
    </xf>
    <xf numFmtId="0" fontId="4" fillId="0" borderId="16"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9" fillId="0" borderId="11" xfId="0" applyFont="1" applyBorder="1" applyAlignment="1">
      <alignment horizontal="center" vertical="center"/>
    </xf>
    <xf numFmtId="0" fontId="9" fillId="0" borderId="14" xfId="0" applyFont="1" applyBorder="1" applyAlignment="1">
      <alignment horizontal="center" vertical="center"/>
    </xf>
    <xf numFmtId="0" fontId="9" fillId="0" borderId="7" xfId="0" applyFont="1" applyBorder="1" applyAlignment="1">
      <alignment horizontal="center" vertical="center"/>
    </xf>
    <xf numFmtId="0" fontId="4" fillId="0" borderId="12" xfId="0" quotePrefix="1" applyFont="1" applyBorder="1" applyAlignment="1">
      <alignment horizontal="center" vertical="center"/>
    </xf>
    <xf numFmtId="0" fontId="4" fillId="0" borderId="18" xfId="0" quotePrefix="1" applyFont="1" applyBorder="1" applyAlignment="1">
      <alignment horizontal="center" vertical="center"/>
    </xf>
    <xf numFmtId="0" fontId="4" fillId="0" borderId="50" xfId="0" applyFont="1" applyBorder="1" applyAlignment="1">
      <alignment horizontal="center" vertical="center"/>
    </xf>
    <xf numFmtId="0" fontId="4" fillId="0" borderId="14"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6" xfId="0" applyFont="1" applyFill="1" applyBorder="1" applyAlignment="1">
      <alignment horizontal="center" vertical="center"/>
    </xf>
    <xf numFmtId="0" fontId="4" fillId="0" borderId="17"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14" xfId="0" quotePrefix="1" applyFont="1" applyBorder="1" applyAlignment="1">
      <alignment horizontal="center" vertical="center"/>
    </xf>
    <xf numFmtId="0" fontId="4" fillId="0" borderId="7" xfId="0" quotePrefix="1" applyFont="1" applyBorder="1" applyAlignment="1">
      <alignment horizontal="center" vertical="center"/>
    </xf>
    <xf numFmtId="0" fontId="5" fillId="0" borderId="14" xfId="0" applyFont="1" applyBorder="1" applyAlignment="1">
      <alignment horizontal="center" vertical="center"/>
    </xf>
    <xf numFmtId="0" fontId="5" fillId="0" borderId="7" xfId="0" applyFont="1" applyBorder="1" applyAlignment="1">
      <alignment horizontal="center" vertical="center"/>
    </xf>
    <xf numFmtId="0" fontId="4" fillId="0" borderId="7"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50" xfId="0" applyFont="1" applyBorder="1" applyAlignment="1">
      <alignment horizontal="center" vertical="center" wrapText="1"/>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4" fillId="0" borderId="14" xfId="0" applyFont="1" applyBorder="1" applyAlignment="1">
      <alignment horizontal="center" vertical="center"/>
    </xf>
    <xf numFmtId="0" fontId="4" fillId="0" borderId="1" xfId="0" applyFont="1" applyBorder="1" applyAlignment="1">
      <alignment horizontal="center" vertical="center"/>
    </xf>
  </cellXfs>
  <cellStyles count="2">
    <cellStyle name="Normal" xfId="0" builtinId="0"/>
    <cellStyle name="Per 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92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r>
              <a:rPr lang="en-GB"/>
              <a:t>Variation of the total error (σ</a:t>
            </a:r>
            <a:r>
              <a:rPr lang="en-GB" baseline="-25000"/>
              <a:t>t</a:t>
            </a:r>
            <a:r>
              <a:rPr lang="en-GB"/>
              <a:t>) with liberation size (d</a:t>
            </a:r>
            <a:r>
              <a:rPr lang="en-GB" baseline="-25000"/>
              <a:t>l</a:t>
            </a:r>
            <a:r>
              <a:rPr lang="en-GB"/>
              <a:t>) </a:t>
            </a:r>
          </a:p>
        </c:rich>
      </c:tx>
      <c:overlay val="0"/>
      <c:spPr>
        <a:noFill/>
        <a:ln>
          <a:noFill/>
        </a:ln>
        <a:effectLst/>
      </c:spPr>
      <c:txPr>
        <a:bodyPr rot="0" spcFirstLastPara="1" vertOverflow="ellipsis" vert="horz" wrap="square" anchor="ctr" anchorCtr="1"/>
        <a:lstStyle/>
        <a:p>
          <a:pPr>
            <a:defRPr sz="192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scatterChart>
        <c:scatterStyle val="smoothMarker"/>
        <c:varyColors val="0"/>
        <c:ser>
          <c:idx val="0"/>
          <c:order val="0"/>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'3. Troubleshooting the Error'!$C$4:$C$9</c:f>
              <c:numCache>
                <c:formatCode>General</c:formatCode>
                <c:ptCount val="6"/>
                <c:pt idx="0">
                  <c:v>0.1</c:v>
                </c:pt>
                <c:pt idx="1">
                  <c:v>0.2</c:v>
                </c:pt>
                <c:pt idx="2">
                  <c:v>0.3</c:v>
                </c:pt>
                <c:pt idx="3">
                  <c:v>0.4</c:v>
                </c:pt>
                <c:pt idx="4">
                  <c:v>0.5</c:v>
                </c:pt>
                <c:pt idx="5">
                  <c:v>0.6</c:v>
                </c:pt>
              </c:numCache>
            </c:numRef>
          </c:xVal>
          <c:yVal>
            <c:numRef>
              <c:f>'3. Troubleshooting the Error'!$AA$4:$AA$9</c:f>
              <c:numCache>
                <c:formatCode>0.00%</c:formatCode>
                <c:ptCount val="6"/>
                <c:pt idx="0">
                  <c:v>0.13104523327798823</c:v>
                </c:pt>
                <c:pt idx="1">
                  <c:v>0.18470785508765797</c:v>
                </c:pt>
                <c:pt idx="2">
                  <c:v>0.22596710003291223</c:v>
                </c:pt>
                <c:pt idx="3">
                  <c:v>0.26077819859697826</c:v>
                </c:pt>
                <c:pt idx="4">
                  <c:v>0.29146081628528731</c:v>
                </c:pt>
                <c:pt idx="5">
                  <c:v>0.31920768473814487</c:v>
                </c:pt>
              </c:numCache>
            </c:numRef>
          </c:yVal>
          <c:smooth val="1"/>
          <c:extLst>
            <c:ext xmlns:c16="http://schemas.microsoft.com/office/drawing/2014/chart" uri="{C3380CC4-5D6E-409C-BE32-E72D297353CC}">
              <c16:uniqueId val="{00000000-3348-1540-B15F-335A5B1D7C0E}"/>
            </c:ext>
          </c:extLst>
        </c:ser>
        <c:dLbls>
          <c:showLegendKey val="0"/>
          <c:showVal val="0"/>
          <c:showCatName val="0"/>
          <c:showSerName val="0"/>
          <c:showPercent val="0"/>
          <c:showBubbleSize val="0"/>
        </c:dLbls>
        <c:axId val="1700238672"/>
        <c:axId val="1696199968"/>
      </c:scatterChart>
      <c:valAx>
        <c:axId val="170023867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GB"/>
                  <a:t>d</a:t>
                </a:r>
                <a:r>
                  <a:rPr lang="en-GB" baseline="-25000"/>
                  <a:t>l </a:t>
                </a:r>
                <a:r>
                  <a:rPr lang="en-GB" baseline="0"/>
                  <a:t>(cm)</a:t>
                </a:r>
                <a:r>
                  <a:rPr lang="en-GB" baseline="-25000"/>
                  <a:t> </a:t>
                </a:r>
              </a:p>
            </c:rich>
          </c:tx>
          <c:overlay val="0"/>
          <c:spPr>
            <a:noFill/>
            <a:ln>
              <a:noFill/>
            </a:ln>
            <a:effectLst/>
          </c:spPr>
          <c:txPr>
            <a:bodyPr rot="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696199968"/>
        <c:crosses val="autoZero"/>
        <c:crossBetween val="midCat"/>
      </c:valAx>
      <c:valAx>
        <c:axId val="169619996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GB"/>
                  <a:t>σ</a:t>
                </a:r>
                <a:r>
                  <a:rPr lang="en-GB" baseline="-25000"/>
                  <a:t>t</a:t>
                </a:r>
              </a:p>
            </c:rich>
          </c:tx>
          <c:overlay val="0"/>
          <c:spPr>
            <a:noFill/>
            <a:ln>
              <a:noFill/>
            </a:ln>
            <a:effectLst/>
          </c:spPr>
          <c:txPr>
            <a:bodyPr rot="-54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700238672"/>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600">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2164125013694045E-2"/>
          <c:y val="3.5187369332631058E-2"/>
          <c:w val="0.87803119920059924"/>
          <c:h val="0.77901683564796342"/>
        </c:manualLayout>
      </c:layout>
      <c:scatterChart>
        <c:scatterStyle val="smoothMarker"/>
        <c:varyColors val="0"/>
        <c:ser>
          <c:idx val="0"/>
          <c:order val="0"/>
          <c:tx>
            <c:strRef>
              <c:f>'8. Sample B Conf. Intervals'!$A$33:$A$44</c:f>
              <c:strCache>
                <c:ptCount val="12"/>
                <c:pt idx="0">
                  <c:v>-6700/+2000</c:v>
                </c:pt>
              </c:strCache>
            </c:strRef>
          </c:tx>
          <c:spPr>
            <a:ln w="9525" cap="rnd">
              <a:solidFill>
                <a:schemeClr val="accent5"/>
              </a:solidFill>
              <a:round/>
            </a:ln>
            <a:effectLst/>
          </c:spPr>
          <c:marker>
            <c:symbol val="square"/>
            <c:size val="1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c:spPr>
          </c:marker>
          <c:xVal>
            <c:numRef>
              <c:f>'8. Sample B Conf. Intervals'!$B$33:$B$44</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'8. Sample B Conf. Intervals'!$F$33:$F$44</c:f>
              <c:numCache>
                <c:formatCode>0.00</c:formatCode>
                <c:ptCount val="12"/>
                <c:pt idx="0">
                  <c:v>0</c:v>
                </c:pt>
                <c:pt idx="1">
                  <c:v>22.888557671021001</c:v>
                </c:pt>
                <c:pt idx="2">
                  <c:v>44.051939445768497</c:v>
                </c:pt>
                <c:pt idx="3">
                  <c:v>68.430515499102299</c:v>
                </c:pt>
                <c:pt idx="4">
                  <c:v>81.450486913523605</c:v>
                </c:pt>
                <c:pt idx="5">
                  <c:v>85.806463032365485</c:v>
                </c:pt>
                <c:pt idx="6">
                  <c:v>88.500253837963228</c:v>
                </c:pt>
                <c:pt idx="7">
                  <c:v>90.518088838297686</c:v>
                </c:pt>
                <c:pt idx="8">
                  <c:v>97.654511983049133</c:v>
                </c:pt>
                <c:pt idx="9">
                  <c:v>100.00000000000013</c:v>
                </c:pt>
                <c:pt idx="10">
                  <c:v>100.00000000000013</c:v>
                </c:pt>
                <c:pt idx="11">
                  <c:v>100.00000000000013</c:v>
                </c:pt>
              </c:numCache>
            </c:numRef>
          </c:yVal>
          <c:smooth val="1"/>
          <c:extLst>
            <c:ext xmlns:c16="http://schemas.microsoft.com/office/drawing/2014/chart" uri="{C3380CC4-5D6E-409C-BE32-E72D297353CC}">
              <c16:uniqueId val="{00000000-7C1A-4246-BA2A-E0525D38C136}"/>
            </c:ext>
          </c:extLst>
        </c:ser>
        <c:ser>
          <c:idx val="1"/>
          <c:order val="1"/>
          <c:tx>
            <c:v>-6700/+2000 CLU</c:v>
          </c:tx>
          <c:spPr>
            <a:ln w="9525" cap="rnd">
              <a:solidFill>
                <a:schemeClr val="accent5"/>
              </a:solidFill>
              <a:prstDash val="dash"/>
              <a:round/>
            </a:ln>
            <a:effectLst/>
          </c:spPr>
          <c:marker>
            <c:symbol val="none"/>
          </c:marker>
          <c:xVal>
            <c:numRef>
              <c:f>'8. Sample B Conf. Intervals'!$B$33:$B$44</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'8. Sample B Conf. Intervals'!$L$33:$L$44</c:f>
              <c:numCache>
                <c:formatCode>0.00</c:formatCode>
                <c:ptCount val="12"/>
                <c:pt idx="0">
                  <c:v>0</c:v>
                </c:pt>
                <c:pt idx="1">
                  <c:v>28.694664744191233</c:v>
                </c:pt>
                <c:pt idx="2">
                  <c:v>50.79446668834985</c:v>
                </c:pt>
                <c:pt idx="3">
                  <c:v>76.506354970305011</c:v>
                </c:pt>
                <c:pt idx="4">
                  <c:v>89.189029076295697</c:v>
                </c:pt>
                <c:pt idx="5">
                  <c:v>94.780731302094978</c:v>
                </c:pt>
                <c:pt idx="6">
                  <c:v>98.522405386850096</c:v>
                </c:pt>
                <c:pt idx="7">
                  <c:v>99.958532492178833</c:v>
                </c:pt>
                <c:pt idx="8">
                  <c:v>100.56077430210293</c:v>
                </c:pt>
                <c:pt idx="9">
                  <c:v>100.00000000000043</c:v>
                </c:pt>
                <c:pt idx="10">
                  <c:v>100.00000000000013</c:v>
                </c:pt>
                <c:pt idx="11">
                  <c:v>100.00000000000013</c:v>
                </c:pt>
              </c:numCache>
            </c:numRef>
          </c:yVal>
          <c:smooth val="1"/>
          <c:extLst>
            <c:ext xmlns:c16="http://schemas.microsoft.com/office/drawing/2014/chart" uri="{C3380CC4-5D6E-409C-BE32-E72D297353CC}">
              <c16:uniqueId val="{00000001-7C1A-4246-BA2A-E0525D38C136}"/>
            </c:ext>
          </c:extLst>
        </c:ser>
        <c:ser>
          <c:idx val="2"/>
          <c:order val="2"/>
          <c:tx>
            <c:v>-6700/+2000 CLL</c:v>
          </c:tx>
          <c:spPr>
            <a:ln w="9525" cap="rnd">
              <a:solidFill>
                <a:schemeClr val="accent5"/>
              </a:solidFill>
              <a:prstDash val="dash"/>
              <a:round/>
            </a:ln>
            <a:effectLst/>
          </c:spPr>
          <c:marker>
            <c:symbol val="none"/>
          </c:marker>
          <c:xVal>
            <c:numRef>
              <c:f>'8. Sample B Conf. Intervals'!$B$33:$B$44</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'8. Sample B Conf. Intervals'!$K$33:$K$44</c:f>
              <c:numCache>
                <c:formatCode>0.00</c:formatCode>
                <c:ptCount val="12"/>
                <c:pt idx="0">
                  <c:v>0</c:v>
                </c:pt>
                <c:pt idx="1">
                  <c:v>17.082450597850769</c:v>
                </c:pt>
                <c:pt idx="2">
                  <c:v>37.309412203187144</c:v>
                </c:pt>
                <c:pt idx="3">
                  <c:v>60.354676027899586</c:v>
                </c:pt>
                <c:pt idx="4">
                  <c:v>73.711944750751513</c:v>
                </c:pt>
                <c:pt idx="5">
                  <c:v>76.832194762635993</c:v>
                </c:pt>
                <c:pt idx="6">
                  <c:v>78.478102289076361</c:v>
                </c:pt>
                <c:pt idx="7">
                  <c:v>81.077645184416539</c:v>
                </c:pt>
                <c:pt idx="8">
                  <c:v>94.748249663995338</c:v>
                </c:pt>
                <c:pt idx="9">
                  <c:v>99.999999999999829</c:v>
                </c:pt>
                <c:pt idx="10">
                  <c:v>100.00000000000013</c:v>
                </c:pt>
                <c:pt idx="11">
                  <c:v>100.00000000000013</c:v>
                </c:pt>
              </c:numCache>
            </c:numRef>
          </c:yVal>
          <c:smooth val="1"/>
          <c:extLst>
            <c:ext xmlns:c16="http://schemas.microsoft.com/office/drawing/2014/chart" uri="{C3380CC4-5D6E-409C-BE32-E72D297353CC}">
              <c16:uniqueId val="{00000002-7C1A-4246-BA2A-E0525D38C136}"/>
            </c:ext>
          </c:extLst>
        </c:ser>
        <c:ser>
          <c:idx val="3"/>
          <c:order val="3"/>
          <c:tx>
            <c:strRef>
              <c:f>'8. Sample B Conf. Intervals'!$A$45:$A$56</c:f>
              <c:strCache>
                <c:ptCount val="12"/>
                <c:pt idx="0">
                  <c:v>-2000/+1000</c:v>
                </c:pt>
              </c:strCache>
            </c:strRef>
          </c:tx>
          <c:spPr>
            <a:ln w="9525" cap="rnd">
              <a:solidFill>
                <a:schemeClr val="accent4"/>
              </a:solidFill>
              <a:round/>
            </a:ln>
            <a:effectLst/>
          </c:spPr>
          <c:marker>
            <c:symbol val="diamond"/>
            <c:size val="10"/>
            <c:spPr>
              <a:solidFill>
                <a:schemeClr val="accent4"/>
              </a:solidFill>
              <a:ln w="9525">
                <a:solidFill>
                  <a:schemeClr val="accent4"/>
                </a:solidFill>
                <a:round/>
              </a:ln>
              <a:effectLst/>
            </c:spPr>
          </c:marker>
          <c:xVal>
            <c:numRef>
              <c:f>'8. Sample B Conf. Intervals'!$B$45:$B$56</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'8. Sample B Conf. Intervals'!$F$45:$F$56</c:f>
              <c:numCache>
                <c:formatCode>0.00</c:formatCode>
                <c:ptCount val="12"/>
                <c:pt idx="0">
                  <c:v>0</c:v>
                </c:pt>
                <c:pt idx="1">
                  <c:v>19.609610871549599</c:v>
                </c:pt>
                <c:pt idx="2">
                  <c:v>39.8598767030768</c:v>
                </c:pt>
                <c:pt idx="3">
                  <c:v>57.316694593151553</c:v>
                </c:pt>
                <c:pt idx="4">
                  <c:v>71.85302177204295</c:v>
                </c:pt>
                <c:pt idx="5">
                  <c:v>78.265674641580063</c:v>
                </c:pt>
                <c:pt idx="6">
                  <c:v>84.31337840232672</c:v>
                </c:pt>
                <c:pt idx="7">
                  <c:v>90.691180583293161</c:v>
                </c:pt>
                <c:pt idx="8">
                  <c:v>96.154414833285301</c:v>
                </c:pt>
                <c:pt idx="9">
                  <c:v>98.237771543761141</c:v>
                </c:pt>
                <c:pt idx="10">
                  <c:v>99.999999999999943</c:v>
                </c:pt>
                <c:pt idx="11">
                  <c:v>99.999999999999943</c:v>
                </c:pt>
              </c:numCache>
            </c:numRef>
          </c:yVal>
          <c:smooth val="1"/>
          <c:extLst>
            <c:ext xmlns:c16="http://schemas.microsoft.com/office/drawing/2014/chart" uri="{C3380CC4-5D6E-409C-BE32-E72D297353CC}">
              <c16:uniqueId val="{00000003-7C1A-4246-BA2A-E0525D38C136}"/>
            </c:ext>
          </c:extLst>
        </c:ser>
        <c:ser>
          <c:idx val="4"/>
          <c:order val="4"/>
          <c:tx>
            <c:v>-2000/+1000 CLU</c:v>
          </c:tx>
          <c:spPr>
            <a:ln w="9525" cap="rnd">
              <a:solidFill>
                <a:schemeClr val="accent4"/>
              </a:solidFill>
              <a:prstDash val="dash"/>
              <a:round/>
            </a:ln>
            <a:effectLst/>
          </c:spPr>
          <c:marker>
            <c:symbol val="none"/>
          </c:marker>
          <c:xVal>
            <c:numRef>
              <c:f>'8. Sample B Conf. Intervals'!$B$45:$B$56</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'8. Sample B Conf. Intervals'!$L$45:$L$56</c:f>
              <c:numCache>
                <c:formatCode>0.00</c:formatCode>
                <c:ptCount val="12"/>
                <c:pt idx="0">
                  <c:v>0</c:v>
                </c:pt>
                <c:pt idx="1">
                  <c:v>21.421363969129533</c:v>
                </c:pt>
                <c:pt idx="2">
                  <c:v>43.521209066619328</c:v>
                </c:pt>
                <c:pt idx="3">
                  <c:v>62.36263876641744</c:v>
                </c:pt>
                <c:pt idx="4">
                  <c:v>77.493890296933969</c:v>
                </c:pt>
                <c:pt idx="5">
                  <c:v>84.914457792094581</c:v>
                </c:pt>
                <c:pt idx="6">
                  <c:v>90.675051608679965</c:v>
                </c:pt>
                <c:pt idx="7">
                  <c:v>95.654810734065279</c:v>
                </c:pt>
                <c:pt idx="8">
                  <c:v>98.862162126256791</c:v>
                </c:pt>
                <c:pt idx="9">
                  <c:v>100.42983324054731</c:v>
                </c:pt>
                <c:pt idx="10">
                  <c:v>99.999999999999943</c:v>
                </c:pt>
                <c:pt idx="11">
                  <c:v>99.999999999999943</c:v>
                </c:pt>
              </c:numCache>
            </c:numRef>
          </c:yVal>
          <c:smooth val="1"/>
          <c:extLst>
            <c:ext xmlns:c16="http://schemas.microsoft.com/office/drawing/2014/chart" uri="{C3380CC4-5D6E-409C-BE32-E72D297353CC}">
              <c16:uniqueId val="{00000004-7C1A-4246-BA2A-E0525D38C136}"/>
            </c:ext>
          </c:extLst>
        </c:ser>
        <c:ser>
          <c:idx val="5"/>
          <c:order val="5"/>
          <c:tx>
            <c:v>-2000/+1000 CLL</c:v>
          </c:tx>
          <c:spPr>
            <a:ln w="9525" cap="rnd">
              <a:solidFill>
                <a:schemeClr val="accent4"/>
              </a:solidFill>
              <a:prstDash val="dash"/>
              <a:round/>
            </a:ln>
            <a:effectLst/>
          </c:spPr>
          <c:marker>
            <c:symbol val="none"/>
          </c:marker>
          <c:xVal>
            <c:numRef>
              <c:f>'8. Sample B Conf. Intervals'!$B$45:$B$56</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'8. Sample B Conf. Intervals'!$K$45:$K$56</c:f>
              <c:numCache>
                <c:formatCode>0.00</c:formatCode>
                <c:ptCount val="12"/>
                <c:pt idx="0">
                  <c:v>0</c:v>
                </c:pt>
                <c:pt idx="1">
                  <c:v>17.797857773969664</c:v>
                </c:pt>
                <c:pt idx="2">
                  <c:v>36.198544339534273</c:v>
                </c:pt>
                <c:pt idx="3">
                  <c:v>52.270750419885665</c:v>
                </c:pt>
                <c:pt idx="4">
                  <c:v>66.212153247151932</c:v>
                </c:pt>
                <c:pt idx="5">
                  <c:v>71.616891491065545</c:v>
                </c:pt>
                <c:pt idx="6">
                  <c:v>77.951705195973474</c:v>
                </c:pt>
                <c:pt idx="7">
                  <c:v>85.727550432521042</c:v>
                </c:pt>
                <c:pt idx="8">
                  <c:v>93.446667540313811</c:v>
                </c:pt>
                <c:pt idx="9">
                  <c:v>96.045709846974972</c:v>
                </c:pt>
                <c:pt idx="10">
                  <c:v>99.999999999999943</c:v>
                </c:pt>
                <c:pt idx="11">
                  <c:v>99.999999999999943</c:v>
                </c:pt>
              </c:numCache>
            </c:numRef>
          </c:yVal>
          <c:smooth val="1"/>
          <c:extLst>
            <c:ext xmlns:c16="http://schemas.microsoft.com/office/drawing/2014/chart" uri="{C3380CC4-5D6E-409C-BE32-E72D297353CC}">
              <c16:uniqueId val="{00000005-7C1A-4246-BA2A-E0525D38C136}"/>
            </c:ext>
          </c:extLst>
        </c:ser>
        <c:ser>
          <c:idx val="9"/>
          <c:order val="6"/>
          <c:tx>
            <c:strRef>
              <c:f>'8. Sample B Conf. Intervals'!$A$57:$A$68</c:f>
              <c:strCache>
                <c:ptCount val="12"/>
                <c:pt idx="0">
                  <c:v>-1000/+425</c:v>
                </c:pt>
              </c:strCache>
            </c:strRef>
          </c:tx>
          <c:spPr>
            <a:ln w="9525" cap="rnd">
              <a:solidFill>
                <a:schemeClr val="accent6"/>
              </a:solidFill>
              <a:round/>
            </a:ln>
            <a:effectLst/>
          </c:spPr>
          <c:marker>
            <c:symbol val="circle"/>
            <c:size val="10"/>
            <c:spPr>
              <a:solidFill>
                <a:schemeClr val="accent6"/>
              </a:solidFill>
              <a:ln w="9525">
                <a:noFill/>
                <a:round/>
              </a:ln>
              <a:effectLst/>
            </c:spPr>
          </c:marker>
          <c:xVal>
            <c:numRef>
              <c:f>'8. Sample B Conf. Intervals'!$B$57:$B$68</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'8. Sample B Conf. Intervals'!$F$57:$F$68</c:f>
              <c:numCache>
                <c:formatCode>0.00</c:formatCode>
                <c:ptCount val="12"/>
                <c:pt idx="0">
                  <c:v>0</c:v>
                </c:pt>
                <c:pt idx="1">
                  <c:v>17.6319528888558</c:v>
                </c:pt>
                <c:pt idx="2">
                  <c:v>32.6444861428268</c:v>
                </c:pt>
                <c:pt idx="3">
                  <c:v>46.136167410931904</c:v>
                </c:pt>
                <c:pt idx="4">
                  <c:v>59.0518156919928</c:v>
                </c:pt>
                <c:pt idx="5">
                  <c:v>65.583344320809928</c:v>
                </c:pt>
                <c:pt idx="6">
                  <c:v>72.025311208801085</c:v>
                </c:pt>
                <c:pt idx="7">
                  <c:v>72.810847655996781</c:v>
                </c:pt>
                <c:pt idx="8">
                  <c:v>78.588813071952956</c:v>
                </c:pt>
                <c:pt idx="9">
                  <c:v>84.84752003758571</c:v>
                </c:pt>
                <c:pt idx="10">
                  <c:v>99.999999999999915</c:v>
                </c:pt>
                <c:pt idx="11">
                  <c:v>99.999999999999915</c:v>
                </c:pt>
              </c:numCache>
            </c:numRef>
          </c:yVal>
          <c:smooth val="1"/>
          <c:extLst>
            <c:ext xmlns:c16="http://schemas.microsoft.com/office/drawing/2014/chart" uri="{C3380CC4-5D6E-409C-BE32-E72D297353CC}">
              <c16:uniqueId val="{00000006-7C1A-4246-BA2A-E0525D38C136}"/>
            </c:ext>
          </c:extLst>
        </c:ser>
        <c:ser>
          <c:idx val="10"/>
          <c:order val="7"/>
          <c:tx>
            <c:v>-1000/+425 CLU</c:v>
          </c:tx>
          <c:spPr>
            <a:ln w="9525" cap="rnd">
              <a:solidFill>
                <a:schemeClr val="accent6"/>
              </a:solidFill>
              <a:prstDash val="dash"/>
              <a:round/>
            </a:ln>
            <a:effectLst/>
          </c:spPr>
          <c:marker>
            <c:symbol val="none"/>
          </c:marker>
          <c:xVal>
            <c:numRef>
              <c:f>'8. Sample B Conf. Intervals'!$B$57:$B$68</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'8. Sample B Conf. Intervals'!$L$57:$L$68</c:f>
              <c:numCache>
                <c:formatCode>0.00</c:formatCode>
                <c:ptCount val="12"/>
                <c:pt idx="0">
                  <c:v>0</c:v>
                </c:pt>
                <c:pt idx="1">
                  <c:v>18.867451940855062</c:v>
                </c:pt>
                <c:pt idx="2">
                  <c:v>35.85228100750323</c:v>
                </c:pt>
                <c:pt idx="3">
                  <c:v>50.62546515631854</c:v>
                </c:pt>
                <c:pt idx="4">
                  <c:v>64.475929216782959</c:v>
                </c:pt>
                <c:pt idx="5">
                  <c:v>71.701152555892307</c:v>
                </c:pt>
                <c:pt idx="6">
                  <c:v>78.52149985785347</c:v>
                </c:pt>
                <c:pt idx="7">
                  <c:v>80.19077826318312</c:v>
                </c:pt>
                <c:pt idx="8">
                  <c:v>85.145448602225343</c:v>
                </c:pt>
                <c:pt idx="9">
                  <c:v>90.746747502353713</c:v>
                </c:pt>
                <c:pt idx="10">
                  <c:v>99.999999999999957</c:v>
                </c:pt>
                <c:pt idx="11">
                  <c:v>99.999999999999929</c:v>
                </c:pt>
              </c:numCache>
            </c:numRef>
          </c:yVal>
          <c:smooth val="1"/>
          <c:extLst>
            <c:ext xmlns:c16="http://schemas.microsoft.com/office/drawing/2014/chart" uri="{C3380CC4-5D6E-409C-BE32-E72D297353CC}">
              <c16:uniqueId val="{00000007-7C1A-4246-BA2A-E0525D38C136}"/>
            </c:ext>
          </c:extLst>
        </c:ser>
        <c:ser>
          <c:idx val="11"/>
          <c:order val="8"/>
          <c:tx>
            <c:v>-1000/+425 CLL</c:v>
          </c:tx>
          <c:spPr>
            <a:ln w="9525" cap="rnd">
              <a:solidFill>
                <a:schemeClr val="accent6"/>
              </a:solidFill>
              <a:prstDash val="dash"/>
              <a:round/>
            </a:ln>
            <a:effectLst/>
          </c:spPr>
          <c:marker>
            <c:symbol val="none"/>
          </c:marker>
          <c:xVal>
            <c:numRef>
              <c:f>'8. Sample B Conf. Intervals'!$B$57:$B$68</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'8. Sample B Conf. Intervals'!$K$57:$K$68</c:f>
              <c:numCache>
                <c:formatCode>0.00</c:formatCode>
                <c:ptCount val="12"/>
                <c:pt idx="0">
                  <c:v>0</c:v>
                </c:pt>
                <c:pt idx="1">
                  <c:v>16.396453836856537</c:v>
                </c:pt>
                <c:pt idx="2">
                  <c:v>29.43669127815037</c:v>
                </c:pt>
                <c:pt idx="3">
                  <c:v>41.646869665545267</c:v>
                </c:pt>
                <c:pt idx="4">
                  <c:v>53.627702167202635</c:v>
                </c:pt>
                <c:pt idx="5">
                  <c:v>59.46553608572755</c:v>
                </c:pt>
                <c:pt idx="6">
                  <c:v>65.5291225597487</c:v>
                </c:pt>
                <c:pt idx="7">
                  <c:v>65.430917048810443</c:v>
                </c:pt>
                <c:pt idx="8">
                  <c:v>72.032177541680568</c:v>
                </c:pt>
                <c:pt idx="9">
                  <c:v>78.948292572817707</c:v>
                </c:pt>
                <c:pt idx="10">
                  <c:v>99.999999999999872</c:v>
                </c:pt>
                <c:pt idx="11">
                  <c:v>99.999999999999901</c:v>
                </c:pt>
              </c:numCache>
            </c:numRef>
          </c:yVal>
          <c:smooth val="1"/>
          <c:extLst>
            <c:ext xmlns:c16="http://schemas.microsoft.com/office/drawing/2014/chart" uri="{C3380CC4-5D6E-409C-BE32-E72D297353CC}">
              <c16:uniqueId val="{00000008-7C1A-4246-BA2A-E0525D38C136}"/>
            </c:ext>
          </c:extLst>
        </c:ser>
        <c:ser>
          <c:idx val="12"/>
          <c:order val="9"/>
          <c:tx>
            <c:strRef>
              <c:f>'8. Sample B Conf. Intervals'!$A$69:$A$80</c:f>
              <c:strCache>
                <c:ptCount val="12"/>
                <c:pt idx="0">
                  <c:v>-425/+150</c:v>
                </c:pt>
              </c:strCache>
            </c:strRef>
          </c:tx>
          <c:spPr>
            <a:ln w="9525" cap="rnd">
              <a:solidFill>
                <a:schemeClr val="accent2"/>
              </a:solidFill>
              <a:round/>
            </a:ln>
            <a:effectLst/>
          </c:spPr>
          <c:marker>
            <c:symbol val="triangle"/>
            <c:size val="10"/>
            <c:spPr>
              <a:solidFill>
                <a:schemeClr val="accent2"/>
              </a:solidFill>
              <a:ln w="9525">
                <a:solidFill>
                  <a:schemeClr val="accent2"/>
                </a:solidFill>
                <a:round/>
              </a:ln>
              <a:effectLst/>
            </c:spPr>
          </c:marker>
          <c:xVal>
            <c:numRef>
              <c:f>'8. Sample B Conf. Intervals'!$B$69:$B$80</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'8. Sample B Conf. Intervals'!$F$69:$F$80</c:f>
              <c:numCache>
                <c:formatCode>0.00</c:formatCode>
                <c:ptCount val="12"/>
                <c:pt idx="0">
                  <c:v>0</c:v>
                </c:pt>
                <c:pt idx="1">
                  <c:v>6.1719353319779398</c:v>
                </c:pt>
                <c:pt idx="2">
                  <c:v>13.68279869435305</c:v>
                </c:pt>
                <c:pt idx="3">
                  <c:v>19.482719729216818</c:v>
                </c:pt>
                <c:pt idx="4">
                  <c:v>23.890684407273156</c:v>
                </c:pt>
                <c:pt idx="5">
                  <c:v>28.905653676677865</c:v>
                </c:pt>
                <c:pt idx="6">
                  <c:v>33.274282273393517</c:v>
                </c:pt>
                <c:pt idx="7">
                  <c:v>36.941023623978019</c:v>
                </c:pt>
                <c:pt idx="8">
                  <c:v>42.532381298530431</c:v>
                </c:pt>
                <c:pt idx="9">
                  <c:v>53.110811947313131</c:v>
                </c:pt>
                <c:pt idx="10">
                  <c:v>97.971013980239036</c:v>
                </c:pt>
                <c:pt idx="11">
                  <c:v>100.00000000000028</c:v>
                </c:pt>
              </c:numCache>
            </c:numRef>
          </c:yVal>
          <c:smooth val="1"/>
          <c:extLst>
            <c:ext xmlns:c16="http://schemas.microsoft.com/office/drawing/2014/chart" uri="{C3380CC4-5D6E-409C-BE32-E72D297353CC}">
              <c16:uniqueId val="{00000009-7C1A-4246-BA2A-E0525D38C136}"/>
            </c:ext>
          </c:extLst>
        </c:ser>
        <c:ser>
          <c:idx val="13"/>
          <c:order val="10"/>
          <c:tx>
            <c:v>-425/+150 CLU</c:v>
          </c:tx>
          <c:spPr>
            <a:ln w="9525" cap="rnd">
              <a:solidFill>
                <a:schemeClr val="accent2"/>
              </a:solidFill>
              <a:prstDash val="dash"/>
              <a:round/>
            </a:ln>
            <a:effectLst/>
          </c:spPr>
          <c:marker>
            <c:symbol val="none"/>
          </c:marker>
          <c:xVal>
            <c:numRef>
              <c:f>'8. Sample B Conf. Intervals'!$B$69:$B$80</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'8. Sample B Conf. Intervals'!$L$69:$L$80</c:f>
              <c:numCache>
                <c:formatCode>0.00</c:formatCode>
                <c:ptCount val="12"/>
                <c:pt idx="0">
                  <c:v>0</c:v>
                </c:pt>
                <c:pt idx="1">
                  <c:v>6.4441727332011904</c:v>
                </c:pt>
                <c:pt idx="2">
                  <c:v>14.556448253915798</c:v>
                </c:pt>
                <c:pt idx="3">
                  <c:v>20.784258940734968</c:v>
                </c:pt>
                <c:pt idx="4">
                  <c:v>25.512197544088657</c:v>
                </c:pt>
                <c:pt idx="5">
                  <c:v>30.844960809095731</c:v>
                </c:pt>
                <c:pt idx="6">
                  <c:v>35.476566438012249</c:v>
                </c:pt>
                <c:pt idx="7">
                  <c:v>39.347431092006978</c:v>
                </c:pt>
                <c:pt idx="8">
                  <c:v>45.137948792344289</c:v>
                </c:pt>
                <c:pt idx="9">
                  <c:v>53.110811947313145</c:v>
                </c:pt>
                <c:pt idx="10">
                  <c:v>97.97101398023905</c:v>
                </c:pt>
                <c:pt idx="11">
                  <c:v>100.0000000000003</c:v>
                </c:pt>
              </c:numCache>
            </c:numRef>
          </c:yVal>
          <c:smooth val="1"/>
          <c:extLst>
            <c:ext xmlns:c16="http://schemas.microsoft.com/office/drawing/2014/chart" uri="{C3380CC4-5D6E-409C-BE32-E72D297353CC}">
              <c16:uniqueId val="{0000000A-7C1A-4246-BA2A-E0525D38C136}"/>
            </c:ext>
          </c:extLst>
        </c:ser>
        <c:ser>
          <c:idx val="14"/>
          <c:order val="11"/>
          <c:tx>
            <c:v>-425/+150 CLL</c:v>
          </c:tx>
          <c:spPr>
            <a:ln w="9525" cap="rnd">
              <a:solidFill>
                <a:schemeClr val="accent2"/>
              </a:solidFill>
              <a:prstDash val="dash"/>
              <a:round/>
            </a:ln>
            <a:effectLst/>
          </c:spPr>
          <c:marker>
            <c:symbol val="none"/>
          </c:marker>
          <c:xVal>
            <c:numRef>
              <c:f>'8. Sample B Conf. Intervals'!$B$69:$B$80</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'8. Sample B Conf. Intervals'!$K$69:$K$80</c:f>
              <c:numCache>
                <c:formatCode>0.00</c:formatCode>
                <c:ptCount val="12"/>
                <c:pt idx="0">
                  <c:v>0</c:v>
                </c:pt>
                <c:pt idx="1">
                  <c:v>5.8996979307546891</c:v>
                </c:pt>
                <c:pt idx="2">
                  <c:v>12.809149134790301</c:v>
                </c:pt>
                <c:pt idx="3">
                  <c:v>18.181180517698667</c:v>
                </c:pt>
                <c:pt idx="4">
                  <c:v>22.269171270457655</c:v>
                </c:pt>
                <c:pt idx="5">
                  <c:v>26.966346544259999</c:v>
                </c:pt>
                <c:pt idx="6">
                  <c:v>31.071998108774785</c:v>
                </c:pt>
                <c:pt idx="7">
                  <c:v>34.53461615594906</c:v>
                </c:pt>
                <c:pt idx="8">
                  <c:v>39.926813804716573</c:v>
                </c:pt>
                <c:pt idx="9">
                  <c:v>53.110811947313117</c:v>
                </c:pt>
                <c:pt idx="10">
                  <c:v>97.971013980239022</c:v>
                </c:pt>
                <c:pt idx="11">
                  <c:v>100.00000000000027</c:v>
                </c:pt>
              </c:numCache>
            </c:numRef>
          </c:yVal>
          <c:smooth val="1"/>
          <c:extLst>
            <c:ext xmlns:c16="http://schemas.microsoft.com/office/drawing/2014/chart" uri="{C3380CC4-5D6E-409C-BE32-E72D297353CC}">
              <c16:uniqueId val="{0000000B-7C1A-4246-BA2A-E0525D38C136}"/>
            </c:ext>
          </c:extLst>
        </c:ser>
        <c:ser>
          <c:idx val="15"/>
          <c:order val="12"/>
          <c:tx>
            <c:strRef>
              <c:f>'8. Sample B Conf. Intervals'!$A$81:$A$92</c:f>
              <c:strCache>
                <c:ptCount val="12"/>
                <c:pt idx="0">
                  <c:v>-150/+0</c:v>
                </c:pt>
              </c:strCache>
            </c:strRef>
          </c:tx>
          <c:spPr>
            <a:ln w="9525" cap="rnd">
              <a:solidFill>
                <a:schemeClr val="tx1"/>
              </a:solidFill>
              <a:round/>
            </a:ln>
            <a:effectLst/>
          </c:spPr>
          <c:marker>
            <c:symbol val="x"/>
            <c:size val="10"/>
            <c:spPr>
              <a:noFill/>
              <a:ln w="19050">
                <a:solidFill>
                  <a:schemeClr val="tx1"/>
                </a:solidFill>
                <a:round/>
              </a:ln>
              <a:effectLst/>
            </c:spPr>
          </c:marker>
          <c:xVal>
            <c:numRef>
              <c:f>'8. Sample B Conf. Intervals'!$B$81:$B$92</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'8. Sample B Conf. Intervals'!$F$81:$F$92</c:f>
              <c:numCache>
                <c:formatCode>0.00</c:formatCode>
                <c:ptCount val="12"/>
                <c:pt idx="0">
                  <c:v>0</c:v>
                </c:pt>
                <c:pt idx="1">
                  <c:v>1.1021345281561299</c:v>
                </c:pt>
                <c:pt idx="2">
                  <c:v>2.25100856581094</c:v>
                </c:pt>
                <c:pt idx="3">
                  <c:v>3.3028490655816398</c:v>
                </c:pt>
                <c:pt idx="4">
                  <c:v>4.4456187462412897</c:v>
                </c:pt>
                <c:pt idx="5">
                  <c:v>6.2462029522598002</c:v>
                </c:pt>
                <c:pt idx="6">
                  <c:v>7.1908571249674358</c:v>
                </c:pt>
                <c:pt idx="7">
                  <c:v>9.5643021979241052</c:v>
                </c:pt>
                <c:pt idx="8">
                  <c:v>13.140610116900184</c:v>
                </c:pt>
                <c:pt idx="9">
                  <c:v>20.725663186442326</c:v>
                </c:pt>
                <c:pt idx="10">
                  <c:v>68.913566144283834</c:v>
                </c:pt>
                <c:pt idx="11">
                  <c:v>100.00000000000763</c:v>
                </c:pt>
              </c:numCache>
            </c:numRef>
          </c:yVal>
          <c:smooth val="1"/>
          <c:extLst>
            <c:ext xmlns:c16="http://schemas.microsoft.com/office/drawing/2014/chart" uri="{C3380CC4-5D6E-409C-BE32-E72D297353CC}">
              <c16:uniqueId val="{0000000C-7C1A-4246-BA2A-E0525D38C136}"/>
            </c:ext>
          </c:extLst>
        </c:ser>
        <c:ser>
          <c:idx val="16"/>
          <c:order val="13"/>
          <c:tx>
            <c:v>-150/+0 CLU</c:v>
          </c:tx>
          <c:spPr>
            <a:ln w="9525" cap="rnd">
              <a:solidFill>
                <a:schemeClr val="tx1">
                  <a:alpha val="88000"/>
                </a:schemeClr>
              </a:solidFill>
              <a:prstDash val="dash"/>
              <a:round/>
            </a:ln>
            <a:effectLst/>
          </c:spPr>
          <c:marker>
            <c:symbol val="none"/>
          </c:marker>
          <c:xVal>
            <c:numRef>
              <c:f>'8. Sample B Conf. Intervals'!$B$81:$B$92</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'8. Sample B Conf. Intervals'!$L$81:$L$92</c:f>
              <c:numCache>
                <c:formatCode>0.00</c:formatCode>
                <c:ptCount val="12"/>
                <c:pt idx="0">
                  <c:v>0</c:v>
                </c:pt>
                <c:pt idx="1">
                  <c:v>1.1136386463812895</c:v>
                </c:pt>
                <c:pt idx="2">
                  <c:v>2.2747425559569017</c:v>
                </c:pt>
                <c:pt idx="3">
                  <c:v>3.3377764402154266</c:v>
                </c:pt>
                <c:pt idx="4">
                  <c:v>4.4925619233379797</c:v>
                </c:pt>
                <c:pt idx="5">
                  <c:v>6.3118857826940458</c:v>
                </c:pt>
                <c:pt idx="6">
                  <c:v>7.2659140687327888</c:v>
                </c:pt>
                <c:pt idx="7">
                  <c:v>9.6618228116508131</c:v>
                </c:pt>
                <c:pt idx="8">
                  <c:v>13.270844902851795</c:v>
                </c:pt>
                <c:pt idx="9">
                  <c:v>20.725663186442343</c:v>
                </c:pt>
                <c:pt idx="10">
                  <c:v>68.913566144283848</c:v>
                </c:pt>
                <c:pt idx="11">
                  <c:v>100.00000000000765</c:v>
                </c:pt>
              </c:numCache>
            </c:numRef>
          </c:yVal>
          <c:smooth val="1"/>
          <c:extLst>
            <c:ext xmlns:c16="http://schemas.microsoft.com/office/drawing/2014/chart" uri="{C3380CC4-5D6E-409C-BE32-E72D297353CC}">
              <c16:uniqueId val="{0000000D-7C1A-4246-BA2A-E0525D38C136}"/>
            </c:ext>
          </c:extLst>
        </c:ser>
        <c:ser>
          <c:idx val="17"/>
          <c:order val="14"/>
          <c:tx>
            <c:v>-150/+0 CLL</c:v>
          </c:tx>
          <c:spPr>
            <a:ln w="9525" cap="rnd">
              <a:solidFill>
                <a:schemeClr val="tx1"/>
              </a:solidFill>
              <a:prstDash val="dash"/>
              <a:round/>
            </a:ln>
            <a:effectLst/>
          </c:spPr>
          <c:marker>
            <c:symbol val="none"/>
          </c:marker>
          <c:xVal>
            <c:numRef>
              <c:f>'8. Sample B Conf. Intervals'!$B$81:$B$92</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'8. Sample B Conf. Intervals'!$K$81:$K$92</c:f>
              <c:numCache>
                <c:formatCode>0.00</c:formatCode>
                <c:ptCount val="12"/>
                <c:pt idx="0">
                  <c:v>0</c:v>
                </c:pt>
                <c:pt idx="1">
                  <c:v>1.0906304099309703</c:v>
                </c:pt>
                <c:pt idx="2">
                  <c:v>2.2272745756649783</c:v>
                </c:pt>
                <c:pt idx="3">
                  <c:v>3.267921690947853</c:v>
                </c:pt>
                <c:pt idx="4">
                  <c:v>4.3986755691445998</c:v>
                </c:pt>
                <c:pt idx="5">
                  <c:v>6.1805201218255545</c:v>
                </c:pt>
                <c:pt idx="6">
                  <c:v>7.1158001812020828</c:v>
                </c:pt>
                <c:pt idx="7">
                  <c:v>9.4667815841973972</c:v>
                </c:pt>
                <c:pt idx="8">
                  <c:v>13.010375330948573</c:v>
                </c:pt>
                <c:pt idx="9">
                  <c:v>20.725663186442308</c:v>
                </c:pt>
                <c:pt idx="10">
                  <c:v>68.91356614428382</c:v>
                </c:pt>
                <c:pt idx="11">
                  <c:v>100.00000000000762</c:v>
                </c:pt>
              </c:numCache>
            </c:numRef>
          </c:yVal>
          <c:smooth val="1"/>
          <c:extLst>
            <c:ext xmlns:c16="http://schemas.microsoft.com/office/drawing/2014/chart" uri="{C3380CC4-5D6E-409C-BE32-E72D297353CC}">
              <c16:uniqueId val="{0000000E-7C1A-4246-BA2A-E0525D38C136}"/>
            </c:ext>
          </c:extLst>
        </c:ser>
        <c:dLbls>
          <c:showLegendKey val="0"/>
          <c:showVal val="0"/>
          <c:showCatName val="0"/>
          <c:showSerName val="0"/>
          <c:showPercent val="0"/>
          <c:showBubbleSize val="0"/>
        </c:dLbls>
        <c:axId val="182050152"/>
        <c:axId val="130788960"/>
      </c:scatterChart>
      <c:valAx>
        <c:axId val="182050152"/>
        <c:scaling>
          <c:orientation val="minMax"/>
          <c:max val="100"/>
        </c:scaling>
        <c:delete val="0"/>
        <c:axPos val="b"/>
        <c:title>
          <c:tx>
            <c:rich>
              <a:bodyPr rot="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Lberation class (% liberation)</a:t>
                </a:r>
              </a:p>
            </c:rich>
          </c:tx>
          <c:overlay val="0"/>
          <c:spPr>
            <a:noFill/>
            <a:ln>
              <a:noFill/>
            </a:ln>
            <a:effectLst/>
          </c:spPr>
          <c:txPr>
            <a:bodyPr rot="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 sourceLinked="0"/>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30788960"/>
        <c:crosses val="autoZero"/>
        <c:crossBetween val="midCat"/>
      </c:valAx>
      <c:valAx>
        <c:axId val="130788960"/>
        <c:scaling>
          <c:orientation val="minMax"/>
          <c:max val="100"/>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ZA"/>
                  <a:t>Cumulative Fe-sulfide content %</a:t>
                </a:r>
              </a:p>
            </c:rich>
          </c:tx>
          <c:overlay val="0"/>
          <c:spPr>
            <a:noFill/>
            <a:ln>
              <a:noFill/>
            </a:ln>
            <a:effectLst/>
          </c:spPr>
          <c:txPr>
            <a:bodyPr rot="-54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 sourceLinked="0"/>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82050152"/>
        <c:crosses val="autoZero"/>
        <c:crossBetween val="midCat"/>
      </c:valAx>
      <c:spPr>
        <a:noFill/>
        <a:ln>
          <a:noFill/>
        </a:ln>
        <a:effectLst/>
      </c:spPr>
    </c:plotArea>
    <c:legend>
      <c:legendPos val="b"/>
      <c:legendEntry>
        <c:idx val="1"/>
        <c:delete val="1"/>
      </c:legendEntry>
      <c:legendEntry>
        <c:idx val="2"/>
        <c:delete val="1"/>
      </c:legendEntry>
      <c:legendEntry>
        <c:idx val="4"/>
        <c:delete val="1"/>
      </c:legendEntry>
      <c:legendEntry>
        <c:idx val="5"/>
        <c:delete val="1"/>
      </c:legendEntry>
      <c:legendEntry>
        <c:idx val="7"/>
        <c:delete val="1"/>
      </c:legendEntry>
      <c:legendEntry>
        <c:idx val="8"/>
        <c:delete val="1"/>
      </c:legendEntry>
      <c:legendEntry>
        <c:idx val="10"/>
        <c:delete val="1"/>
      </c:legendEntry>
      <c:legendEntry>
        <c:idx val="11"/>
        <c:delete val="1"/>
      </c:legendEntry>
      <c:legendEntry>
        <c:idx val="13"/>
        <c:delete val="1"/>
      </c:legendEntry>
      <c:legendEntry>
        <c:idx val="14"/>
        <c:delete val="1"/>
      </c:legendEntry>
      <c:layout>
        <c:manualLayout>
          <c:xMode val="edge"/>
          <c:yMode val="edge"/>
          <c:x val="1.9173564235624621E-2"/>
          <c:y val="0.93402409341525094"/>
          <c:w val="0.96165287152875079"/>
          <c:h val="6.5975906584749069E-2"/>
        </c:manualLayout>
      </c:layout>
      <c:overlay val="0"/>
      <c:spPr>
        <a:noFill/>
        <a:ln>
          <a:noFill/>
        </a:ln>
        <a:effectLst/>
      </c:spPr>
      <c:txPr>
        <a:bodyPr rot="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600" b="0">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8965999562409406E-2"/>
          <c:y val="5.7758289198595013E-2"/>
          <c:w val="0.89122942646320868"/>
          <c:h val="0.77244655435787546"/>
        </c:manualLayout>
      </c:layout>
      <c:scatterChart>
        <c:scatterStyle val="smoothMarker"/>
        <c:varyColors val="0"/>
        <c:ser>
          <c:idx val="0"/>
          <c:order val="0"/>
          <c:tx>
            <c:strRef>
              <c:f>'9. Sample C Conf. Intervals'!$A$33:$A$44</c:f>
              <c:strCache>
                <c:ptCount val="12"/>
                <c:pt idx="0">
                  <c:v>-6700/+2000</c:v>
                </c:pt>
              </c:strCache>
            </c:strRef>
          </c:tx>
          <c:spPr>
            <a:ln w="9525" cap="rnd">
              <a:solidFill>
                <a:schemeClr val="accent5"/>
              </a:solidFill>
              <a:round/>
            </a:ln>
            <a:effectLst/>
          </c:spPr>
          <c:marker>
            <c:symbol val="square"/>
            <c:size val="1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c:spPr>
          </c:marker>
          <c:xVal>
            <c:numRef>
              <c:f>'9. Sample C Conf. Intervals'!$B$33:$B$44</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'9. Sample C Conf. Intervals'!$F$33:$F$44</c:f>
              <c:numCache>
                <c:formatCode>0.00</c:formatCode>
                <c:ptCount val="12"/>
                <c:pt idx="0">
                  <c:v>0</c:v>
                </c:pt>
                <c:pt idx="1">
                  <c:v>21.148484817593602</c:v>
                </c:pt>
                <c:pt idx="2">
                  <c:v>36.898988659053501</c:v>
                </c:pt>
                <c:pt idx="3">
                  <c:v>46.047954099743301</c:v>
                </c:pt>
                <c:pt idx="4">
                  <c:v>56.033334142114555</c:v>
                </c:pt>
                <c:pt idx="5">
                  <c:v>60.531322803507415</c:v>
                </c:pt>
                <c:pt idx="6">
                  <c:v>66.359484932483454</c:v>
                </c:pt>
                <c:pt idx="7">
                  <c:v>72.70759863064184</c:v>
                </c:pt>
                <c:pt idx="8">
                  <c:v>82.657377868933253</c:v>
                </c:pt>
                <c:pt idx="9">
                  <c:v>92.661625719247454</c:v>
                </c:pt>
                <c:pt idx="10">
                  <c:v>100.00000000000001</c:v>
                </c:pt>
                <c:pt idx="11">
                  <c:v>100.00000000000001</c:v>
                </c:pt>
              </c:numCache>
            </c:numRef>
          </c:yVal>
          <c:smooth val="1"/>
          <c:extLst>
            <c:ext xmlns:c16="http://schemas.microsoft.com/office/drawing/2014/chart" uri="{C3380CC4-5D6E-409C-BE32-E72D297353CC}">
              <c16:uniqueId val="{00000000-4F08-8C45-89B5-CA46C3D92025}"/>
            </c:ext>
          </c:extLst>
        </c:ser>
        <c:ser>
          <c:idx val="1"/>
          <c:order val="1"/>
          <c:tx>
            <c:v>-6700/+2000 CLU</c:v>
          </c:tx>
          <c:spPr>
            <a:ln w="9525" cap="rnd">
              <a:solidFill>
                <a:schemeClr val="accent5"/>
              </a:solidFill>
              <a:prstDash val="dash"/>
              <a:round/>
            </a:ln>
            <a:effectLst/>
          </c:spPr>
          <c:marker>
            <c:symbol val="none"/>
          </c:marker>
          <c:xVal>
            <c:numRef>
              <c:f>'9. Sample C Conf. Intervals'!$B$33:$B$44</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'9. Sample C Conf. Intervals'!$L$33:$L$44</c:f>
              <c:numCache>
                <c:formatCode>0.00</c:formatCode>
                <c:ptCount val="12"/>
                <c:pt idx="2">
                  <c:v>41.724519948341708</c:v>
                </c:pt>
                <c:pt idx="3">
                  <c:v>52.12766480048009</c:v>
                </c:pt>
                <c:pt idx="4">
                  <c:v>62.953954544277373</c:v>
                </c:pt>
                <c:pt idx="5">
                  <c:v>68.109286132824167</c:v>
                </c:pt>
                <c:pt idx="6">
                  <c:v>74.032610323460574</c:v>
                </c:pt>
                <c:pt idx="7">
                  <c:v>80.351073727629256</c:v>
                </c:pt>
                <c:pt idx="8">
                  <c:v>88.78108209006318</c:v>
                </c:pt>
                <c:pt idx="9">
                  <c:v>96.152169570575893</c:v>
                </c:pt>
                <c:pt idx="10">
                  <c:v>100.00000000000001</c:v>
                </c:pt>
                <c:pt idx="11">
                  <c:v>100.00000000000001</c:v>
                </c:pt>
              </c:numCache>
            </c:numRef>
          </c:yVal>
          <c:smooth val="1"/>
          <c:extLst>
            <c:ext xmlns:c16="http://schemas.microsoft.com/office/drawing/2014/chart" uri="{C3380CC4-5D6E-409C-BE32-E72D297353CC}">
              <c16:uniqueId val="{00000001-4F08-8C45-89B5-CA46C3D92025}"/>
            </c:ext>
          </c:extLst>
        </c:ser>
        <c:ser>
          <c:idx val="2"/>
          <c:order val="2"/>
          <c:tx>
            <c:v>-6700/+2000 CLL</c:v>
          </c:tx>
          <c:spPr>
            <a:ln w="9525" cap="rnd">
              <a:solidFill>
                <a:schemeClr val="accent5"/>
              </a:solidFill>
              <a:prstDash val="dash"/>
              <a:round/>
            </a:ln>
            <a:effectLst/>
          </c:spPr>
          <c:marker>
            <c:symbol val="none"/>
          </c:marker>
          <c:xVal>
            <c:numRef>
              <c:f>'9. Sample C Conf. Intervals'!$B$33:$B$44</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'9. Sample C Conf. Intervals'!$K$33:$K$44</c:f>
              <c:numCache>
                <c:formatCode>0.00</c:formatCode>
                <c:ptCount val="12"/>
                <c:pt idx="2">
                  <c:v>32.073457369765293</c:v>
                </c:pt>
                <c:pt idx="3">
                  <c:v>39.968243399006511</c:v>
                </c:pt>
                <c:pt idx="4">
                  <c:v>49.112713739951737</c:v>
                </c:pt>
                <c:pt idx="5">
                  <c:v>52.953359474190655</c:v>
                </c:pt>
                <c:pt idx="6">
                  <c:v>58.686359541506334</c:v>
                </c:pt>
                <c:pt idx="7">
                  <c:v>65.064123533654424</c:v>
                </c:pt>
                <c:pt idx="8">
                  <c:v>76.533673647803326</c:v>
                </c:pt>
                <c:pt idx="9">
                  <c:v>89.171081867919014</c:v>
                </c:pt>
                <c:pt idx="10">
                  <c:v>100.00000000000001</c:v>
                </c:pt>
                <c:pt idx="11">
                  <c:v>100.00000000000001</c:v>
                </c:pt>
              </c:numCache>
            </c:numRef>
          </c:yVal>
          <c:smooth val="1"/>
          <c:extLst>
            <c:ext xmlns:c16="http://schemas.microsoft.com/office/drawing/2014/chart" uri="{C3380CC4-5D6E-409C-BE32-E72D297353CC}">
              <c16:uniqueId val="{00000002-4F08-8C45-89B5-CA46C3D92025}"/>
            </c:ext>
          </c:extLst>
        </c:ser>
        <c:ser>
          <c:idx val="3"/>
          <c:order val="3"/>
          <c:tx>
            <c:strRef>
              <c:f>'9. Sample C Conf. Intervals'!$A$45:$A$56</c:f>
              <c:strCache>
                <c:ptCount val="12"/>
                <c:pt idx="0">
                  <c:v>-2000/+1000</c:v>
                </c:pt>
              </c:strCache>
            </c:strRef>
          </c:tx>
          <c:spPr>
            <a:ln w="9525" cap="rnd">
              <a:solidFill>
                <a:schemeClr val="accent4"/>
              </a:solidFill>
              <a:round/>
            </a:ln>
            <a:effectLst/>
          </c:spPr>
          <c:marker>
            <c:symbol val="diamond"/>
            <c:size val="10"/>
            <c:spPr>
              <a:solidFill>
                <a:schemeClr val="accent4"/>
              </a:solidFill>
              <a:ln w="9525">
                <a:solidFill>
                  <a:schemeClr val="accent4"/>
                </a:solidFill>
                <a:round/>
              </a:ln>
              <a:effectLst/>
            </c:spPr>
          </c:marker>
          <c:xVal>
            <c:numRef>
              <c:f>'9. Sample C Conf. Intervals'!$B$45:$B$56</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'9. Sample C Conf. Intervals'!$F$45:$F$56</c:f>
              <c:numCache>
                <c:formatCode>0.00</c:formatCode>
                <c:ptCount val="12"/>
                <c:pt idx="0">
                  <c:v>0</c:v>
                </c:pt>
                <c:pt idx="1">
                  <c:v>14.010537234334199</c:v>
                </c:pt>
                <c:pt idx="2">
                  <c:v>26.222546918681701</c:v>
                </c:pt>
                <c:pt idx="3">
                  <c:v>31.85531024570486</c:v>
                </c:pt>
                <c:pt idx="4">
                  <c:v>38.257528847944542</c:v>
                </c:pt>
                <c:pt idx="5">
                  <c:v>45.181176487133861</c:v>
                </c:pt>
                <c:pt idx="6">
                  <c:v>49.32885042625351</c:v>
                </c:pt>
                <c:pt idx="7">
                  <c:v>54.879824757870722</c:v>
                </c:pt>
                <c:pt idx="8">
                  <c:v>60.69197790265045</c:v>
                </c:pt>
                <c:pt idx="9">
                  <c:v>72.787739003108157</c:v>
                </c:pt>
                <c:pt idx="10">
                  <c:v>99.999999999999957</c:v>
                </c:pt>
                <c:pt idx="11">
                  <c:v>99.999999999999957</c:v>
                </c:pt>
              </c:numCache>
            </c:numRef>
          </c:yVal>
          <c:smooth val="1"/>
          <c:extLst>
            <c:ext xmlns:c16="http://schemas.microsoft.com/office/drawing/2014/chart" uri="{C3380CC4-5D6E-409C-BE32-E72D297353CC}">
              <c16:uniqueId val="{00000003-4F08-8C45-89B5-CA46C3D92025}"/>
            </c:ext>
          </c:extLst>
        </c:ser>
        <c:ser>
          <c:idx val="4"/>
          <c:order val="4"/>
          <c:tx>
            <c:v>-2000/+1000 CLU</c:v>
          </c:tx>
          <c:spPr>
            <a:ln w="9525" cap="rnd">
              <a:solidFill>
                <a:schemeClr val="accent4"/>
              </a:solidFill>
              <a:prstDash val="dash"/>
              <a:round/>
            </a:ln>
            <a:effectLst/>
          </c:spPr>
          <c:marker>
            <c:symbol val="none"/>
          </c:marker>
          <c:xVal>
            <c:numRef>
              <c:f>'9. Sample C Conf. Intervals'!$B$45:$B$56</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'9. Sample C Conf. Intervals'!$L$45:$L$56</c:f>
              <c:numCache>
                <c:formatCode>0.00</c:formatCode>
                <c:ptCount val="12"/>
                <c:pt idx="0">
                  <c:v>0</c:v>
                </c:pt>
                <c:pt idx="2">
                  <c:v>28.582317457910239</c:v>
                </c:pt>
                <c:pt idx="3">
                  <c:v>34.844468397598199</c:v>
                </c:pt>
                <c:pt idx="4">
                  <c:v>41.776023552132941</c:v>
                </c:pt>
                <c:pt idx="5">
                  <c:v>49.151935403398817</c:v>
                </c:pt>
                <c:pt idx="6">
                  <c:v>53.695851254310625</c:v>
                </c:pt>
                <c:pt idx="7">
                  <c:v>59.399732112183415</c:v>
                </c:pt>
                <c:pt idx="8">
                  <c:v>65.311022074821111</c:v>
                </c:pt>
                <c:pt idx="9">
                  <c:v>76.961620114964845</c:v>
                </c:pt>
                <c:pt idx="10">
                  <c:v>99.999999999999972</c:v>
                </c:pt>
                <c:pt idx="11">
                  <c:v>99.999999999999957</c:v>
                </c:pt>
              </c:numCache>
            </c:numRef>
          </c:yVal>
          <c:smooth val="1"/>
          <c:extLst>
            <c:ext xmlns:c16="http://schemas.microsoft.com/office/drawing/2014/chart" uri="{C3380CC4-5D6E-409C-BE32-E72D297353CC}">
              <c16:uniqueId val="{00000004-4F08-8C45-89B5-CA46C3D92025}"/>
            </c:ext>
          </c:extLst>
        </c:ser>
        <c:ser>
          <c:idx val="5"/>
          <c:order val="5"/>
          <c:tx>
            <c:v>-2000/+1000 CLL</c:v>
          </c:tx>
          <c:spPr>
            <a:ln w="9525" cap="rnd">
              <a:solidFill>
                <a:schemeClr val="accent4"/>
              </a:solidFill>
              <a:prstDash val="dash"/>
              <a:round/>
            </a:ln>
            <a:effectLst/>
          </c:spPr>
          <c:marker>
            <c:symbol val="none"/>
          </c:marker>
          <c:xVal>
            <c:numRef>
              <c:f>'9. Sample C Conf. Intervals'!$B$45:$B$56</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'9. Sample C Conf. Intervals'!$K$45:$K$56</c:f>
              <c:numCache>
                <c:formatCode>0.00</c:formatCode>
                <c:ptCount val="12"/>
                <c:pt idx="0">
                  <c:v>0</c:v>
                </c:pt>
                <c:pt idx="2">
                  <c:v>23.862776379453162</c:v>
                </c:pt>
                <c:pt idx="3">
                  <c:v>28.866152093811525</c:v>
                </c:pt>
                <c:pt idx="4">
                  <c:v>34.739034143756143</c:v>
                </c:pt>
                <c:pt idx="5">
                  <c:v>41.210417570868906</c:v>
                </c:pt>
                <c:pt idx="6">
                  <c:v>44.961849598196395</c:v>
                </c:pt>
                <c:pt idx="7">
                  <c:v>50.359917403558029</c:v>
                </c:pt>
                <c:pt idx="8">
                  <c:v>56.072933730479789</c:v>
                </c:pt>
                <c:pt idx="9">
                  <c:v>68.61385789125147</c:v>
                </c:pt>
                <c:pt idx="10">
                  <c:v>99.999999999999943</c:v>
                </c:pt>
                <c:pt idx="11">
                  <c:v>99.999999999999957</c:v>
                </c:pt>
              </c:numCache>
            </c:numRef>
          </c:yVal>
          <c:smooth val="1"/>
          <c:extLst>
            <c:ext xmlns:c16="http://schemas.microsoft.com/office/drawing/2014/chart" uri="{C3380CC4-5D6E-409C-BE32-E72D297353CC}">
              <c16:uniqueId val="{00000005-4F08-8C45-89B5-CA46C3D92025}"/>
            </c:ext>
          </c:extLst>
        </c:ser>
        <c:ser>
          <c:idx val="9"/>
          <c:order val="6"/>
          <c:tx>
            <c:strRef>
              <c:f>'9. Sample C Conf. Intervals'!$A$57:$A$68</c:f>
              <c:strCache>
                <c:ptCount val="12"/>
                <c:pt idx="0">
                  <c:v>-1000/+425</c:v>
                </c:pt>
              </c:strCache>
            </c:strRef>
          </c:tx>
          <c:spPr>
            <a:ln w="9525" cap="rnd">
              <a:solidFill>
                <a:schemeClr val="accent6"/>
              </a:solidFill>
              <a:round/>
            </a:ln>
            <a:effectLst/>
          </c:spPr>
          <c:marker>
            <c:symbol val="circle"/>
            <c:size val="10"/>
            <c:spPr>
              <a:solidFill>
                <a:schemeClr val="accent6"/>
              </a:solidFill>
              <a:ln w="9525">
                <a:noFill/>
                <a:round/>
              </a:ln>
              <a:effectLst/>
            </c:spPr>
          </c:marker>
          <c:xVal>
            <c:numRef>
              <c:f>'9. Sample C Conf. Intervals'!$B$57:$B$68</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'9. Sample C Conf. Intervals'!$F$57:$F$68</c:f>
              <c:numCache>
                <c:formatCode>0.00</c:formatCode>
                <c:ptCount val="12"/>
                <c:pt idx="0">
                  <c:v>0</c:v>
                </c:pt>
                <c:pt idx="1">
                  <c:v>19.855249925056501</c:v>
                </c:pt>
                <c:pt idx="2">
                  <c:v>31.438655038460901</c:v>
                </c:pt>
                <c:pt idx="3">
                  <c:v>38.677103869151139</c:v>
                </c:pt>
                <c:pt idx="4">
                  <c:v>43.56728237333882</c:v>
                </c:pt>
                <c:pt idx="5">
                  <c:v>48.144728964356879</c:v>
                </c:pt>
                <c:pt idx="6">
                  <c:v>50.126193589240629</c:v>
                </c:pt>
                <c:pt idx="7">
                  <c:v>52.809410160739311</c:v>
                </c:pt>
                <c:pt idx="8">
                  <c:v>61.26735543216639</c:v>
                </c:pt>
                <c:pt idx="9">
                  <c:v>73.166939792795091</c:v>
                </c:pt>
                <c:pt idx="10">
                  <c:v>99.849608923655495</c:v>
                </c:pt>
                <c:pt idx="11">
                  <c:v>99.999999999999716</c:v>
                </c:pt>
              </c:numCache>
            </c:numRef>
          </c:yVal>
          <c:smooth val="1"/>
          <c:extLst>
            <c:ext xmlns:c16="http://schemas.microsoft.com/office/drawing/2014/chart" uri="{C3380CC4-5D6E-409C-BE32-E72D297353CC}">
              <c16:uniqueId val="{00000006-4F08-8C45-89B5-CA46C3D92025}"/>
            </c:ext>
          </c:extLst>
        </c:ser>
        <c:ser>
          <c:idx val="10"/>
          <c:order val="7"/>
          <c:tx>
            <c:v>-1000/+425 CLU</c:v>
          </c:tx>
          <c:spPr>
            <a:ln w="9525" cap="rnd">
              <a:solidFill>
                <a:schemeClr val="accent6"/>
              </a:solidFill>
              <a:prstDash val="dash"/>
              <a:round/>
            </a:ln>
            <a:effectLst/>
          </c:spPr>
          <c:marker>
            <c:symbol val="none"/>
          </c:marker>
          <c:xVal>
            <c:numRef>
              <c:f>'9. Sample C Conf. Intervals'!$B$57:$B$68</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'9. Sample C Conf. Intervals'!$L$57:$L$68</c:f>
              <c:numCache>
                <c:formatCode>0.00</c:formatCode>
                <c:ptCount val="12"/>
                <c:pt idx="0">
                  <c:v>0</c:v>
                </c:pt>
                <c:pt idx="1">
                  <c:v>26.293909635230872</c:v>
                </c:pt>
                <c:pt idx="2">
                  <c:v>34.201544951241168</c:v>
                </c:pt>
                <c:pt idx="3">
                  <c:v>42.390333891704877</c:v>
                </c:pt>
                <c:pt idx="4">
                  <c:v>47.861784866553492</c:v>
                </c:pt>
                <c:pt idx="5">
                  <c:v>52.842689078341976</c:v>
                </c:pt>
                <c:pt idx="6">
                  <c:v>55.048830907069039</c:v>
                </c:pt>
                <c:pt idx="7">
                  <c:v>57.848613308596924</c:v>
                </c:pt>
                <c:pt idx="8">
                  <c:v>66.204425249079137</c:v>
                </c:pt>
                <c:pt idx="9">
                  <c:v>73.166939792795105</c:v>
                </c:pt>
                <c:pt idx="10">
                  <c:v>99.849608923655509</c:v>
                </c:pt>
                <c:pt idx="11">
                  <c:v>99.99999999999973</c:v>
                </c:pt>
              </c:numCache>
            </c:numRef>
          </c:yVal>
          <c:smooth val="1"/>
          <c:extLst>
            <c:ext xmlns:c16="http://schemas.microsoft.com/office/drawing/2014/chart" uri="{C3380CC4-5D6E-409C-BE32-E72D297353CC}">
              <c16:uniqueId val="{00000007-4F08-8C45-89B5-CA46C3D92025}"/>
            </c:ext>
          </c:extLst>
        </c:ser>
        <c:ser>
          <c:idx val="11"/>
          <c:order val="8"/>
          <c:tx>
            <c:v>-1000/+425 CLL</c:v>
          </c:tx>
          <c:spPr>
            <a:ln w="9525" cap="rnd">
              <a:solidFill>
                <a:schemeClr val="accent6"/>
              </a:solidFill>
              <a:prstDash val="dash"/>
              <a:round/>
            </a:ln>
            <a:effectLst/>
          </c:spPr>
          <c:marker>
            <c:symbol val="none"/>
          </c:marker>
          <c:xVal>
            <c:numRef>
              <c:f>'9. Sample C Conf. Intervals'!$B$57:$B$68</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'9. Sample C Conf. Intervals'!$K$57:$K$68</c:f>
              <c:numCache>
                <c:formatCode>0.00</c:formatCode>
                <c:ptCount val="12"/>
                <c:pt idx="0">
                  <c:v>0</c:v>
                </c:pt>
                <c:pt idx="1">
                  <c:v>13.416590214882131</c:v>
                </c:pt>
                <c:pt idx="2">
                  <c:v>28.675765125680634</c:v>
                </c:pt>
                <c:pt idx="3">
                  <c:v>34.963873846597401</c:v>
                </c:pt>
                <c:pt idx="4">
                  <c:v>39.272779880124148</c:v>
                </c:pt>
                <c:pt idx="5">
                  <c:v>43.446768850371782</c:v>
                </c:pt>
                <c:pt idx="6">
                  <c:v>45.203556271412218</c:v>
                </c:pt>
                <c:pt idx="7">
                  <c:v>47.770207012881698</c:v>
                </c:pt>
                <c:pt idx="8">
                  <c:v>56.330285615253651</c:v>
                </c:pt>
                <c:pt idx="9">
                  <c:v>73.166939792795077</c:v>
                </c:pt>
                <c:pt idx="10">
                  <c:v>99.849608923655481</c:v>
                </c:pt>
                <c:pt idx="11">
                  <c:v>99.999999999999702</c:v>
                </c:pt>
              </c:numCache>
            </c:numRef>
          </c:yVal>
          <c:smooth val="1"/>
          <c:extLst>
            <c:ext xmlns:c16="http://schemas.microsoft.com/office/drawing/2014/chart" uri="{C3380CC4-5D6E-409C-BE32-E72D297353CC}">
              <c16:uniqueId val="{00000008-4F08-8C45-89B5-CA46C3D92025}"/>
            </c:ext>
          </c:extLst>
        </c:ser>
        <c:ser>
          <c:idx val="12"/>
          <c:order val="9"/>
          <c:tx>
            <c:strRef>
              <c:f>'9. Sample C Conf. Intervals'!$A$69:$A$80</c:f>
              <c:strCache>
                <c:ptCount val="12"/>
                <c:pt idx="0">
                  <c:v>-425/+150</c:v>
                </c:pt>
              </c:strCache>
            </c:strRef>
          </c:tx>
          <c:spPr>
            <a:ln w="9525" cap="rnd">
              <a:solidFill>
                <a:schemeClr val="accent2"/>
              </a:solidFill>
              <a:round/>
            </a:ln>
            <a:effectLst/>
          </c:spPr>
          <c:marker>
            <c:symbol val="triangle"/>
            <c:size val="10"/>
            <c:spPr>
              <a:solidFill>
                <a:schemeClr val="accent2"/>
              </a:solidFill>
              <a:ln w="9525">
                <a:solidFill>
                  <a:schemeClr val="accent2"/>
                </a:solidFill>
                <a:round/>
              </a:ln>
              <a:effectLst/>
            </c:spPr>
          </c:marker>
          <c:xVal>
            <c:numRef>
              <c:f>'9. Sample C Conf. Intervals'!$B$69:$B$80</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'9. Sample C Conf. Intervals'!$F$69:$F$80</c:f>
              <c:numCache>
                <c:formatCode>0.00</c:formatCode>
                <c:ptCount val="12"/>
                <c:pt idx="0">
                  <c:v>0</c:v>
                </c:pt>
                <c:pt idx="1">
                  <c:v>13.183896600967801</c:v>
                </c:pt>
                <c:pt idx="2">
                  <c:v>20.67601959268967</c:v>
                </c:pt>
                <c:pt idx="3">
                  <c:v>26.324570420580411</c:v>
                </c:pt>
                <c:pt idx="4">
                  <c:v>29.639364497586442</c:v>
                </c:pt>
                <c:pt idx="5">
                  <c:v>31.65507065288234</c:v>
                </c:pt>
                <c:pt idx="6">
                  <c:v>33.36554394318469</c:v>
                </c:pt>
                <c:pt idx="7">
                  <c:v>34.794678382212879</c:v>
                </c:pt>
                <c:pt idx="8">
                  <c:v>41.70510397819443</c:v>
                </c:pt>
                <c:pt idx="9">
                  <c:v>59.036360690868129</c:v>
                </c:pt>
                <c:pt idx="10">
                  <c:v>99.734863146049236</c:v>
                </c:pt>
                <c:pt idx="11">
                  <c:v>100.00000000000009</c:v>
                </c:pt>
              </c:numCache>
            </c:numRef>
          </c:yVal>
          <c:smooth val="1"/>
          <c:extLst>
            <c:ext xmlns:c16="http://schemas.microsoft.com/office/drawing/2014/chart" uri="{C3380CC4-5D6E-409C-BE32-E72D297353CC}">
              <c16:uniqueId val="{00000009-4F08-8C45-89B5-CA46C3D92025}"/>
            </c:ext>
          </c:extLst>
        </c:ser>
        <c:ser>
          <c:idx val="13"/>
          <c:order val="10"/>
          <c:tx>
            <c:v>-425/+150 CLU</c:v>
          </c:tx>
          <c:spPr>
            <a:ln w="9525" cap="rnd">
              <a:solidFill>
                <a:schemeClr val="accent2"/>
              </a:solidFill>
              <a:prstDash val="dash"/>
              <a:round/>
            </a:ln>
            <a:effectLst/>
          </c:spPr>
          <c:marker>
            <c:symbol val="none"/>
          </c:marker>
          <c:xVal>
            <c:numRef>
              <c:f>'9. Sample C Conf. Intervals'!$B$69:$B$80</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'9. Sample C Conf. Intervals'!$L$69:$L$80</c:f>
              <c:numCache>
                <c:formatCode>0.00</c:formatCode>
                <c:ptCount val="12"/>
                <c:pt idx="0">
                  <c:v>0</c:v>
                </c:pt>
                <c:pt idx="1">
                  <c:v>14.904645107240635</c:v>
                </c:pt>
                <c:pt idx="2">
                  <c:v>22.232594495154107</c:v>
                </c:pt>
                <c:pt idx="3">
                  <c:v>28.378482544880431</c:v>
                </c:pt>
                <c:pt idx="4">
                  <c:v>31.974770576209973</c:v>
                </c:pt>
                <c:pt idx="5">
                  <c:v>34.1660712086233</c:v>
                </c:pt>
                <c:pt idx="6">
                  <c:v>35.994725916618727</c:v>
                </c:pt>
                <c:pt idx="7">
                  <c:v>37.531689533877646</c:v>
                </c:pt>
                <c:pt idx="8">
                  <c:v>44.684807710194349</c:v>
                </c:pt>
                <c:pt idx="9">
                  <c:v>59.036360690868143</c:v>
                </c:pt>
                <c:pt idx="10">
                  <c:v>99.73486314604925</c:v>
                </c:pt>
                <c:pt idx="11">
                  <c:v>100.0000000000001</c:v>
                </c:pt>
              </c:numCache>
            </c:numRef>
          </c:yVal>
          <c:smooth val="1"/>
          <c:extLst>
            <c:ext xmlns:c16="http://schemas.microsoft.com/office/drawing/2014/chart" uri="{C3380CC4-5D6E-409C-BE32-E72D297353CC}">
              <c16:uniqueId val="{0000000A-4F08-8C45-89B5-CA46C3D92025}"/>
            </c:ext>
          </c:extLst>
        </c:ser>
        <c:ser>
          <c:idx val="14"/>
          <c:order val="11"/>
          <c:tx>
            <c:v>-425/+150 CLL</c:v>
          </c:tx>
          <c:spPr>
            <a:ln w="9525" cap="rnd">
              <a:solidFill>
                <a:schemeClr val="accent2"/>
              </a:solidFill>
              <a:prstDash val="dash"/>
              <a:round/>
            </a:ln>
            <a:effectLst/>
          </c:spPr>
          <c:marker>
            <c:symbol val="none"/>
          </c:marker>
          <c:xVal>
            <c:numRef>
              <c:f>'9. Sample C Conf. Intervals'!$B$69:$B$80</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'9. Sample C Conf. Intervals'!$K$69:$K$80</c:f>
              <c:numCache>
                <c:formatCode>0.00</c:formatCode>
                <c:ptCount val="12"/>
                <c:pt idx="0">
                  <c:v>0</c:v>
                </c:pt>
                <c:pt idx="1">
                  <c:v>11.463148094694967</c:v>
                </c:pt>
                <c:pt idx="2">
                  <c:v>19.119444690225233</c:v>
                </c:pt>
                <c:pt idx="3">
                  <c:v>24.270658296280391</c:v>
                </c:pt>
                <c:pt idx="4">
                  <c:v>27.30395841896291</c:v>
                </c:pt>
                <c:pt idx="5">
                  <c:v>29.144070097141377</c:v>
                </c:pt>
                <c:pt idx="6">
                  <c:v>30.73636196975065</c:v>
                </c:pt>
                <c:pt idx="7">
                  <c:v>32.057667230548113</c:v>
                </c:pt>
                <c:pt idx="8">
                  <c:v>38.725400246194511</c:v>
                </c:pt>
                <c:pt idx="9">
                  <c:v>59.036360690868115</c:v>
                </c:pt>
                <c:pt idx="10">
                  <c:v>99.734863146049221</c:v>
                </c:pt>
                <c:pt idx="11">
                  <c:v>100.00000000000007</c:v>
                </c:pt>
              </c:numCache>
            </c:numRef>
          </c:yVal>
          <c:smooth val="1"/>
          <c:extLst>
            <c:ext xmlns:c16="http://schemas.microsoft.com/office/drawing/2014/chart" uri="{C3380CC4-5D6E-409C-BE32-E72D297353CC}">
              <c16:uniqueId val="{0000000B-4F08-8C45-89B5-CA46C3D92025}"/>
            </c:ext>
          </c:extLst>
        </c:ser>
        <c:ser>
          <c:idx val="15"/>
          <c:order val="12"/>
          <c:tx>
            <c:strRef>
              <c:f>'9. Sample C Conf. Intervals'!$A$81:$A$92</c:f>
              <c:strCache>
                <c:ptCount val="12"/>
                <c:pt idx="0">
                  <c:v>-150/+0</c:v>
                </c:pt>
              </c:strCache>
            </c:strRef>
          </c:tx>
          <c:spPr>
            <a:ln w="9525" cap="rnd">
              <a:solidFill>
                <a:schemeClr val="tx1"/>
              </a:solidFill>
              <a:round/>
            </a:ln>
            <a:effectLst/>
          </c:spPr>
          <c:marker>
            <c:symbol val="x"/>
            <c:size val="10"/>
            <c:spPr>
              <a:noFill/>
              <a:ln w="19050">
                <a:solidFill>
                  <a:schemeClr val="tx1"/>
                </a:solidFill>
                <a:round/>
              </a:ln>
              <a:effectLst/>
            </c:spPr>
          </c:marker>
          <c:xVal>
            <c:numRef>
              <c:f>'9. Sample C Conf. Intervals'!$B$81:$B$92</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'9. Sample C Conf. Intervals'!$F$81:$F$92</c:f>
              <c:numCache>
                <c:formatCode>0.00</c:formatCode>
                <c:ptCount val="12"/>
                <c:pt idx="0">
                  <c:v>0</c:v>
                </c:pt>
                <c:pt idx="1">
                  <c:v>2.4154165130020502</c:v>
                </c:pt>
                <c:pt idx="2">
                  <c:v>4.9531513112908003</c:v>
                </c:pt>
                <c:pt idx="3">
                  <c:v>6.6122406905140503</c:v>
                </c:pt>
                <c:pt idx="4">
                  <c:v>8.310030634996961</c:v>
                </c:pt>
                <c:pt idx="5">
                  <c:v>10.25051294920015</c:v>
                </c:pt>
                <c:pt idx="6">
                  <c:v>11.62202638823406</c:v>
                </c:pt>
                <c:pt idx="7">
                  <c:v>13.74963109444302</c:v>
                </c:pt>
                <c:pt idx="8">
                  <c:v>17.403043271285419</c:v>
                </c:pt>
                <c:pt idx="9">
                  <c:v>25.06695160906019</c:v>
                </c:pt>
                <c:pt idx="10">
                  <c:v>71.022087936813293</c:v>
                </c:pt>
                <c:pt idx="11">
                  <c:v>100.00000000001799</c:v>
                </c:pt>
              </c:numCache>
            </c:numRef>
          </c:yVal>
          <c:smooth val="1"/>
          <c:extLst>
            <c:ext xmlns:c16="http://schemas.microsoft.com/office/drawing/2014/chart" uri="{C3380CC4-5D6E-409C-BE32-E72D297353CC}">
              <c16:uniqueId val="{0000000C-4F08-8C45-89B5-CA46C3D92025}"/>
            </c:ext>
          </c:extLst>
        </c:ser>
        <c:ser>
          <c:idx val="16"/>
          <c:order val="13"/>
          <c:tx>
            <c:v>-150/+0 CLU</c:v>
          </c:tx>
          <c:spPr>
            <a:ln w="9525" cap="rnd">
              <a:solidFill>
                <a:schemeClr val="tx1">
                  <a:alpha val="88000"/>
                </a:schemeClr>
              </a:solidFill>
              <a:prstDash val="dash"/>
              <a:round/>
            </a:ln>
            <a:effectLst/>
          </c:spPr>
          <c:marker>
            <c:symbol val="none"/>
          </c:marker>
          <c:xVal>
            <c:numRef>
              <c:f>'9. Sample C Conf. Intervals'!$B$81:$B$92</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'9. Sample C Conf. Intervals'!$L$81:$L$92</c:f>
              <c:numCache>
                <c:formatCode>0.00</c:formatCode>
                <c:ptCount val="12"/>
                <c:pt idx="0">
                  <c:v>0</c:v>
                </c:pt>
                <c:pt idx="1">
                  <c:v>2.4409369823713183</c:v>
                </c:pt>
                <c:pt idx="2">
                  <c:v>5.0051137337530882</c:v>
                </c:pt>
                <c:pt idx="3">
                  <c:v>6.6812252511581924</c:v>
                </c:pt>
                <c:pt idx="4">
                  <c:v>8.3958751960571796</c:v>
                </c:pt>
                <c:pt idx="5">
                  <c:v>10.355364198488036</c:v>
                </c:pt>
                <c:pt idx="6">
                  <c:v>11.739393811587519</c:v>
                </c:pt>
                <c:pt idx="7">
                  <c:v>13.885715517174429</c:v>
                </c:pt>
                <c:pt idx="8">
                  <c:v>17.570561334756118</c:v>
                </c:pt>
                <c:pt idx="9">
                  <c:v>25.066951609060208</c:v>
                </c:pt>
                <c:pt idx="10">
                  <c:v>71.022087936813307</c:v>
                </c:pt>
                <c:pt idx="11">
                  <c:v>100.00000000001801</c:v>
                </c:pt>
              </c:numCache>
            </c:numRef>
          </c:yVal>
          <c:smooth val="1"/>
          <c:extLst>
            <c:ext xmlns:c16="http://schemas.microsoft.com/office/drawing/2014/chart" uri="{C3380CC4-5D6E-409C-BE32-E72D297353CC}">
              <c16:uniqueId val="{0000000D-4F08-8C45-89B5-CA46C3D92025}"/>
            </c:ext>
          </c:extLst>
        </c:ser>
        <c:ser>
          <c:idx val="17"/>
          <c:order val="14"/>
          <c:tx>
            <c:v>-150/+0 CLL</c:v>
          </c:tx>
          <c:spPr>
            <a:ln w="9525" cap="rnd">
              <a:solidFill>
                <a:schemeClr val="tx1"/>
              </a:solidFill>
              <a:prstDash val="dash"/>
              <a:round/>
            </a:ln>
            <a:effectLst/>
          </c:spPr>
          <c:marker>
            <c:symbol val="none"/>
          </c:marker>
          <c:xVal>
            <c:numRef>
              <c:f>'9. Sample C Conf. Intervals'!$B$81:$B$92</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'9. Sample C Conf. Intervals'!$K$81:$K$92</c:f>
              <c:numCache>
                <c:formatCode>0.00</c:formatCode>
                <c:ptCount val="12"/>
                <c:pt idx="0">
                  <c:v>0</c:v>
                </c:pt>
                <c:pt idx="1">
                  <c:v>2.3898960436327821</c:v>
                </c:pt>
                <c:pt idx="2">
                  <c:v>4.9011888888285124</c:v>
                </c:pt>
                <c:pt idx="3">
                  <c:v>6.5432561298699081</c:v>
                </c:pt>
                <c:pt idx="4">
                  <c:v>8.2241860739367425</c:v>
                </c:pt>
                <c:pt idx="5">
                  <c:v>10.145661699912264</c:v>
                </c:pt>
                <c:pt idx="6">
                  <c:v>11.504658964880601</c:v>
                </c:pt>
                <c:pt idx="7">
                  <c:v>13.61354667171161</c:v>
                </c:pt>
                <c:pt idx="8">
                  <c:v>17.235525207814721</c:v>
                </c:pt>
                <c:pt idx="9">
                  <c:v>25.066951609060173</c:v>
                </c:pt>
                <c:pt idx="10">
                  <c:v>71.022087936813278</c:v>
                </c:pt>
                <c:pt idx="11">
                  <c:v>100.00000000001798</c:v>
                </c:pt>
              </c:numCache>
            </c:numRef>
          </c:yVal>
          <c:smooth val="1"/>
          <c:extLst>
            <c:ext xmlns:c16="http://schemas.microsoft.com/office/drawing/2014/chart" uri="{C3380CC4-5D6E-409C-BE32-E72D297353CC}">
              <c16:uniqueId val="{0000000E-4F08-8C45-89B5-CA46C3D92025}"/>
            </c:ext>
          </c:extLst>
        </c:ser>
        <c:dLbls>
          <c:showLegendKey val="0"/>
          <c:showVal val="0"/>
          <c:showCatName val="0"/>
          <c:showSerName val="0"/>
          <c:showPercent val="0"/>
          <c:showBubbleSize val="0"/>
        </c:dLbls>
        <c:axId val="182050152"/>
        <c:axId val="130788960"/>
      </c:scatterChart>
      <c:valAx>
        <c:axId val="182050152"/>
        <c:scaling>
          <c:orientation val="minMax"/>
          <c:max val="100"/>
        </c:scaling>
        <c:delete val="0"/>
        <c:axPos val="b"/>
        <c:title>
          <c:tx>
            <c:rich>
              <a:bodyPr rot="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Lberation class (% liberation)</a:t>
                </a:r>
              </a:p>
            </c:rich>
          </c:tx>
          <c:overlay val="0"/>
          <c:spPr>
            <a:noFill/>
            <a:ln>
              <a:noFill/>
            </a:ln>
            <a:effectLst/>
          </c:spPr>
          <c:txPr>
            <a:bodyPr rot="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 sourceLinked="0"/>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30788960"/>
        <c:crosses val="autoZero"/>
        <c:crossBetween val="midCat"/>
      </c:valAx>
      <c:valAx>
        <c:axId val="130788960"/>
        <c:scaling>
          <c:orientation val="minMax"/>
          <c:max val="100"/>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ZA"/>
                  <a:t>Cumulative Fe-sulfide content %</a:t>
                </a:r>
              </a:p>
            </c:rich>
          </c:tx>
          <c:overlay val="0"/>
          <c:spPr>
            <a:noFill/>
            <a:ln>
              <a:noFill/>
            </a:ln>
            <a:effectLst/>
          </c:spPr>
          <c:txPr>
            <a:bodyPr rot="-54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 sourceLinked="0"/>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82050152"/>
        <c:crosses val="autoZero"/>
        <c:crossBetween val="midCat"/>
      </c:valAx>
      <c:spPr>
        <a:noFill/>
        <a:ln>
          <a:noFill/>
        </a:ln>
        <a:effectLst/>
      </c:spPr>
    </c:plotArea>
    <c:legend>
      <c:legendPos val="b"/>
      <c:legendEntry>
        <c:idx val="1"/>
        <c:delete val="1"/>
      </c:legendEntry>
      <c:legendEntry>
        <c:idx val="2"/>
        <c:delete val="1"/>
      </c:legendEntry>
      <c:legendEntry>
        <c:idx val="4"/>
        <c:delete val="1"/>
      </c:legendEntry>
      <c:legendEntry>
        <c:idx val="5"/>
        <c:delete val="1"/>
      </c:legendEntry>
      <c:legendEntry>
        <c:idx val="7"/>
        <c:delete val="1"/>
      </c:legendEntry>
      <c:legendEntry>
        <c:idx val="8"/>
        <c:delete val="1"/>
      </c:legendEntry>
      <c:legendEntry>
        <c:idx val="10"/>
        <c:delete val="1"/>
      </c:legendEntry>
      <c:legendEntry>
        <c:idx val="11"/>
        <c:delete val="1"/>
      </c:legendEntry>
      <c:legendEntry>
        <c:idx val="13"/>
        <c:delete val="1"/>
      </c:legendEntry>
      <c:legendEntry>
        <c:idx val="14"/>
        <c:delete val="1"/>
      </c:legendEntry>
      <c:layout>
        <c:manualLayout>
          <c:xMode val="edge"/>
          <c:yMode val="edge"/>
          <c:x val="1.9173564235624621E-2"/>
          <c:y val="0.93402409341525094"/>
          <c:w val="0.96165287152875079"/>
          <c:h val="6.5975906584749069E-2"/>
        </c:manualLayout>
      </c:layout>
      <c:overlay val="0"/>
      <c:spPr>
        <a:noFill/>
        <a:ln>
          <a:noFill/>
        </a:ln>
        <a:effectLst/>
      </c:spPr>
      <c:txPr>
        <a:bodyPr rot="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600" b="0">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4289889215655273E-2"/>
          <c:y val="5.3654485586601568E-2"/>
          <c:w val="0.87590541518655551"/>
          <c:h val="0.7861170790711639"/>
        </c:manualLayout>
      </c:layout>
      <c:scatterChart>
        <c:scatterStyle val="smoothMarker"/>
        <c:varyColors val="0"/>
        <c:ser>
          <c:idx val="0"/>
          <c:order val="0"/>
          <c:tx>
            <c:strRef>
              <c:f>'10. Sample D Conf. Intervals'!$A$33:$A$44</c:f>
              <c:strCache>
                <c:ptCount val="12"/>
                <c:pt idx="0">
                  <c:v>-6700/+2000</c:v>
                </c:pt>
              </c:strCache>
            </c:strRef>
          </c:tx>
          <c:spPr>
            <a:ln w="9525" cap="rnd">
              <a:solidFill>
                <a:schemeClr val="accent5"/>
              </a:solidFill>
              <a:round/>
            </a:ln>
            <a:effectLst/>
          </c:spPr>
          <c:marker>
            <c:symbol val="square"/>
            <c:size val="1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c:spPr>
          </c:marker>
          <c:xVal>
            <c:numRef>
              <c:f>'10. Sample D Conf. Intervals'!$B$33:$B$44</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'10. Sample D Conf. Intervals'!$F$33:$F$44</c:f>
              <c:numCache>
                <c:formatCode>0.00</c:formatCode>
                <c:ptCount val="12"/>
                <c:pt idx="0">
                  <c:v>0</c:v>
                </c:pt>
                <c:pt idx="1">
                  <c:v>57.581198460691198</c:v>
                </c:pt>
                <c:pt idx="2">
                  <c:v>74.409703535867806</c:v>
                </c:pt>
                <c:pt idx="3">
                  <c:v>88.696090282921801</c:v>
                </c:pt>
                <c:pt idx="4">
                  <c:v>100</c:v>
                </c:pt>
                <c:pt idx="5">
                  <c:v>100</c:v>
                </c:pt>
                <c:pt idx="6">
                  <c:v>100</c:v>
                </c:pt>
                <c:pt idx="7">
                  <c:v>100</c:v>
                </c:pt>
                <c:pt idx="8">
                  <c:v>100</c:v>
                </c:pt>
                <c:pt idx="9">
                  <c:v>100</c:v>
                </c:pt>
                <c:pt idx="10">
                  <c:v>100</c:v>
                </c:pt>
                <c:pt idx="11">
                  <c:v>100</c:v>
                </c:pt>
              </c:numCache>
            </c:numRef>
          </c:yVal>
          <c:smooth val="1"/>
          <c:extLst>
            <c:ext xmlns:c16="http://schemas.microsoft.com/office/drawing/2014/chart" uri="{C3380CC4-5D6E-409C-BE32-E72D297353CC}">
              <c16:uniqueId val="{00000000-383C-774E-BC42-4627FD8CA8DB}"/>
            </c:ext>
          </c:extLst>
        </c:ser>
        <c:ser>
          <c:idx val="1"/>
          <c:order val="1"/>
          <c:spPr>
            <a:ln w="9525" cap="rnd">
              <a:solidFill>
                <a:schemeClr val="accent5"/>
              </a:solidFill>
              <a:prstDash val="dash"/>
              <a:round/>
            </a:ln>
            <a:effectLst/>
          </c:spPr>
          <c:marker>
            <c:symbol val="none"/>
          </c:marker>
          <c:xVal>
            <c:numRef>
              <c:f>'10. Sample D Conf. Intervals'!$B$33:$B$44</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'10. Sample D Conf. Intervals'!$L$33:$L$44</c:f>
              <c:numCache>
                <c:formatCode>0.00</c:formatCode>
                <c:ptCount val="12"/>
                <c:pt idx="0">
                  <c:v>0</c:v>
                </c:pt>
                <c:pt idx="1">
                  <c:v>65.334187874895562</c:v>
                </c:pt>
                <c:pt idx="2">
                  <c:v>84.443089013004879</c:v>
                </c:pt>
                <c:pt idx="3">
                  <c:v>96.532352132834248</c:v>
                </c:pt>
                <c:pt idx="4">
                  <c:v>100</c:v>
                </c:pt>
                <c:pt idx="5">
                  <c:v>100</c:v>
                </c:pt>
                <c:pt idx="6">
                  <c:v>100</c:v>
                </c:pt>
                <c:pt idx="7">
                  <c:v>100</c:v>
                </c:pt>
                <c:pt idx="8">
                  <c:v>100</c:v>
                </c:pt>
                <c:pt idx="9">
                  <c:v>100</c:v>
                </c:pt>
                <c:pt idx="10">
                  <c:v>100</c:v>
                </c:pt>
                <c:pt idx="11">
                  <c:v>100</c:v>
                </c:pt>
              </c:numCache>
            </c:numRef>
          </c:yVal>
          <c:smooth val="1"/>
          <c:extLst>
            <c:ext xmlns:c16="http://schemas.microsoft.com/office/drawing/2014/chart" uri="{C3380CC4-5D6E-409C-BE32-E72D297353CC}">
              <c16:uniqueId val="{00000001-383C-774E-BC42-4627FD8CA8DB}"/>
            </c:ext>
          </c:extLst>
        </c:ser>
        <c:ser>
          <c:idx val="2"/>
          <c:order val="2"/>
          <c:spPr>
            <a:ln w="9525" cap="rnd">
              <a:solidFill>
                <a:schemeClr val="accent5"/>
              </a:solidFill>
              <a:prstDash val="dash"/>
              <a:round/>
            </a:ln>
            <a:effectLst/>
          </c:spPr>
          <c:marker>
            <c:symbol val="none"/>
          </c:marker>
          <c:xVal>
            <c:numRef>
              <c:f>'10. Sample D Conf. Intervals'!$B$33:$B$44</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'10. Sample D Conf. Intervals'!$K$33:$K$44</c:f>
              <c:numCache>
                <c:formatCode>0.00</c:formatCode>
                <c:ptCount val="12"/>
                <c:pt idx="0">
                  <c:v>0</c:v>
                </c:pt>
                <c:pt idx="1">
                  <c:v>49.828209046486833</c:v>
                </c:pt>
                <c:pt idx="2">
                  <c:v>64.376318058730732</c:v>
                </c:pt>
                <c:pt idx="3">
                  <c:v>80.859828433009355</c:v>
                </c:pt>
                <c:pt idx="4">
                  <c:v>100</c:v>
                </c:pt>
                <c:pt idx="5">
                  <c:v>100</c:v>
                </c:pt>
                <c:pt idx="6">
                  <c:v>100</c:v>
                </c:pt>
                <c:pt idx="7">
                  <c:v>100</c:v>
                </c:pt>
                <c:pt idx="8">
                  <c:v>100</c:v>
                </c:pt>
                <c:pt idx="9">
                  <c:v>100</c:v>
                </c:pt>
                <c:pt idx="10">
                  <c:v>100</c:v>
                </c:pt>
                <c:pt idx="11">
                  <c:v>100</c:v>
                </c:pt>
              </c:numCache>
            </c:numRef>
          </c:yVal>
          <c:smooth val="1"/>
          <c:extLst>
            <c:ext xmlns:c16="http://schemas.microsoft.com/office/drawing/2014/chart" uri="{C3380CC4-5D6E-409C-BE32-E72D297353CC}">
              <c16:uniqueId val="{00000002-383C-774E-BC42-4627FD8CA8DB}"/>
            </c:ext>
          </c:extLst>
        </c:ser>
        <c:ser>
          <c:idx val="3"/>
          <c:order val="3"/>
          <c:tx>
            <c:strRef>
              <c:f>'10. Sample D Conf. Intervals'!$A$45:$A$56</c:f>
              <c:strCache>
                <c:ptCount val="12"/>
                <c:pt idx="0">
                  <c:v>-2000/+1000</c:v>
                </c:pt>
              </c:strCache>
            </c:strRef>
          </c:tx>
          <c:spPr>
            <a:ln w="9525" cap="rnd">
              <a:solidFill>
                <a:schemeClr val="accent4"/>
              </a:solidFill>
              <a:round/>
            </a:ln>
            <a:effectLst/>
          </c:spPr>
          <c:marker>
            <c:symbol val="diamond"/>
            <c:size val="10"/>
            <c:spPr>
              <a:solidFill>
                <a:schemeClr val="accent4"/>
              </a:solidFill>
              <a:ln w="9525">
                <a:solidFill>
                  <a:schemeClr val="accent4"/>
                </a:solidFill>
                <a:round/>
              </a:ln>
              <a:effectLst/>
            </c:spPr>
          </c:marker>
          <c:xVal>
            <c:numRef>
              <c:f>'10. Sample D Conf. Intervals'!$B$45:$B$56</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'10. Sample D Conf. Intervals'!$F$45:$F$56</c:f>
              <c:numCache>
                <c:formatCode>0.00</c:formatCode>
                <c:ptCount val="12"/>
                <c:pt idx="0">
                  <c:v>0</c:v>
                </c:pt>
                <c:pt idx="1">
                  <c:v>21.525056368651999</c:v>
                </c:pt>
                <c:pt idx="2">
                  <c:v>31.280763306930908</c:v>
                </c:pt>
                <c:pt idx="3">
                  <c:v>44.212618076205807</c:v>
                </c:pt>
                <c:pt idx="4">
                  <c:v>62.870964676114909</c:v>
                </c:pt>
                <c:pt idx="5">
                  <c:v>82.297337977018813</c:v>
                </c:pt>
                <c:pt idx="6">
                  <c:v>90.169804278020848</c:v>
                </c:pt>
                <c:pt idx="7">
                  <c:v>94.734360319195062</c:v>
                </c:pt>
                <c:pt idx="8">
                  <c:v>97.253571201305718</c:v>
                </c:pt>
                <c:pt idx="9">
                  <c:v>100.00000000000017</c:v>
                </c:pt>
                <c:pt idx="10">
                  <c:v>100.00000000000017</c:v>
                </c:pt>
                <c:pt idx="11">
                  <c:v>100.00000000000017</c:v>
                </c:pt>
              </c:numCache>
            </c:numRef>
          </c:yVal>
          <c:smooth val="1"/>
          <c:extLst>
            <c:ext xmlns:c16="http://schemas.microsoft.com/office/drawing/2014/chart" uri="{C3380CC4-5D6E-409C-BE32-E72D297353CC}">
              <c16:uniqueId val="{00000003-383C-774E-BC42-4627FD8CA8DB}"/>
            </c:ext>
          </c:extLst>
        </c:ser>
        <c:ser>
          <c:idx val="4"/>
          <c:order val="4"/>
          <c:tx>
            <c:v>-2000/+1000 CLU</c:v>
          </c:tx>
          <c:spPr>
            <a:ln w="9525" cap="rnd">
              <a:solidFill>
                <a:schemeClr val="accent4"/>
              </a:solidFill>
              <a:prstDash val="dash"/>
              <a:round/>
            </a:ln>
            <a:effectLst/>
          </c:spPr>
          <c:marker>
            <c:symbol val="none"/>
          </c:marker>
          <c:xVal>
            <c:numRef>
              <c:f>'10. Sample D Conf. Intervals'!$B$45:$B$56</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'10. Sample D Conf. Intervals'!$L$45:$L$56</c:f>
              <c:numCache>
                <c:formatCode>0.00</c:formatCode>
                <c:ptCount val="12"/>
                <c:pt idx="0">
                  <c:v>0</c:v>
                </c:pt>
                <c:pt idx="1">
                  <c:v>24.308041614849369</c:v>
                </c:pt>
                <c:pt idx="2">
                  <c:v>35.838295915235442</c:v>
                </c:pt>
                <c:pt idx="3">
                  <c:v>50.284725011251467</c:v>
                </c:pt>
                <c:pt idx="4">
                  <c:v>69.559942732216982</c:v>
                </c:pt>
                <c:pt idx="5">
                  <c:v>87.636986896504425</c:v>
                </c:pt>
                <c:pt idx="6">
                  <c:v>95.394604756183227</c:v>
                </c:pt>
                <c:pt idx="7">
                  <c:v>98.613361938652631</c:v>
                </c:pt>
                <c:pt idx="8">
                  <c:v>99.877159052522785</c:v>
                </c:pt>
                <c:pt idx="9">
                  <c:v>100.00000000000044</c:v>
                </c:pt>
                <c:pt idx="10">
                  <c:v>100.00000000000017</c:v>
                </c:pt>
                <c:pt idx="11">
                  <c:v>100.00000000000017</c:v>
                </c:pt>
              </c:numCache>
            </c:numRef>
          </c:yVal>
          <c:smooth val="1"/>
          <c:extLst>
            <c:ext xmlns:c16="http://schemas.microsoft.com/office/drawing/2014/chart" uri="{C3380CC4-5D6E-409C-BE32-E72D297353CC}">
              <c16:uniqueId val="{00000004-383C-774E-BC42-4627FD8CA8DB}"/>
            </c:ext>
          </c:extLst>
        </c:ser>
        <c:ser>
          <c:idx val="5"/>
          <c:order val="5"/>
          <c:tx>
            <c:v>-2000/+1000 CLL</c:v>
          </c:tx>
          <c:spPr>
            <a:ln w="9525" cap="rnd">
              <a:solidFill>
                <a:schemeClr val="accent4"/>
              </a:solidFill>
              <a:prstDash val="dash"/>
              <a:round/>
            </a:ln>
            <a:effectLst/>
          </c:spPr>
          <c:marker>
            <c:symbol val="none"/>
          </c:marker>
          <c:xVal>
            <c:numRef>
              <c:f>'10. Sample D Conf. Intervals'!$B$45:$B$56</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'10. Sample D Conf. Intervals'!$K$45:$K$56</c:f>
              <c:numCache>
                <c:formatCode>0.00</c:formatCode>
                <c:ptCount val="12"/>
                <c:pt idx="0">
                  <c:v>0</c:v>
                </c:pt>
                <c:pt idx="1">
                  <c:v>18.742071122454629</c:v>
                </c:pt>
                <c:pt idx="2">
                  <c:v>26.72323069862637</c:v>
                </c:pt>
                <c:pt idx="3">
                  <c:v>38.140511141160147</c:v>
                </c:pt>
                <c:pt idx="4">
                  <c:v>56.181986620012836</c:v>
                </c:pt>
                <c:pt idx="5">
                  <c:v>76.957689057533202</c:v>
                </c:pt>
                <c:pt idx="6">
                  <c:v>84.945003799858469</c:v>
                </c:pt>
                <c:pt idx="7">
                  <c:v>90.855358699737494</c:v>
                </c:pt>
                <c:pt idx="8">
                  <c:v>94.629983350088651</c:v>
                </c:pt>
                <c:pt idx="9">
                  <c:v>99.999999999999901</c:v>
                </c:pt>
                <c:pt idx="10">
                  <c:v>100.00000000000017</c:v>
                </c:pt>
                <c:pt idx="11">
                  <c:v>100.00000000000017</c:v>
                </c:pt>
              </c:numCache>
            </c:numRef>
          </c:yVal>
          <c:smooth val="1"/>
          <c:extLst>
            <c:ext xmlns:c16="http://schemas.microsoft.com/office/drawing/2014/chart" uri="{C3380CC4-5D6E-409C-BE32-E72D297353CC}">
              <c16:uniqueId val="{00000005-383C-774E-BC42-4627FD8CA8DB}"/>
            </c:ext>
          </c:extLst>
        </c:ser>
        <c:ser>
          <c:idx val="9"/>
          <c:order val="6"/>
          <c:tx>
            <c:strRef>
              <c:f>'10. Sample D Conf. Intervals'!$A$57:$A$68</c:f>
              <c:strCache>
                <c:ptCount val="12"/>
                <c:pt idx="0">
                  <c:v>-1000/+425</c:v>
                </c:pt>
              </c:strCache>
            </c:strRef>
          </c:tx>
          <c:spPr>
            <a:ln w="9525" cap="rnd">
              <a:solidFill>
                <a:schemeClr val="accent6"/>
              </a:solidFill>
              <a:round/>
            </a:ln>
            <a:effectLst/>
          </c:spPr>
          <c:marker>
            <c:symbol val="circle"/>
            <c:size val="10"/>
            <c:spPr>
              <a:solidFill>
                <a:schemeClr val="accent6"/>
              </a:solidFill>
              <a:ln w="9525">
                <a:noFill/>
                <a:round/>
              </a:ln>
              <a:effectLst/>
            </c:spPr>
          </c:marker>
          <c:xVal>
            <c:numRef>
              <c:f>'10. Sample D Conf. Intervals'!$B$57:$B$68</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'10. Sample D Conf. Intervals'!$F$57:$F$68</c:f>
              <c:numCache>
                <c:formatCode>0.00</c:formatCode>
                <c:ptCount val="12"/>
                <c:pt idx="0">
                  <c:v>0</c:v>
                </c:pt>
                <c:pt idx="1">
                  <c:v>34.016661416980597</c:v>
                </c:pt>
                <c:pt idx="2">
                  <c:v>51.441663317728896</c:v>
                </c:pt>
                <c:pt idx="3">
                  <c:v>65.156545634252396</c:v>
                </c:pt>
                <c:pt idx="4">
                  <c:v>73.800401510461171</c:v>
                </c:pt>
                <c:pt idx="5">
                  <c:v>85.701993432461677</c:v>
                </c:pt>
                <c:pt idx="6">
                  <c:v>92.845288135347545</c:v>
                </c:pt>
                <c:pt idx="7">
                  <c:v>94.148549819519189</c:v>
                </c:pt>
                <c:pt idx="8">
                  <c:v>95.650781841155137</c:v>
                </c:pt>
                <c:pt idx="9">
                  <c:v>99.999999999999773</c:v>
                </c:pt>
                <c:pt idx="10">
                  <c:v>99.999999999999773</c:v>
                </c:pt>
                <c:pt idx="11">
                  <c:v>99.999999999999773</c:v>
                </c:pt>
              </c:numCache>
            </c:numRef>
          </c:yVal>
          <c:smooth val="1"/>
          <c:extLst>
            <c:ext xmlns:c16="http://schemas.microsoft.com/office/drawing/2014/chart" uri="{C3380CC4-5D6E-409C-BE32-E72D297353CC}">
              <c16:uniqueId val="{00000006-383C-774E-BC42-4627FD8CA8DB}"/>
            </c:ext>
          </c:extLst>
        </c:ser>
        <c:ser>
          <c:idx val="10"/>
          <c:order val="7"/>
          <c:spPr>
            <a:ln w="9525" cap="rnd">
              <a:solidFill>
                <a:schemeClr val="accent6"/>
              </a:solidFill>
              <a:prstDash val="dash"/>
              <a:round/>
            </a:ln>
            <a:effectLst/>
          </c:spPr>
          <c:marker>
            <c:symbol val="none"/>
          </c:marker>
          <c:xVal>
            <c:numRef>
              <c:f>'10. Sample D Conf. Intervals'!$B$57:$B$68</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'10. Sample D Conf. Intervals'!$L$57:$L$68</c:f>
              <c:numCache>
                <c:formatCode>0.00</c:formatCode>
                <c:ptCount val="12"/>
                <c:pt idx="0">
                  <c:v>0</c:v>
                </c:pt>
                <c:pt idx="1">
                  <c:v>36.62599670390658</c:v>
                </c:pt>
                <c:pt idx="2">
                  <c:v>57.667354597608288</c:v>
                </c:pt>
                <c:pt idx="3">
                  <c:v>72.69213726629917</c:v>
                </c:pt>
                <c:pt idx="4">
                  <c:v>82.032601321550402</c:v>
                </c:pt>
                <c:pt idx="5">
                  <c:v>91.90355588232913</c:v>
                </c:pt>
                <c:pt idx="6">
                  <c:v>97.251254953896108</c:v>
                </c:pt>
                <c:pt idx="7">
                  <c:v>99.556874361766731</c:v>
                </c:pt>
                <c:pt idx="8">
                  <c:v>100.21522921651291</c:v>
                </c:pt>
                <c:pt idx="9">
                  <c:v>99.999999999999787</c:v>
                </c:pt>
                <c:pt idx="10">
                  <c:v>99.999999999999787</c:v>
                </c:pt>
                <c:pt idx="11">
                  <c:v>99.999999999999787</c:v>
                </c:pt>
              </c:numCache>
            </c:numRef>
          </c:yVal>
          <c:smooth val="1"/>
          <c:extLst>
            <c:ext xmlns:c16="http://schemas.microsoft.com/office/drawing/2014/chart" uri="{C3380CC4-5D6E-409C-BE32-E72D297353CC}">
              <c16:uniqueId val="{00000007-383C-774E-BC42-4627FD8CA8DB}"/>
            </c:ext>
          </c:extLst>
        </c:ser>
        <c:ser>
          <c:idx val="11"/>
          <c:order val="8"/>
          <c:spPr>
            <a:ln w="9525" cap="rnd">
              <a:solidFill>
                <a:schemeClr val="accent6"/>
              </a:solidFill>
              <a:prstDash val="dash"/>
              <a:round/>
            </a:ln>
            <a:effectLst/>
          </c:spPr>
          <c:marker>
            <c:symbol val="none"/>
          </c:marker>
          <c:xVal>
            <c:numRef>
              <c:f>'10. Sample D Conf. Intervals'!$B$57:$B$68</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'10. Sample D Conf. Intervals'!$K$57:$K$68</c:f>
              <c:numCache>
                <c:formatCode>0.00</c:formatCode>
                <c:ptCount val="12"/>
                <c:pt idx="0">
                  <c:v>0</c:v>
                </c:pt>
                <c:pt idx="1">
                  <c:v>31.407326130054617</c:v>
                </c:pt>
                <c:pt idx="2">
                  <c:v>45.215972037849504</c:v>
                </c:pt>
                <c:pt idx="3">
                  <c:v>57.620954002205622</c:v>
                </c:pt>
                <c:pt idx="4">
                  <c:v>65.56820169937194</c:v>
                </c:pt>
                <c:pt idx="5">
                  <c:v>79.500430982594224</c:v>
                </c:pt>
                <c:pt idx="6">
                  <c:v>88.439321316798981</c:v>
                </c:pt>
                <c:pt idx="7">
                  <c:v>88.740225277271648</c:v>
                </c:pt>
                <c:pt idx="8">
                  <c:v>91.086334465797364</c:v>
                </c:pt>
                <c:pt idx="9">
                  <c:v>99.999999999999758</c:v>
                </c:pt>
                <c:pt idx="10">
                  <c:v>99.999999999999758</c:v>
                </c:pt>
                <c:pt idx="11">
                  <c:v>99.999999999999758</c:v>
                </c:pt>
              </c:numCache>
            </c:numRef>
          </c:yVal>
          <c:smooth val="1"/>
          <c:extLst>
            <c:ext xmlns:c16="http://schemas.microsoft.com/office/drawing/2014/chart" uri="{C3380CC4-5D6E-409C-BE32-E72D297353CC}">
              <c16:uniqueId val="{00000008-383C-774E-BC42-4627FD8CA8DB}"/>
            </c:ext>
          </c:extLst>
        </c:ser>
        <c:ser>
          <c:idx val="12"/>
          <c:order val="9"/>
          <c:tx>
            <c:strRef>
              <c:f>'10. Sample D Conf. Intervals'!$A$69:$A$80</c:f>
              <c:strCache>
                <c:ptCount val="12"/>
                <c:pt idx="0">
                  <c:v>-425/+150</c:v>
                </c:pt>
              </c:strCache>
            </c:strRef>
          </c:tx>
          <c:spPr>
            <a:ln w="9525" cap="rnd">
              <a:solidFill>
                <a:schemeClr val="accent2"/>
              </a:solidFill>
              <a:round/>
            </a:ln>
            <a:effectLst/>
          </c:spPr>
          <c:marker>
            <c:symbol val="triangle"/>
            <c:size val="10"/>
            <c:spPr>
              <a:solidFill>
                <a:schemeClr val="accent2"/>
              </a:solidFill>
              <a:ln w="9525">
                <a:solidFill>
                  <a:schemeClr val="accent2"/>
                </a:solidFill>
                <a:round/>
              </a:ln>
              <a:effectLst/>
            </c:spPr>
          </c:marker>
          <c:xVal>
            <c:numRef>
              <c:f>'10. Sample D Conf. Intervals'!$B$69:$B$80</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'10. Sample D Conf. Intervals'!$F$69:$F$80</c:f>
              <c:numCache>
                <c:formatCode>0.00</c:formatCode>
                <c:ptCount val="12"/>
                <c:pt idx="0">
                  <c:v>0</c:v>
                </c:pt>
                <c:pt idx="1">
                  <c:v>29.8402353262742</c:v>
                </c:pt>
                <c:pt idx="2">
                  <c:v>43.572489839348499</c:v>
                </c:pt>
                <c:pt idx="3">
                  <c:v>50.673258519374386</c:v>
                </c:pt>
                <c:pt idx="4">
                  <c:v>61.798676331653283</c:v>
                </c:pt>
                <c:pt idx="5">
                  <c:v>69.160477589521065</c:v>
                </c:pt>
                <c:pt idx="6">
                  <c:v>80.890672669761472</c:v>
                </c:pt>
                <c:pt idx="7">
                  <c:v>80.890672669761472</c:v>
                </c:pt>
                <c:pt idx="8">
                  <c:v>91.896424652548973</c:v>
                </c:pt>
                <c:pt idx="9">
                  <c:v>91.896424652548973</c:v>
                </c:pt>
                <c:pt idx="10">
                  <c:v>100.0000000000001</c:v>
                </c:pt>
                <c:pt idx="11">
                  <c:v>100.0000000000001</c:v>
                </c:pt>
              </c:numCache>
            </c:numRef>
          </c:yVal>
          <c:smooth val="1"/>
          <c:extLst>
            <c:ext xmlns:c16="http://schemas.microsoft.com/office/drawing/2014/chart" uri="{C3380CC4-5D6E-409C-BE32-E72D297353CC}">
              <c16:uniqueId val="{00000009-383C-774E-BC42-4627FD8CA8DB}"/>
            </c:ext>
          </c:extLst>
        </c:ser>
        <c:ser>
          <c:idx val="13"/>
          <c:order val="10"/>
          <c:spPr>
            <a:ln w="9525" cap="rnd">
              <a:solidFill>
                <a:schemeClr val="accent2"/>
              </a:solidFill>
              <a:prstDash val="dash"/>
              <a:round/>
            </a:ln>
            <a:effectLst/>
          </c:spPr>
          <c:marker>
            <c:symbol val="none"/>
          </c:marker>
          <c:xVal>
            <c:numRef>
              <c:f>'10. Sample D Conf. Intervals'!$B$69:$B$80</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'10. Sample D Conf. Intervals'!$L$69:$L$80</c:f>
              <c:numCache>
                <c:formatCode>0.00</c:formatCode>
                <c:ptCount val="12"/>
                <c:pt idx="0">
                  <c:v>0</c:v>
                </c:pt>
                <c:pt idx="1">
                  <c:v>31.366853305716326</c:v>
                </c:pt>
                <c:pt idx="2">
                  <c:v>47.690709552107144</c:v>
                </c:pt>
                <c:pt idx="3">
                  <c:v>56.209473983076286</c:v>
                </c:pt>
                <c:pt idx="4">
                  <c:v>67.681009976520372</c:v>
                </c:pt>
                <c:pt idx="5">
                  <c:v>75.797591872912903</c:v>
                </c:pt>
                <c:pt idx="6">
                  <c:v>86.571521234779595</c:v>
                </c:pt>
                <c:pt idx="7">
                  <c:v>88.211029726363506</c:v>
                </c:pt>
                <c:pt idx="8">
                  <c:v>95.423085590845062</c:v>
                </c:pt>
                <c:pt idx="9">
                  <c:v>97.993505979744555</c:v>
                </c:pt>
                <c:pt idx="10">
                  <c:v>100.00000000000017</c:v>
                </c:pt>
                <c:pt idx="11">
                  <c:v>100.00000000000011</c:v>
                </c:pt>
              </c:numCache>
            </c:numRef>
          </c:yVal>
          <c:smooth val="1"/>
          <c:extLst>
            <c:ext xmlns:c16="http://schemas.microsoft.com/office/drawing/2014/chart" uri="{C3380CC4-5D6E-409C-BE32-E72D297353CC}">
              <c16:uniqueId val="{0000000A-383C-774E-BC42-4627FD8CA8DB}"/>
            </c:ext>
          </c:extLst>
        </c:ser>
        <c:ser>
          <c:idx val="14"/>
          <c:order val="11"/>
          <c:tx>
            <c:v>-425/+150 CLL</c:v>
          </c:tx>
          <c:spPr>
            <a:ln w="9525" cap="rnd">
              <a:solidFill>
                <a:schemeClr val="accent2"/>
              </a:solidFill>
              <a:prstDash val="dash"/>
              <a:round/>
            </a:ln>
            <a:effectLst/>
          </c:spPr>
          <c:marker>
            <c:symbol val="none"/>
          </c:marker>
          <c:xVal>
            <c:numRef>
              <c:f>'10. Sample D Conf. Intervals'!$B$69:$B$80</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'10. Sample D Conf. Intervals'!$K$69:$K$80</c:f>
              <c:numCache>
                <c:formatCode>0.00</c:formatCode>
                <c:ptCount val="12"/>
                <c:pt idx="0">
                  <c:v>0</c:v>
                </c:pt>
                <c:pt idx="1">
                  <c:v>28.313617346832075</c:v>
                </c:pt>
                <c:pt idx="2">
                  <c:v>39.454270126589854</c:v>
                </c:pt>
                <c:pt idx="3">
                  <c:v>45.137043055672486</c:v>
                </c:pt>
                <c:pt idx="4">
                  <c:v>55.916342686786187</c:v>
                </c:pt>
                <c:pt idx="5">
                  <c:v>62.523363306129227</c:v>
                </c:pt>
                <c:pt idx="6">
                  <c:v>75.209824104743348</c:v>
                </c:pt>
                <c:pt idx="7">
                  <c:v>73.570315613159437</c:v>
                </c:pt>
                <c:pt idx="8">
                  <c:v>88.369763714252883</c:v>
                </c:pt>
                <c:pt idx="9">
                  <c:v>85.799343325353391</c:v>
                </c:pt>
                <c:pt idx="10">
                  <c:v>100.00000000000003</c:v>
                </c:pt>
                <c:pt idx="11">
                  <c:v>100.00000000000009</c:v>
                </c:pt>
              </c:numCache>
            </c:numRef>
          </c:yVal>
          <c:smooth val="1"/>
          <c:extLst>
            <c:ext xmlns:c16="http://schemas.microsoft.com/office/drawing/2014/chart" uri="{C3380CC4-5D6E-409C-BE32-E72D297353CC}">
              <c16:uniqueId val="{0000000B-383C-774E-BC42-4627FD8CA8DB}"/>
            </c:ext>
          </c:extLst>
        </c:ser>
        <c:ser>
          <c:idx val="15"/>
          <c:order val="12"/>
          <c:tx>
            <c:strRef>
              <c:f>'10. Sample D Conf. Intervals'!$A$81:$A$92</c:f>
              <c:strCache>
                <c:ptCount val="12"/>
                <c:pt idx="0">
                  <c:v>-150/+0</c:v>
                </c:pt>
              </c:strCache>
            </c:strRef>
          </c:tx>
          <c:spPr>
            <a:ln w="9525" cap="rnd">
              <a:solidFill>
                <a:schemeClr val="tx1"/>
              </a:solidFill>
              <a:round/>
            </a:ln>
            <a:effectLst/>
          </c:spPr>
          <c:marker>
            <c:symbol val="x"/>
            <c:size val="10"/>
            <c:spPr>
              <a:noFill/>
              <a:ln w="19050">
                <a:solidFill>
                  <a:schemeClr val="tx1"/>
                </a:solidFill>
                <a:round/>
              </a:ln>
              <a:effectLst/>
            </c:spPr>
          </c:marker>
          <c:xVal>
            <c:numRef>
              <c:f>'10. Sample D Conf. Intervals'!$B$81:$B$92</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'10. Sample D Conf. Intervals'!$F$81:$F$92</c:f>
              <c:numCache>
                <c:formatCode>0.00</c:formatCode>
                <c:ptCount val="12"/>
                <c:pt idx="0">
                  <c:v>0</c:v>
                </c:pt>
                <c:pt idx="1">
                  <c:v>6.4104384518194202</c:v>
                </c:pt>
                <c:pt idx="2">
                  <c:v>11.98136638073956</c:v>
                </c:pt>
                <c:pt idx="3">
                  <c:v>15.51715568143676</c:v>
                </c:pt>
                <c:pt idx="4">
                  <c:v>19.988985127204089</c:v>
                </c:pt>
                <c:pt idx="5">
                  <c:v>24.832287218643568</c:v>
                </c:pt>
                <c:pt idx="6">
                  <c:v>29.032368099424609</c:v>
                </c:pt>
                <c:pt idx="7">
                  <c:v>34.839504944091857</c:v>
                </c:pt>
                <c:pt idx="8">
                  <c:v>41.266998807258879</c:v>
                </c:pt>
                <c:pt idx="9">
                  <c:v>52.452120067003676</c:v>
                </c:pt>
                <c:pt idx="10">
                  <c:v>74.118221137947572</c:v>
                </c:pt>
                <c:pt idx="11">
                  <c:v>99.999999999987068</c:v>
                </c:pt>
              </c:numCache>
            </c:numRef>
          </c:yVal>
          <c:smooth val="1"/>
          <c:extLst>
            <c:ext xmlns:c16="http://schemas.microsoft.com/office/drawing/2014/chart" uri="{C3380CC4-5D6E-409C-BE32-E72D297353CC}">
              <c16:uniqueId val="{0000000C-383C-774E-BC42-4627FD8CA8DB}"/>
            </c:ext>
          </c:extLst>
        </c:ser>
        <c:ser>
          <c:idx val="16"/>
          <c:order val="13"/>
          <c:tx>
            <c:v>-150/+0 CLU</c:v>
          </c:tx>
          <c:spPr>
            <a:ln w="9525" cap="rnd">
              <a:solidFill>
                <a:schemeClr val="tx1">
                  <a:alpha val="88000"/>
                </a:schemeClr>
              </a:solidFill>
              <a:prstDash val="dash"/>
              <a:round/>
            </a:ln>
            <a:effectLst/>
          </c:spPr>
          <c:marker>
            <c:symbol val="none"/>
          </c:marker>
          <c:xVal>
            <c:numRef>
              <c:f>'10. Sample D Conf. Intervals'!$B$81:$B$92</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'10. Sample D Conf. Intervals'!$L$81:$L$92</c:f>
              <c:numCache>
                <c:formatCode>0.00</c:formatCode>
                <c:ptCount val="12"/>
                <c:pt idx="0">
                  <c:v>0</c:v>
                </c:pt>
                <c:pt idx="1">
                  <c:v>6.5232276577226678</c:v>
                </c:pt>
                <c:pt idx="2">
                  <c:v>12.192478673866946</c:v>
                </c:pt>
                <c:pt idx="3">
                  <c:v>15.792198379270081</c:v>
                </c:pt>
                <c:pt idx="4">
                  <c:v>20.333138629736805</c:v>
                </c:pt>
                <c:pt idx="5">
                  <c:v>25.249018718276456</c:v>
                </c:pt>
                <c:pt idx="6">
                  <c:v>29.496221090021418</c:v>
                </c:pt>
                <c:pt idx="7">
                  <c:v>35.354480267738509</c:v>
                </c:pt>
                <c:pt idx="8">
                  <c:v>41.831595449420526</c:v>
                </c:pt>
                <c:pt idx="9">
                  <c:v>52.45212006700369</c:v>
                </c:pt>
                <c:pt idx="10">
                  <c:v>74.118221137947586</c:v>
                </c:pt>
                <c:pt idx="11">
                  <c:v>99.999999999987082</c:v>
                </c:pt>
              </c:numCache>
            </c:numRef>
          </c:yVal>
          <c:smooth val="1"/>
          <c:extLst>
            <c:ext xmlns:c16="http://schemas.microsoft.com/office/drawing/2014/chart" uri="{C3380CC4-5D6E-409C-BE32-E72D297353CC}">
              <c16:uniqueId val="{0000000D-383C-774E-BC42-4627FD8CA8DB}"/>
            </c:ext>
          </c:extLst>
        </c:ser>
        <c:ser>
          <c:idx val="17"/>
          <c:order val="14"/>
          <c:tx>
            <c:v>-150/+0 CLL</c:v>
          </c:tx>
          <c:spPr>
            <a:ln w="9525" cap="rnd">
              <a:solidFill>
                <a:schemeClr val="tx1"/>
              </a:solidFill>
              <a:prstDash val="dash"/>
              <a:round/>
            </a:ln>
            <a:effectLst/>
          </c:spPr>
          <c:marker>
            <c:symbol val="none"/>
          </c:marker>
          <c:xVal>
            <c:numRef>
              <c:f>'10. Sample D Conf. Intervals'!$B$81:$B$92</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'10. Sample D Conf. Intervals'!$K$81:$K$92</c:f>
              <c:numCache>
                <c:formatCode>0.00</c:formatCode>
                <c:ptCount val="12"/>
                <c:pt idx="0">
                  <c:v>0</c:v>
                </c:pt>
                <c:pt idx="1">
                  <c:v>6.2976492459161726</c:v>
                </c:pt>
                <c:pt idx="2">
                  <c:v>11.770254087612175</c:v>
                </c:pt>
                <c:pt idx="3">
                  <c:v>15.242112983603439</c:v>
                </c:pt>
                <c:pt idx="4">
                  <c:v>19.644831624671372</c:v>
                </c:pt>
                <c:pt idx="5">
                  <c:v>24.41555571901068</c:v>
                </c:pt>
                <c:pt idx="6">
                  <c:v>28.5685151088278</c:v>
                </c:pt>
                <c:pt idx="7">
                  <c:v>34.324529620445205</c:v>
                </c:pt>
                <c:pt idx="8">
                  <c:v>40.702402165097233</c:v>
                </c:pt>
                <c:pt idx="9">
                  <c:v>52.452120067003662</c:v>
                </c:pt>
                <c:pt idx="10">
                  <c:v>74.118221137947558</c:v>
                </c:pt>
                <c:pt idx="11">
                  <c:v>99.999999999987054</c:v>
                </c:pt>
              </c:numCache>
            </c:numRef>
          </c:yVal>
          <c:smooth val="1"/>
          <c:extLst>
            <c:ext xmlns:c16="http://schemas.microsoft.com/office/drawing/2014/chart" uri="{C3380CC4-5D6E-409C-BE32-E72D297353CC}">
              <c16:uniqueId val="{0000000E-383C-774E-BC42-4627FD8CA8DB}"/>
            </c:ext>
          </c:extLst>
        </c:ser>
        <c:dLbls>
          <c:showLegendKey val="0"/>
          <c:showVal val="0"/>
          <c:showCatName val="0"/>
          <c:showSerName val="0"/>
          <c:showPercent val="0"/>
          <c:showBubbleSize val="0"/>
        </c:dLbls>
        <c:axId val="182050152"/>
        <c:axId val="130788960"/>
      </c:scatterChart>
      <c:valAx>
        <c:axId val="182050152"/>
        <c:scaling>
          <c:orientation val="minMax"/>
          <c:max val="100"/>
        </c:scaling>
        <c:delete val="0"/>
        <c:axPos val="b"/>
        <c:title>
          <c:tx>
            <c:rich>
              <a:bodyPr rot="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Lberation class (% liberation)</a:t>
                </a:r>
              </a:p>
            </c:rich>
          </c:tx>
          <c:overlay val="0"/>
          <c:spPr>
            <a:noFill/>
            <a:ln>
              <a:noFill/>
            </a:ln>
            <a:effectLst/>
          </c:spPr>
          <c:txPr>
            <a:bodyPr rot="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 sourceLinked="0"/>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30788960"/>
        <c:crosses val="autoZero"/>
        <c:crossBetween val="midCat"/>
      </c:valAx>
      <c:valAx>
        <c:axId val="130788960"/>
        <c:scaling>
          <c:orientation val="minMax"/>
          <c:max val="100"/>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ZA"/>
                  <a:t>Cumulative Fe-sulfide content %</a:t>
                </a:r>
              </a:p>
            </c:rich>
          </c:tx>
          <c:overlay val="0"/>
          <c:spPr>
            <a:noFill/>
            <a:ln>
              <a:noFill/>
            </a:ln>
            <a:effectLst/>
          </c:spPr>
          <c:txPr>
            <a:bodyPr rot="-54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 sourceLinked="0"/>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82050152"/>
        <c:crosses val="autoZero"/>
        <c:crossBetween val="midCat"/>
      </c:valAx>
      <c:spPr>
        <a:noFill/>
        <a:ln>
          <a:noFill/>
        </a:ln>
        <a:effectLst/>
      </c:spPr>
    </c:plotArea>
    <c:legend>
      <c:legendPos val="b"/>
      <c:legendEntry>
        <c:idx val="1"/>
        <c:delete val="1"/>
      </c:legendEntry>
      <c:legendEntry>
        <c:idx val="2"/>
        <c:delete val="1"/>
      </c:legendEntry>
      <c:legendEntry>
        <c:idx val="4"/>
        <c:delete val="1"/>
      </c:legendEntry>
      <c:legendEntry>
        <c:idx val="5"/>
        <c:delete val="1"/>
      </c:legendEntry>
      <c:legendEntry>
        <c:idx val="7"/>
        <c:delete val="1"/>
      </c:legendEntry>
      <c:legendEntry>
        <c:idx val="8"/>
        <c:delete val="1"/>
      </c:legendEntry>
      <c:legendEntry>
        <c:idx val="10"/>
        <c:delete val="1"/>
      </c:legendEntry>
      <c:legendEntry>
        <c:idx val="11"/>
        <c:delete val="1"/>
      </c:legendEntry>
      <c:legendEntry>
        <c:idx val="13"/>
        <c:delete val="1"/>
      </c:legendEntry>
      <c:legendEntry>
        <c:idx val="14"/>
        <c:delete val="1"/>
      </c:legendEntry>
      <c:layout>
        <c:manualLayout>
          <c:xMode val="edge"/>
          <c:yMode val="edge"/>
          <c:x val="1.9173564235624621E-2"/>
          <c:y val="0.93402409341525094"/>
          <c:w val="0.96165287152875079"/>
          <c:h val="6.5975906584749069E-2"/>
        </c:manualLayout>
      </c:layout>
      <c:overlay val="0"/>
      <c:spPr>
        <a:noFill/>
        <a:ln>
          <a:noFill/>
        </a:ln>
        <a:effectLst/>
      </c:spPr>
      <c:txPr>
        <a:bodyPr rot="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600" b="0">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92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r>
              <a:rPr lang="en-GB"/>
              <a:t>Variation of the total error (σ</a:t>
            </a:r>
            <a:r>
              <a:rPr lang="en-GB" baseline="-25000"/>
              <a:t>t</a:t>
            </a:r>
            <a:r>
              <a:rPr lang="en-GB"/>
              <a:t>) with grade (a) </a:t>
            </a:r>
          </a:p>
        </c:rich>
      </c:tx>
      <c:overlay val="0"/>
      <c:spPr>
        <a:noFill/>
        <a:ln>
          <a:noFill/>
        </a:ln>
        <a:effectLst/>
      </c:spPr>
      <c:txPr>
        <a:bodyPr rot="0" spcFirstLastPara="1" vertOverflow="ellipsis" vert="horz" wrap="square" anchor="ctr" anchorCtr="1"/>
        <a:lstStyle/>
        <a:p>
          <a:pPr>
            <a:defRPr sz="192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scatterChart>
        <c:scatterStyle val="smoothMarker"/>
        <c:varyColors val="0"/>
        <c:ser>
          <c:idx val="0"/>
          <c:order val="0"/>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'3. Troubleshooting the Error'!$C$12:$C$16</c:f>
              <c:numCache>
                <c:formatCode>0.00%</c:formatCode>
                <c:ptCount val="5"/>
                <c:pt idx="0" formatCode="0%">
                  <c:v>0.01</c:v>
                </c:pt>
                <c:pt idx="1">
                  <c:v>2.5000000000000001E-2</c:v>
                </c:pt>
                <c:pt idx="2" formatCode="0%">
                  <c:v>0.05</c:v>
                </c:pt>
                <c:pt idx="3" formatCode="0%">
                  <c:v>0.1</c:v>
                </c:pt>
                <c:pt idx="4" formatCode="0%">
                  <c:v>0.15</c:v>
                </c:pt>
              </c:numCache>
            </c:numRef>
          </c:xVal>
          <c:yVal>
            <c:numRef>
              <c:f>'3. Troubleshooting the Error'!$AA$12:$AA$16</c:f>
              <c:numCache>
                <c:formatCode>0.00%</c:formatCode>
                <c:ptCount val="5"/>
                <c:pt idx="0">
                  <c:v>0.15924462180450494</c:v>
                </c:pt>
                <c:pt idx="1">
                  <c:v>0.10041130498895631</c:v>
                </c:pt>
                <c:pt idx="2">
                  <c:v>7.0653125901872019E-2</c:v>
                </c:pt>
                <c:pt idx="3">
                  <c:v>4.9492748446502609E-2</c:v>
                </c:pt>
                <c:pt idx="4">
                  <c:v>4.0058846517106485E-2</c:v>
                </c:pt>
              </c:numCache>
            </c:numRef>
          </c:yVal>
          <c:smooth val="1"/>
          <c:extLst>
            <c:ext xmlns:c16="http://schemas.microsoft.com/office/drawing/2014/chart" uri="{C3380CC4-5D6E-409C-BE32-E72D297353CC}">
              <c16:uniqueId val="{00000000-320A-0348-B848-A681D1359D31}"/>
            </c:ext>
          </c:extLst>
        </c:ser>
        <c:dLbls>
          <c:showLegendKey val="0"/>
          <c:showVal val="0"/>
          <c:showCatName val="0"/>
          <c:showSerName val="0"/>
          <c:showPercent val="0"/>
          <c:showBubbleSize val="0"/>
        </c:dLbls>
        <c:axId val="1700238672"/>
        <c:axId val="1696199968"/>
      </c:scatterChart>
      <c:valAx>
        <c:axId val="170023867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GB"/>
                  <a:t>a (%)</a:t>
                </a:r>
                <a:endParaRPr lang="en-GB" baseline="-25000"/>
              </a:p>
            </c:rich>
          </c:tx>
          <c:overlay val="0"/>
          <c:spPr>
            <a:noFill/>
            <a:ln>
              <a:noFill/>
            </a:ln>
            <a:effectLst/>
          </c:spPr>
          <c:txPr>
            <a:bodyPr rot="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696199968"/>
        <c:crosses val="autoZero"/>
        <c:crossBetween val="midCat"/>
      </c:valAx>
      <c:valAx>
        <c:axId val="169619996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GB"/>
                  <a:t>σ</a:t>
                </a:r>
                <a:r>
                  <a:rPr lang="en-GB" baseline="-25000"/>
                  <a:t>t</a:t>
                </a:r>
              </a:p>
            </c:rich>
          </c:tx>
          <c:overlay val="0"/>
          <c:spPr>
            <a:noFill/>
            <a:ln>
              <a:noFill/>
            </a:ln>
            <a:effectLst/>
          </c:spPr>
          <c:txPr>
            <a:bodyPr rot="-54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700238672"/>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600">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92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r>
              <a:rPr lang="en-GB"/>
              <a:t>Variation of the total error (σ</a:t>
            </a:r>
            <a:r>
              <a:rPr lang="en-GB" baseline="-25000"/>
              <a:t>t</a:t>
            </a:r>
            <a:r>
              <a:rPr lang="en-GB"/>
              <a:t>) with the number of blocks assessed at different values of a</a:t>
            </a:r>
          </a:p>
        </c:rich>
      </c:tx>
      <c:overlay val="0"/>
      <c:spPr>
        <a:noFill/>
        <a:ln>
          <a:noFill/>
        </a:ln>
        <a:effectLst/>
      </c:spPr>
      <c:txPr>
        <a:bodyPr rot="0" spcFirstLastPara="1" vertOverflow="ellipsis" vert="horz" wrap="square" anchor="ctr" anchorCtr="1"/>
        <a:lstStyle/>
        <a:p>
          <a:pPr>
            <a:defRPr sz="192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scatterChart>
        <c:scatterStyle val="smoothMarker"/>
        <c:varyColors val="0"/>
        <c:ser>
          <c:idx val="0"/>
          <c:order val="0"/>
          <c:tx>
            <c:v>a = 1%</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'3. Troubleshooting the Error'!$C$19:$C$23</c:f>
              <c:numCache>
                <c:formatCode>General</c:formatCode>
                <c:ptCount val="5"/>
                <c:pt idx="0">
                  <c:v>1</c:v>
                </c:pt>
                <c:pt idx="1">
                  <c:v>2</c:v>
                </c:pt>
                <c:pt idx="2">
                  <c:v>3</c:v>
                </c:pt>
                <c:pt idx="3">
                  <c:v>4</c:v>
                </c:pt>
                <c:pt idx="4">
                  <c:v>5</c:v>
                </c:pt>
              </c:numCache>
            </c:numRef>
          </c:xVal>
          <c:yVal>
            <c:numRef>
              <c:f>'3. Troubleshooting the Error'!$AA$19:$AA$23</c:f>
              <c:numCache>
                <c:formatCode>0.00%</c:formatCode>
                <c:ptCount val="5"/>
                <c:pt idx="0">
                  <c:v>0.22816762441896279</c:v>
                </c:pt>
                <c:pt idx="1">
                  <c:v>0.16004386042188168</c:v>
                </c:pt>
                <c:pt idx="2">
                  <c:v>0.12960926433189118</c:v>
                </c:pt>
                <c:pt idx="3">
                  <c:v>0.11131407580181261</c:v>
                </c:pt>
                <c:pt idx="4">
                  <c:v>9.8722746690852722E-2</c:v>
                </c:pt>
              </c:numCache>
            </c:numRef>
          </c:yVal>
          <c:smooth val="1"/>
          <c:extLst>
            <c:ext xmlns:c16="http://schemas.microsoft.com/office/drawing/2014/chart" uri="{C3380CC4-5D6E-409C-BE32-E72D297353CC}">
              <c16:uniqueId val="{00000000-AC6B-884C-82BC-DBEE8523BC48}"/>
            </c:ext>
          </c:extLst>
        </c:ser>
        <c:ser>
          <c:idx val="1"/>
          <c:order val="1"/>
          <c:tx>
            <c:v>a = 2.5%</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'3. Troubleshooting the Error'!$C$26:$C$30</c:f>
              <c:numCache>
                <c:formatCode>General</c:formatCode>
                <c:ptCount val="5"/>
                <c:pt idx="0">
                  <c:v>1</c:v>
                </c:pt>
                <c:pt idx="1">
                  <c:v>2</c:v>
                </c:pt>
                <c:pt idx="2">
                  <c:v>3</c:v>
                </c:pt>
                <c:pt idx="3">
                  <c:v>4</c:v>
                </c:pt>
                <c:pt idx="4">
                  <c:v>5</c:v>
                </c:pt>
              </c:numCache>
            </c:numRef>
          </c:xVal>
          <c:yVal>
            <c:numRef>
              <c:f>'3. Troubleshooting the Error'!$AA$26:$AA$30</c:f>
              <c:numCache>
                <c:formatCode>0.00%</c:formatCode>
                <c:ptCount val="5"/>
                <c:pt idx="0">
                  <c:v>0.14421284072734697</c:v>
                </c:pt>
                <c:pt idx="1">
                  <c:v>0.1011705392851536</c:v>
                </c:pt>
                <c:pt idx="2">
                  <c:v>8.1944226248394272E-2</c:v>
                </c:pt>
                <c:pt idx="3">
                  <c:v>7.0388531122247744E-2</c:v>
                </c:pt>
                <c:pt idx="4">
                  <c:v>6.2436838264020092E-2</c:v>
                </c:pt>
              </c:numCache>
            </c:numRef>
          </c:yVal>
          <c:smooth val="1"/>
          <c:extLst>
            <c:ext xmlns:c16="http://schemas.microsoft.com/office/drawing/2014/chart" uri="{C3380CC4-5D6E-409C-BE32-E72D297353CC}">
              <c16:uniqueId val="{00000001-AC6B-884C-82BC-DBEE8523BC48}"/>
            </c:ext>
          </c:extLst>
        </c:ser>
        <c:ser>
          <c:idx val="2"/>
          <c:order val="2"/>
          <c:tx>
            <c:v>a = 5%</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'3. Troubleshooting the Error'!$C$33:$C$37</c:f>
              <c:numCache>
                <c:formatCode>General</c:formatCode>
                <c:ptCount val="5"/>
                <c:pt idx="0">
                  <c:v>1</c:v>
                </c:pt>
                <c:pt idx="1">
                  <c:v>2</c:v>
                </c:pt>
                <c:pt idx="2">
                  <c:v>3</c:v>
                </c:pt>
                <c:pt idx="3">
                  <c:v>4</c:v>
                </c:pt>
                <c:pt idx="4">
                  <c:v>5</c:v>
                </c:pt>
              </c:numCache>
            </c:numRef>
          </c:xVal>
          <c:yVal>
            <c:numRef>
              <c:f>'3. Troubleshooting the Error'!$AA$33:$AA$37</c:f>
              <c:numCache>
                <c:formatCode>0.00%</c:formatCode>
                <c:ptCount val="5"/>
                <c:pt idx="0">
                  <c:v>0.10187994813306603</c:v>
                </c:pt>
                <c:pt idx="1">
                  <c:v>7.14903908924297E-2</c:v>
                </c:pt>
                <c:pt idx="2">
                  <c:v>5.7919427161685452E-2</c:v>
                </c:pt>
                <c:pt idx="3">
                  <c:v>4.9764968292268431E-2</c:v>
                </c:pt>
                <c:pt idx="4">
                  <c:v>4.4155263389160058E-2</c:v>
                </c:pt>
              </c:numCache>
            </c:numRef>
          </c:yVal>
          <c:smooth val="1"/>
          <c:extLst>
            <c:ext xmlns:c16="http://schemas.microsoft.com/office/drawing/2014/chart" uri="{C3380CC4-5D6E-409C-BE32-E72D297353CC}">
              <c16:uniqueId val="{00000002-AC6B-884C-82BC-DBEE8523BC48}"/>
            </c:ext>
          </c:extLst>
        </c:ser>
        <c:ser>
          <c:idx val="3"/>
          <c:order val="3"/>
          <c:tx>
            <c:v>a = 10%</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'3. Troubleshooting the Error'!$C$40:$C$44</c:f>
              <c:numCache>
                <c:formatCode>General</c:formatCode>
                <c:ptCount val="5"/>
                <c:pt idx="0">
                  <c:v>1</c:v>
                </c:pt>
                <c:pt idx="1">
                  <c:v>2</c:v>
                </c:pt>
                <c:pt idx="2">
                  <c:v>3</c:v>
                </c:pt>
                <c:pt idx="3">
                  <c:v>4</c:v>
                </c:pt>
                <c:pt idx="4">
                  <c:v>5</c:v>
                </c:pt>
              </c:numCache>
            </c:numRef>
          </c:xVal>
          <c:yVal>
            <c:numRef>
              <c:f>'3. Troubleshooting the Error'!$AA$40:$AA$44</c:f>
              <c:numCache>
                <c:formatCode>0.00%</c:formatCode>
                <c:ptCount val="5"/>
                <c:pt idx="0">
                  <c:v>7.1948962190599833E-2</c:v>
                </c:pt>
                <c:pt idx="1">
                  <c:v>5.0512827034869395E-2</c:v>
                </c:pt>
                <c:pt idx="2">
                  <c:v>4.0945205742610714E-2</c:v>
                </c:pt>
                <c:pt idx="3">
                  <c:v>3.5199317641536255E-2</c:v>
                </c:pt>
                <c:pt idx="4">
                  <c:v>3.1248699427412849E-2</c:v>
                </c:pt>
              </c:numCache>
            </c:numRef>
          </c:yVal>
          <c:smooth val="1"/>
          <c:extLst>
            <c:ext xmlns:c16="http://schemas.microsoft.com/office/drawing/2014/chart" uri="{C3380CC4-5D6E-409C-BE32-E72D297353CC}">
              <c16:uniqueId val="{00000003-AC6B-884C-82BC-DBEE8523BC48}"/>
            </c:ext>
          </c:extLst>
        </c:ser>
        <c:ser>
          <c:idx val="4"/>
          <c:order val="4"/>
          <c:tx>
            <c:v>a = 15%</c:v>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f>'3. Troubleshooting the Error'!$C$47:$C$51</c:f>
              <c:numCache>
                <c:formatCode>General</c:formatCode>
                <c:ptCount val="5"/>
                <c:pt idx="0">
                  <c:v>1</c:v>
                </c:pt>
                <c:pt idx="1">
                  <c:v>2</c:v>
                </c:pt>
                <c:pt idx="2">
                  <c:v>3</c:v>
                </c:pt>
                <c:pt idx="3">
                  <c:v>4</c:v>
                </c:pt>
                <c:pt idx="4">
                  <c:v>5</c:v>
                </c:pt>
              </c:numCache>
            </c:numRef>
          </c:xVal>
          <c:yVal>
            <c:numRef>
              <c:f>'3. Troubleshooting the Error'!$AA$47:$AA$51</c:f>
              <c:numCache>
                <c:formatCode>0.00%</c:formatCode>
                <c:ptCount val="5"/>
                <c:pt idx="0">
                  <c:v>5.8717382865107477E-2</c:v>
                </c:pt>
                <c:pt idx="1">
                  <c:v>4.1244105476219851E-2</c:v>
                </c:pt>
                <c:pt idx="2">
                  <c:v>3.3449334301330909E-2</c:v>
                </c:pt>
                <c:pt idx="3">
                  <c:v>2.8770624420344348E-2</c:v>
                </c:pt>
                <c:pt idx="4">
                  <c:v>2.5555495458650525E-2</c:v>
                </c:pt>
              </c:numCache>
            </c:numRef>
          </c:yVal>
          <c:smooth val="1"/>
          <c:extLst>
            <c:ext xmlns:c16="http://schemas.microsoft.com/office/drawing/2014/chart" uri="{C3380CC4-5D6E-409C-BE32-E72D297353CC}">
              <c16:uniqueId val="{00000004-AC6B-884C-82BC-DBEE8523BC48}"/>
            </c:ext>
          </c:extLst>
        </c:ser>
        <c:dLbls>
          <c:showLegendKey val="0"/>
          <c:showVal val="0"/>
          <c:showCatName val="0"/>
          <c:showSerName val="0"/>
          <c:showPercent val="0"/>
          <c:showBubbleSize val="0"/>
        </c:dLbls>
        <c:axId val="1700238672"/>
        <c:axId val="1696199968"/>
      </c:scatterChart>
      <c:valAx>
        <c:axId val="170023867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GB"/>
                  <a:t>Number of sample blocks</a:t>
                </a:r>
                <a:endParaRPr lang="en-GB" baseline="-25000"/>
              </a:p>
            </c:rich>
          </c:tx>
          <c:overlay val="0"/>
          <c:spPr>
            <a:noFill/>
            <a:ln>
              <a:noFill/>
            </a:ln>
            <a:effectLst/>
          </c:spPr>
          <c:txPr>
            <a:bodyPr rot="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696199968"/>
        <c:crosses val="autoZero"/>
        <c:crossBetween val="midCat"/>
      </c:valAx>
      <c:valAx>
        <c:axId val="169619996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GB"/>
                  <a:t>σ</a:t>
                </a:r>
                <a:r>
                  <a:rPr lang="en-GB" baseline="-25000"/>
                  <a:t>t</a:t>
                </a:r>
              </a:p>
            </c:rich>
          </c:tx>
          <c:overlay val="0"/>
          <c:spPr>
            <a:noFill/>
            <a:ln>
              <a:noFill/>
            </a:ln>
            <a:effectLst/>
          </c:spPr>
          <c:txPr>
            <a:bodyPr rot="-54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700238672"/>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600">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92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r>
              <a:rPr lang="en-GB"/>
              <a:t>Variation of the total error (σ</a:t>
            </a:r>
            <a:r>
              <a:rPr lang="en-GB" baseline="-25000"/>
              <a:t>t</a:t>
            </a:r>
            <a:r>
              <a:rPr lang="en-GB"/>
              <a:t>) with the number of blocks assessed for samples A, B, C and D</a:t>
            </a:r>
          </a:p>
        </c:rich>
      </c:tx>
      <c:overlay val="0"/>
      <c:spPr>
        <a:noFill/>
        <a:ln>
          <a:noFill/>
        </a:ln>
        <a:effectLst/>
      </c:spPr>
      <c:txPr>
        <a:bodyPr rot="0" spcFirstLastPara="1" vertOverflow="ellipsis" vert="horz" wrap="square" anchor="ctr" anchorCtr="1"/>
        <a:lstStyle/>
        <a:p>
          <a:pPr>
            <a:defRPr sz="192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scatterChart>
        <c:scatterStyle val="smoothMarker"/>
        <c:varyColors val="0"/>
        <c:ser>
          <c:idx val="0"/>
          <c:order val="0"/>
          <c:tx>
            <c:v>Sample A</c:v>
          </c:tx>
          <c:spPr>
            <a:ln w="19050" cap="rnd">
              <a:solidFill>
                <a:schemeClr val="accent1"/>
              </a:solidFill>
              <a:round/>
            </a:ln>
            <a:effectLst/>
          </c:spPr>
          <c:marker>
            <c:symbol val="triangle"/>
            <c:size val="10"/>
            <c:spPr>
              <a:solidFill>
                <a:schemeClr val="accent1"/>
              </a:solidFill>
              <a:ln w="9525">
                <a:noFill/>
              </a:ln>
              <a:effectLst/>
            </c:spPr>
          </c:marker>
          <c:xVal>
            <c:numRef>
              <c:f>'3. Troubleshooting the Error'!$C$53:$C$54</c:f>
              <c:numCache>
                <c:formatCode>General</c:formatCode>
                <c:ptCount val="2"/>
                <c:pt idx="0">
                  <c:v>1</c:v>
                </c:pt>
                <c:pt idx="1">
                  <c:v>2</c:v>
                </c:pt>
              </c:numCache>
            </c:numRef>
          </c:xVal>
          <c:yVal>
            <c:numRef>
              <c:f>'3. Troubleshooting the Error'!$AA$53:$AA$54</c:f>
              <c:numCache>
                <c:formatCode>0.00%</c:formatCode>
                <c:ptCount val="2"/>
                <c:pt idx="0">
                  <c:v>9.5205964116322914E-2</c:v>
                </c:pt>
                <c:pt idx="1">
                  <c:v>6.6817422595449094E-2</c:v>
                </c:pt>
              </c:numCache>
            </c:numRef>
          </c:yVal>
          <c:smooth val="1"/>
          <c:extLst>
            <c:ext xmlns:c16="http://schemas.microsoft.com/office/drawing/2014/chart" uri="{C3380CC4-5D6E-409C-BE32-E72D297353CC}">
              <c16:uniqueId val="{00000000-1335-7945-A8AF-9EFB2FFC6836}"/>
            </c:ext>
          </c:extLst>
        </c:ser>
        <c:ser>
          <c:idx val="1"/>
          <c:order val="1"/>
          <c:tx>
            <c:v>Sample B</c:v>
          </c:tx>
          <c:spPr>
            <a:ln w="19050" cap="rnd">
              <a:solidFill>
                <a:schemeClr val="accent2"/>
              </a:solidFill>
              <a:round/>
            </a:ln>
            <a:effectLst/>
          </c:spPr>
          <c:marker>
            <c:symbol val="circle"/>
            <c:size val="10"/>
            <c:spPr>
              <a:solidFill>
                <a:schemeClr val="accent2"/>
              </a:solidFill>
              <a:ln w="9525">
                <a:noFill/>
              </a:ln>
              <a:effectLst/>
            </c:spPr>
          </c:marker>
          <c:xVal>
            <c:numRef>
              <c:f>'3. Troubleshooting the Error'!$C$55:$C$57</c:f>
              <c:numCache>
                <c:formatCode>General</c:formatCode>
                <c:ptCount val="3"/>
                <c:pt idx="0">
                  <c:v>1</c:v>
                </c:pt>
                <c:pt idx="1">
                  <c:v>2</c:v>
                </c:pt>
                <c:pt idx="2">
                  <c:v>3</c:v>
                </c:pt>
              </c:numCache>
            </c:numRef>
          </c:xVal>
          <c:yVal>
            <c:numRef>
              <c:f>'3. Troubleshooting the Error'!$AA$55:$AA$57</c:f>
              <c:numCache>
                <c:formatCode>0.00%</c:formatCode>
                <c:ptCount val="3"/>
                <c:pt idx="0">
                  <c:v>7.0826080040940459E-2</c:v>
                </c:pt>
                <c:pt idx="1">
                  <c:v>5.0608985345497667E-2</c:v>
                </c:pt>
                <c:pt idx="2">
                  <c:v>4.1893709044276979E-2</c:v>
                </c:pt>
              </c:numCache>
            </c:numRef>
          </c:yVal>
          <c:smooth val="1"/>
          <c:extLst>
            <c:ext xmlns:c16="http://schemas.microsoft.com/office/drawing/2014/chart" uri="{C3380CC4-5D6E-409C-BE32-E72D297353CC}">
              <c16:uniqueId val="{00000001-1335-7945-A8AF-9EFB2FFC6836}"/>
            </c:ext>
          </c:extLst>
        </c:ser>
        <c:ser>
          <c:idx val="2"/>
          <c:order val="2"/>
          <c:tx>
            <c:v>Sample C</c:v>
          </c:tx>
          <c:spPr>
            <a:ln w="19050" cap="rnd">
              <a:solidFill>
                <a:schemeClr val="accent3"/>
              </a:solidFill>
              <a:round/>
            </a:ln>
            <a:effectLst/>
          </c:spPr>
          <c:marker>
            <c:symbol val="diamond"/>
            <c:size val="10"/>
            <c:spPr>
              <a:solidFill>
                <a:schemeClr val="accent3"/>
              </a:solidFill>
              <a:ln w="9525">
                <a:noFill/>
              </a:ln>
              <a:effectLst/>
            </c:spPr>
          </c:marker>
          <c:xVal>
            <c:numRef>
              <c:f>'3. Troubleshooting the Error'!$C$58:$C$59</c:f>
              <c:numCache>
                <c:formatCode>General</c:formatCode>
                <c:ptCount val="2"/>
                <c:pt idx="0">
                  <c:v>1</c:v>
                </c:pt>
                <c:pt idx="1">
                  <c:v>2</c:v>
                </c:pt>
              </c:numCache>
            </c:numRef>
          </c:xVal>
          <c:yVal>
            <c:numRef>
              <c:f>'3. Troubleshooting the Error'!$AA$58:$AA$59</c:f>
              <c:numCache>
                <c:formatCode>0.00%</c:formatCode>
                <c:ptCount val="2"/>
                <c:pt idx="0">
                  <c:v>3.9764514379996417E-2</c:v>
                </c:pt>
                <c:pt idx="1">
                  <c:v>2.689053013226313E-2</c:v>
                </c:pt>
              </c:numCache>
            </c:numRef>
          </c:yVal>
          <c:smooth val="1"/>
          <c:extLst>
            <c:ext xmlns:c16="http://schemas.microsoft.com/office/drawing/2014/chart" uri="{C3380CC4-5D6E-409C-BE32-E72D297353CC}">
              <c16:uniqueId val="{00000002-1335-7945-A8AF-9EFB2FFC6836}"/>
            </c:ext>
          </c:extLst>
        </c:ser>
        <c:ser>
          <c:idx val="3"/>
          <c:order val="3"/>
          <c:tx>
            <c:v>Sample D</c:v>
          </c:tx>
          <c:spPr>
            <a:ln w="19050" cap="rnd">
              <a:solidFill>
                <a:schemeClr val="accent4"/>
              </a:solidFill>
              <a:round/>
            </a:ln>
            <a:effectLst/>
          </c:spPr>
          <c:marker>
            <c:symbol val="square"/>
            <c:size val="10"/>
            <c:spPr>
              <a:solidFill>
                <a:schemeClr val="accent4"/>
              </a:solidFill>
              <a:ln w="9525">
                <a:noFill/>
              </a:ln>
              <a:effectLst/>
            </c:spPr>
          </c:marker>
          <c:xVal>
            <c:numRef>
              <c:f>'3. Troubleshooting the Error'!$C$60:$C$61</c:f>
              <c:numCache>
                <c:formatCode>General</c:formatCode>
                <c:ptCount val="2"/>
                <c:pt idx="0">
                  <c:v>1</c:v>
                </c:pt>
                <c:pt idx="1">
                  <c:v>2</c:v>
                </c:pt>
              </c:numCache>
            </c:numRef>
          </c:xVal>
          <c:yVal>
            <c:numRef>
              <c:f>'3. Troubleshooting the Error'!$AA$60:$AA$61</c:f>
              <c:numCache>
                <c:formatCode>0.00%</c:formatCode>
                <c:ptCount val="2"/>
                <c:pt idx="0">
                  <c:v>7.5991904345555208E-2</c:v>
                </c:pt>
                <c:pt idx="1">
                  <c:v>5.0467885799535379E-2</c:v>
                </c:pt>
              </c:numCache>
            </c:numRef>
          </c:yVal>
          <c:smooth val="1"/>
          <c:extLst>
            <c:ext xmlns:c16="http://schemas.microsoft.com/office/drawing/2014/chart" uri="{C3380CC4-5D6E-409C-BE32-E72D297353CC}">
              <c16:uniqueId val="{00000003-1335-7945-A8AF-9EFB2FFC6836}"/>
            </c:ext>
          </c:extLst>
        </c:ser>
        <c:dLbls>
          <c:showLegendKey val="0"/>
          <c:showVal val="0"/>
          <c:showCatName val="0"/>
          <c:showSerName val="0"/>
          <c:showPercent val="0"/>
          <c:showBubbleSize val="0"/>
        </c:dLbls>
        <c:axId val="1700238672"/>
        <c:axId val="1696199968"/>
      </c:scatterChart>
      <c:valAx>
        <c:axId val="170023867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GB"/>
                  <a:t>Number of sample blocks</a:t>
                </a:r>
                <a:endParaRPr lang="en-GB" baseline="-25000"/>
              </a:p>
            </c:rich>
          </c:tx>
          <c:overlay val="0"/>
          <c:spPr>
            <a:noFill/>
            <a:ln>
              <a:noFill/>
            </a:ln>
            <a:effectLst/>
          </c:spPr>
          <c:txPr>
            <a:bodyPr rot="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696199968"/>
        <c:crosses val="autoZero"/>
        <c:crossBetween val="midCat"/>
        <c:majorUnit val="1"/>
      </c:valAx>
      <c:valAx>
        <c:axId val="169619996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GB"/>
                  <a:t>σ</a:t>
                </a:r>
                <a:r>
                  <a:rPr lang="en-GB" baseline="-25000"/>
                  <a:t>t</a:t>
                </a:r>
              </a:p>
            </c:rich>
          </c:tx>
          <c:overlay val="0"/>
          <c:spPr>
            <a:noFill/>
            <a:ln>
              <a:noFill/>
            </a:ln>
            <a:effectLst/>
          </c:spPr>
          <c:txPr>
            <a:bodyPr rot="-54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700238672"/>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600">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cap="none" spc="120" normalizeH="0" baseline="0">
                <a:solidFill>
                  <a:sysClr val="windowText" lastClr="000000"/>
                </a:solidFill>
                <a:latin typeface="Times New Roman" panose="02020603050405020304" pitchFamily="18" charset="0"/>
                <a:ea typeface="+mn-ea"/>
                <a:cs typeface="Times New Roman" panose="02020603050405020304" pitchFamily="18" charset="0"/>
              </a:defRPr>
            </a:pPr>
            <a:r>
              <a:rPr lang="en-GB"/>
              <a:t>Sample</a:t>
            </a:r>
            <a:r>
              <a:rPr lang="en-GB" baseline="0"/>
              <a:t> A - Fe-sulfide Grain Size Distribution </a:t>
            </a:r>
            <a:endParaRPr lang="en-GB"/>
          </a:p>
        </c:rich>
      </c:tx>
      <c:overlay val="0"/>
      <c:spPr>
        <a:noFill/>
        <a:ln>
          <a:noFill/>
        </a:ln>
        <a:effectLst/>
      </c:spPr>
      <c:txPr>
        <a:bodyPr rot="0" spcFirstLastPara="1" vertOverflow="ellipsis" vert="horz" wrap="square" anchor="ctr" anchorCtr="1"/>
        <a:lstStyle/>
        <a:p>
          <a:pPr>
            <a:defRPr sz="1440" b="1" i="0" u="none" strike="noStrike" kern="1200" cap="none" spc="120" normalizeH="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manualLayout>
          <c:layoutTarget val="inner"/>
          <c:xMode val="edge"/>
          <c:yMode val="edge"/>
          <c:x val="7.3020875521845774E-2"/>
          <c:y val="0.12470003328823137"/>
          <c:w val="0.72996815445497998"/>
          <c:h val="0.74873181775272968"/>
        </c:manualLayout>
      </c:layout>
      <c:scatterChart>
        <c:scatterStyle val="smoothMarker"/>
        <c:varyColors val="0"/>
        <c:ser>
          <c:idx val="0"/>
          <c:order val="0"/>
          <c:tx>
            <c:strRef>
              <c:f>'6. Grain Size Distribution'!$B$3</c:f>
              <c:strCache>
                <c:ptCount val="1"/>
                <c:pt idx="0">
                  <c:v>HCT</c:v>
                </c:pt>
              </c:strCache>
            </c:strRef>
          </c:tx>
          <c:spPr>
            <a:ln w="22225" cap="rnd">
              <a:solidFill>
                <a:schemeClr val="accent1"/>
              </a:solidFill>
              <a:round/>
            </a:ln>
            <a:effectLst/>
          </c:spPr>
          <c:marker>
            <c:symbol val="diamond"/>
            <c:size val="6"/>
            <c:spPr>
              <a:solidFill>
                <a:schemeClr val="accent1"/>
              </a:solidFill>
              <a:ln w="9525">
                <a:solidFill>
                  <a:schemeClr val="accent1"/>
                </a:solidFill>
                <a:round/>
              </a:ln>
              <a:effectLst/>
            </c:spPr>
          </c:marker>
          <c:xVal>
            <c:numRef>
              <c:f>'6. Grain Size Distribution'!$A$5:$A$37</c:f>
              <c:numCache>
                <c:formatCode>0.00</c:formatCode>
                <c:ptCount val="33"/>
                <c:pt idx="0" formatCode="General">
                  <c:v>0.5</c:v>
                </c:pt>
                <c:pt idx="1">
                  <c:v>2</c:v>
                </c:pt>
                <c:pt idx="2" formatCode="General">
                  <c:v>4</c:v>
                </c:pt>
                <c:pt idx="3">
                  <c:v>6</c:v>
                </c:pt>
                <c:pt idx="4" formatCode="General">
                  <c:v>8.5</c:v>
                </c:pt>
                <c:pt idx="5" formatCode="General">
                  <c:v>12.5</c:v>
                </c:pt>
                <c:pt idx="6" formatCode="General">
                  <c:v>17.5</c:v>
                </c:pt>
                <c:pt idx="7" formatCode="General">
                  <c:v>21</c:v>
                </c:pt>
                <c:pt idx="8" formatCode="General">
                  <c:v>22.5</c:v>
                </c:pt>
                <c:pt idx="9" formatCode="General">
                  <c:v>24</c:v>
                </c:pt>
                <c:pt idx="10" formatCode="General">
                  <c:v>27.5</c:v>
                </c:pt>
                <c:pt idx="11" formatCode="General">
                  <c:v>34</c:v>
                </c:pt>
                <c:pt idx="12" formatCode="General">
                  <c:v>41.5</c:v>
                </c:pt>
                <c:pt idx="13" formatCode="General">
                  <c:v>49</c:v>
                </c:pt>
                <c:pt idx="14" formatCode="General">
                  <c:v>59</c:v>
                </c:pt>
                <c:pt idx="15" formatCode="General">
                  <c:v>70</c:v>
                </c:pt>
                <c:pt idx="16" formatCode="General">
                  <c:v>77.5</c:v>
                </c:pt>
                <c:pt idx="17" formatCode="General">
                  <c:v>85</c:v>
                </c:pt>
                <c:pt idx="18" formatCode="General">
                  <c:v>92.5</c:v>
                </c:pt>
                <c:pt idx="19" formatCode="General">
                  <c:v>97.5</c:v>
                </c:pt>
                <c:pt idx="20" formatCode="General">
                  <c:v>102.5</c:v>
                </c:pt>
                <c:pt idx="21" formatCode="General">
                  <c:v>107.5</c:v>
                </c:pt>
                <c:pt idx="22" formatCode="General">
                  <c:v>112.5</c:v>
                </c:pt>
                <c:pt idx="23" formatCode="General">
                  <c:v>117.5</c:v>
                </c:pt>
                <c:pt idx="24" formatCode="General">
                  <c:v>122.5</c:v>
                </c:pt>
                <c:pt idx="25" formatCode="General">
                  <c:v>137.5</c:v>
                </c:pt>
                <c:pt idx="26" formatCode="General">
                  <c:v>225</c:v>
                </c:pt>
                <c:pt idx="27" formatCode="General">
                  <c:v>350</c:v>
                </c:pt>
                <c:pt idx="28" formatCode="General">
                  <c:v>450</c:v>
                </c:pt>
                <c:pt idx="29" formatCode="General">
                  <c:v>750</c:v>
                </c:pt>
                <c:pt idx="30" formatCode="General">
                  <c:v>1500</c:v>
                </c:pt>
                <c:pt idx="31" formatCode="General">
                  <c:v>3000</c:v>
                </c:pt>
                <c:pt idx="32" formatCode="0">
                  <c:v>5350</c:v>
                </c:pt>
              </c:numCache>
            </c:numRef>
          </c:xVal>
          <c:yVal>
            <c:numRef>
              <c:f>'6. Grain Size Distribution'!$B$5:$B$37</c:f>
              <c:numCache>
                <c:formatCode>0%</c:formatCode>
                <c:ptCount val="33"/>
                <c:pt idx="0">
                  <c:v>0</c:v>
                </c:pt>
                <c:pt idx="1">
                  <c:v>0</c:v>
                </c:pt>
                <c:pt idx="2">
                  <c:v>0</c:v>
                </c:pt>
                <c:pt idx="3">
                  <c:v>9.1626120974974933E-3</c:v>
                </c:pt>
                <c:pt idx="4">
                  <c:v>1.8260673155877507E-2</c:v>
                </c:pt>
                <c:pt idx="5">
                  <c:v>4.5429290210092392E-2</c:v>
                </c:pt>
                <c:pt idx="6">
                  <c:v>5.3207761045736726E-2</c:v>
                </c:pt>
                <c:pt idx="7">
                  <c:v>6.4773221948359105E-2</c:v>
                </c:pt>
                <c:pt idx="8">
                  <c:v>0.15885387051059577</c:v>
                </c:pt>
                <c:pt idx="9">
                  <c:v>0.16632008410797242</c:v>
                </c:pt>
                <c:pt idx="10">
                  <c:v>0.19559501182430605</c:v>
                </c:pt>
                <c:pt idx="11">
                  <c:v>0.256166834750578</c:v>
                </c:pt>
                <c:pt idx="12">
                  <c:v>0.33016346144856124</c:v>
                </c:pt>
                <c:pt idx="13">
                  <c:v>0.38284329826531743</c:v>
                </c:pt>
                <c:pt idx="14">
                  <c:v>0.46474401969557322</c:v>
                </c:pt>
                <c:pt idx="15">
                  <c:v>0.5316435323824078</c:v>
                </c:pt>
                <c:pt idx="16">
                  <c:v>0.55608862930410052</c:v>
                </c:pt>
                <c:pt idx="17">
                  <c:v>0.60536272163002169</c:v>
                </c:pt>
                <c:pt idx="18">
                  <c:v>0.62483670354436682</c:v>
                </c:pt>
                <c:pt idx="19">
                  <c:v>0.64626287175801633</c:v>
                </c:pt>
                <c:pt idx="20">
                  <c:v>0.66221893587358072</c:v>
                </c:pt>
                <c:pt idx="21">
                  <c:v>0.67580303181143087</c:v>
                </c:pt>
                <c:pt idx="22">
                  <c:v>0.69249118041590196</c:v>
                </c:pt>
                <c:pt idx="23">
                  <c:v>0.70487061535176054</c:v>
                </c:pt>
                <c:pt idx="24">
                  <c:v>0.72484705150917483</c:v>
                </c:pt>
                <c:pt idx="25">
                  <c:v>0.78189466707084365</c:v>
                </c:pt>
                <c:pt idx="26">
                  <c:v>0.94824257901724318</c:v>
                </c:pt>
                <c:pt idx="27">
                  <c:v>0.97043308523497407</c:v>
                </c:pt>
                <c:pt idx="28">
                  <c:v>0.98536938220776182</c:v>
                </c:pt>
                <c:pt idx="29">
                  <c:v>1</c:v>
                </c:pt>
                <c:pt idx="30">
                  <c:v>1</c:v>
                </c:pt>
                <c:pt idx="31">
                  <c:v>1</c:v>
                </c:pt>
                <c:pt idx="32">
                  <c:v>1</c:v>
                </c:pt>
              </c:numCache>
            </c:numRef>
          </c:yVal>
          <c:smooth val="1"/>
          <c:extLst>
            <c:ext xmlns:c16="http://schemas.microsoft.com/office/drawing/2014/chart" uri="{C3380CC4-5D6E-409C-BE32-E72D297353CC}">
              <c16:uniqueId val="{00000006-A142-714D-8CF9-89DC2661A963}"/>
            </c:ext>
          </c:extLst>
        </c:ser>
        <c:ser>
          <c:idx val="1"/>
          <c:order val="1"/>
          <c:tx>
            <c:strRef>
              <c:f>'6. Grain Size Distribution'!$D$3</c:f>
              <c:strCache>
                <c:ptCount val="1"/>
                <c:pt idx="0">
                  <c:v>-6700/+2000</c:v>
                </c:pt>
              </c:strCache>
            </c:strRef>
          </c:tx>
          <c:spPr>
            <a:ln w="22225" cap="rnd">
              <a:solidFill>
                <a:schemeClr val="accent2"/>
              </a:solidFill>
              <a:round/>
            </a:ln>
            <a:effectLst/>
          </c:spPr>
          <c:marker>
            <c:symbol val="diamond"/>
            <c:size val="6"/>
            <c:spPr>
              <a:solidFill>
                <a:schemeClr val="accent2"/>
              </a:solidFill>
              <a:ln w="9525">
                <a:solidFill>
                  <a:schemeClr val="accent2"/>
                </a:solidFill>
                <a:round/>
              </a:ln>
              <a:effectLst/>
            </c:spPr>
          </c:marker>
          <c:xVal>
            <c:numRef>
              <c:f>'6. Grain Size Distribution'!$C$5:$C$29</c:f>
              <c:numCache>
                <c:formatCode>General</c:formatCode>
                <c:ptCount val="25"/>
                <c:pt idx="0">
                  <c:v>2.5</c:v>
                </c:pt>
                <c:pt idx="1">
                  <c:v>7.5</c:v>
                </c:pt>
                <c:pt idx="2">
                  <c:v>17.5</c:v>
                </c:pt>
                <c:pt idx="3">
                  <c:v>37.5</c:v>
                </c:pt>
                <c:pt idx="4">
                  <c:v>62.5</c:v>
                </c:pt>
                <c:pt idx="5">
                  <c:v>87.5</c:v>
                </c:pt>
                <c:pt idx="6">
                  <c:v>112.5</c:v>
                </c:pt>
                <c:pt idx="7">
                  <c:v>137.5</c:v>
                </c:pt>
                <c:pt idx="8">
                  <c:v>162.5</c:v>
                </c:pt>
                <c:pt idx="9">
                  <c:v>187.5</c:v>
                </c:pt>
                <c:pt idx="10">
                  <c:v>212.5</c:v>
                </c:pt>
                <c:pt idx="11">
                  <c:v>237.5</c:v>
                </c:pt>
                <c:pt idx="12">
                  <c:v>262.5</c:v>
                </c:pt>
                <c:pt idx="13">
                  <c:v>287.5</c:v>
                </c:pt>
                <c:pt idx="14">
                  <c:v>312.5</c:v>
                </c:pt>
                <c:pt idx="15">
                  <c:v>337.5</c:v>
                </c:pt>
                <c:pt idx="16">
                  <c:v>362.5</c:v>
                </c:pt>
                <c:pt idx="17">
                  <c:v>387.5</c:v>
                </c:pt>
                <c:pt idx="18">
                  <c:v>412.5</c:v>
                </c:pt>
                <c:pt idx="19">
                  <c:v>437.5</c:v>
                </c:pt>
                <c:pt idx="20">
                  <c:v>465</c:v>
                </c:pt>
                <c:pt idx="21">
                  <c:v>485</c:v>
                </c:pt>
                <c:pt idx="22">
                  <c:v>495</c:v>
                </c:pt>
                <c:pt idx="23">
                  <c:v>750</c:v>
                </c:pt>
                <c:pt idx="24">
                  <c:v>1000</c:v>
                </c:pt>
              </c:numCache>
            </c:numRef>
          </c:xVal>
          <c:yVal>
            <c:numRef>
              <c:f>'6. Grain Size Distribution'!$D$5:$D$29</c:f>
              <c:numCache>
                <c:formatCode>0%</c:formatCode>
                <c:ptCount val="25"/>
                <c:pt idx="0">
                  <c:v>0</c:v>
                </c:pt>
                <c:pt idx="1">
                  <c:v>0</c:v>
                </c:pt>
                <c:pt idx="2">
                  <c:v>2.8609094007148769E-2</c:v>
                </c:pt>
                <c:pt idx="3">
                  <c:v>9.0347870754196785E-2</c:v>
                </c:pt>
                <c:pt idx="4">
                  <c:v>0.18708884215292626</c:v>
                </c:pt>
                <c:pt idx="5">
                  <c:v>0.3067825791287826</c:v>
                </c:pt>
                <c:pt idx="6">
                  <c:v>0.44985893587422493</c:v>
                </c:pt>
                <c:pt idx="7">
                  <c:v>0.58620284317184879</c:v>
                </c:pt>
                <c:pt idx="8">
                  <c:v>0.68702977240233842</c:v>
                </c:pt>
                <c:pt idx="9">
                  <c:v>0.77398858378330992</c:v>
                </c:pt>
                <c:pt idx="10">
                  <c:v>0.82133498284113993</c:v>
                </c:pt>
                <c:pt idx="11">
                  <c:v>0.84191308515930996</c:v>
                </c:pt>
                <c:pt idx="12">
                  <c:v>0.86058259448883545</c:v>
                </c:pt>
                <c:pt idx="13">
                  <c:v>0.90416694485484883</c:v>
                </c:pt>
                <c:pt idx="14">
                  <c:v>0.90990300708588645</c:v>
                </c:pt>
                <c:pt idx="15">
                  <c:v>0.91420501579018332</c:v>
                </c:pt>
                <c:pt idx="16">
                  <c:v>0.91607798754848957</c:v>
                </c:pt>
                <c:pt idx="17">
                  <c:v>0.91683923182447835</c:v>
                </c:pt>
                <c:pt idx="18">
                  <c:v>0.91854109954362184</c:v>
                </c:pt>
                <c:pt idx="19">
                  <c:v>0.92636397798600367</c:v>
                </c:pt>
                <c:pt idx="20">
                  <c:v>0.98769420957520415</c:v>
                </c:pt>
                <c:pt idx="21">
                  <c:v>0.9996268418521097</c:v>
                </c:pt>
                <c:pt idx="22">
                  <c:v>0.9996268418521097</c:v>
                </c:pt>
                <c:pt idx="23">
                  <c:v>1</c:v>
                </c:pt>
                <c:pt idx="24">
                  <c:v>1</c:v>
                </c:pt>
              </c:numCache>
            </c:numRef>
          </c:yVal>
          <c:smooth val="1"/>
          <c:extLst>
            <c:ext xmlns:c16="http://schemas.microsoft.com/office/drawing/2014/chart" uri="{C3380CC4-5D6E-409C-BE32-E72D297353CC}">
              <c16:uniqueId val="{00000007-A142-714D-8CF9-89DC2661A963}"/>
            </c:ext>
          </c:extLst>
        </c:ser>
        <c:ser>
          <c:idx val="2"/>
          <c:order val="2"/>
          <c:tx>
            <c:strRef>
              <c:f>'6. Grain Size Distribution'!$E$3</c:f>
              <c:strCache>
                <c:ptCount val="1"/>
                <c:pt idx="0">
                  <c:v>-2000/+1000</c:v>
                </c:pt>
              </c:strCache>
            </c:strRef>
          </c:tx>
          <c:spPr>
            <a:ln w="22225" cap="rnd">
              <a:solidFill>
                <a:schemeClr val="accent3"/>
              </a:solidFill>
              <a:round/>
            </a:ln>
            <a:effectLst/>
          </c:spPr>
          <c:marker>
            <c:symbol val="triangle"/>
            <c:size val="6"/>
            <c:spPr>
              <a:solidFill>
                <a:schemeClr val="accent3"/>
              </a:solidFill>
              <a:ln w="9525">
                <a:solidFill>
                  <a:schemeClr val="accent3"/>
                </a:solidFill>
                <a:round/>
              </a:ln>
              <a:effectLst/>
            </c:spPr>
          </c:marker>
          <c:xVal>
            <c:numRef>
              <c:f>'6. Grain Size Distribution'!$C$5:$C$29</c:f>
              <c:numCache>
                <c:formatCode>General</c:formatCode>
                <c:ptCount val="25"/>
                <c:pt idx="0">
                  <c:v>2.5</c:v>
                </c:pt>
                <c:pt idx="1">
                  <c:v>7.5</c:v>
                </c:pt>
                <c:pt idx="2">
                  <c:v>17.5</c:v>
                </c:pt>
                <c:pt idx="3">
                  <c:v>37.5</c:v>
                </c:pt>
                <c:pt idx="4">
                  <c:v>62.5</c:v>
                </c:pt>
                <c:pt idx="5">
                  <c:v>87.5</c:v>
                </c:pt>
                <c:pt idx="6">
                  <c:v>112.5</c:v>
                </c:pt>
                <c:pt idx="7">
                  <c:v>137.5</c:v>
                </c:pt>
                <c:pt idx="8">
                  <c:v>162.5</c:v>
                </c:pt>
                <c:pt idx="9">
                  <c:v>187.5</c:v>
                </c:pt>
                <c:pt idx="10">
                  <c:v>212.5</c:v>
                </c:pt>
                <c:pt idx="11">
                  <c:v>237.5</c:v>
                </c:pt>
                <c:pt idx="12">
                  <c:v>262.5</c:v>
                </c:pt>
                <c:pt idx="13">
                  <c:v>287.5</c:v>
                </c:pt>
                <c:pt idx="14">
                  <c:v>312.5</c:v>
                </c:pt>
                <c:pt idx="15">
                  <c:v>337.5</c:v>
                </c:pt>
                <c:pt idx="16">
                  <c:v>362.5</c:v>
                </c:pt>
                <c:pt idx="17">
                  <c:v>387.5</c:v>
                </c:pt>
                <c:pt idx="18">
                  <c:v>412.5</c:v>
                </c:pt>
                <c:pt idx="19">
                  <c:v>437.5</c:v>
                </c:pt>
                <c:pt idx="20">
                  <c:v>465</c:v>
                </c:pt>
                <c:pt idx="21">
                  <c:v>485</c:v>
                </c:pt>
                <c:pt idx="22">
                  <c:v>495</c:v>
                </c:pt>
                <c:pt idx="23">
                  <c:v>750</c:v>
                </c:pt>
                <c:pt idx="24">
                  <c:v>1000</c:v>
                </c:pt>
              </c:numCache>
            </c:numRef>
          </c:xVal>
          <c:yVal>
            <c:numRef>
              <c:f>'6. Grain Size Distribution'!$E$5:$E$29</c:f>
              <c:numCache>
                <c:formatCode>0%</c:formatCode>
                <c:ptCount val="25"/>
                <c:pt idx="0">
                  <c:v>0</c:v>
                </c:pt>
                <c:pt idx="1">
                  <c:v>0</c:v>
                </c:pt>
                <c:pt idx="2">
                  <c:v>0.12457109034393403</c:v>
                </c:pt>
                <c:pt idx="3">
                  <c:v>0.29240891878457365</c:v>
                </c:pt>
                <c:pt idx="4">
                  <c:v>0.47934945651562549</c:v>
                </c:pt>
                <c:pt idx="5">
                  <c:v>0.61768201368113818</c:v>
                </c:pt>
                <c:pt idx="6">
                  <c:v>0.70618468184144689</c:v>
                </c:pt>
                <c:pt idx="7">
                  <c:v>0.77488737654533824</c:v>
                </c:pt>
                <c:pt idx="8">
                  <c:v>0.85950495199699595</c:v>
                </c:pt>
                <c:pt idx="9">
                  <c:v>0.87822448796450336</c:v>
                </c:pt>
                <c:pt idx="10">
                  <c:v>0.90086172286575494</c:v>
                </c:pt>
                <c:pt idx="11">
                  <c:v>0.91308792707714392</c:v>
                </c:pt>
                <c:pt idx="12">
                  <c:v>0.92325728148846653</c:v>
                </c:pt>
                <c:pt idx="13">
                  <c:v>0.94655049486006437</c:v>
                </c:pt>
                <c:pt idx="14">
                  <c:v>0.94731125324520671</c:v>
                </c:pt>
                <c:pt idx="15">
                  <c:v>0.94994680933936904</c:v>
                </c:pt>
                <c:pt idx="16">
                  <c:v>0.9634723346760532</c:v>
                </c:pt>
                <c:pt idx="17">
                  <c:v>0.9634723346760532</c:v>
                </c:pt>
                <c:pt idx="18">
                  <c:v>0.9634723346760532</c:v>
                </c:pt>
                <c:pt idx="19">
                  <c:v>0.9634723346760532</c:v>
                </c:pt>
                <c:pt idx="20">
                  <c:v>0.98397961270298262</c:v>
                </c:pt>
                <c:pt idx="21">
                  <c:v>0.98397961270298262</c:v>
                </c:pt>
                <c:pt idx="22">
                  <c:v>0.98397961270298262</c:v>
                </c:pt>
                <c:pt idx="23">
                  <c:v>1</c:v>
                </c:pt>
                <c:pt idx="24">
                  <c:v>1</c:v>
                </c:pt>
              </c:numCache>
            </c:numRef>
          </c:yVal>
          <c:smooth val="1"/>
          <c:extLst>
            <c:ext xmlns:c16="http://schemas.microsoft.com/office/drawing/2014/chart" uri="{C3380CC4-5D6E-409C-BE32-E72D297353CC}">
              <c16:uniqueId val="{00000008-A142-714D-8CF9-89DC2661A963}"/>
            </c:ext>
          </c:extLst>
        </c:ser>
        <c:ser>
          <c:idx val="3"/>
          <c:order val="3"/>
          <c:tx>
            <c:strRef>
              <c:f>'6. Grain Size Distribution'!$F$3</c:f>
              <c:strCache>
                <c:ptCount val="1"/>
                <c:pt idx="0">
                  <c:v>-1000/+425</c:v>
                </c:pt>
              </c:strCache>
            </c:strRef>
          </c:tx>
          <c:spPr>
            <a:ln w="22225" cap="rnd">
              <a:solidFill>
                <a:schemeClr val="accent4"/>
              </a:solidFill>
              <a:round/>
            </a:ln>
            <a:effectLst/>
          </c:spPr>
          <c:marker>
            <c:symbol val="square"/>
            <c:size val="6"/>
            <c:spPr>
              <a:solidFill>
                <a:schemeClr val="accent4"/>
              </a:solidFill>
              <a:ln w="9525">
                <a:solidFill>
                  <a:schemeClr val="accent4"/>
                </a:solidFill>
                <a:round/>
              </a:ln>
              <a:effectLst/>
            </c:spPr>
          </c:marker>
          <c:xVal>
            <c:numRef>
              <c:f>'6. Grain Size Distribution'!$C$5:$C$29</c:f>
              <c:numCache>
                <c:formatCode>General</c:formatCode>
                <c:ptCount val="25"/>
                <c:pt idx="0">
                  <c:v>2.5</c:v>
                </c:pt>
                <c:pt idx="1">
                  <c:v>7.5</c:v>
                </c:pt>
                <c:pt idx="2">
                  <c:v>17.5</c:v>
                </c:pt>
                <c:pt idx="3">
                  <c:v>37.5</c:v>
                </c:pt>
                <c:pt idx="4">
                  <c:v>62.5</c:v>
                </c:pt>
                <c:pt idx="5">
                  <c:v>87.5</c:v>
                </c:pt>
                <c:pt idx="6">
                  <c:v>112.5</c:v>
                </c:pt>
                <c:pt idx="7">
                  <c:v>137.5</c:v>
                </c:pt>
                <c:pt idx="8">
                  <c:v>162.5</c:v>
                </c:pt>
                <c:pt idx="9">
                  <c:v>187.5</c:v>
                </c:pt>
                <c:pt idx="10">
                  <c:v>212.5</c:v>
                </c:pt>
                <c:pt idx="11">
                  <c:v>237.5</c:v>
                </c:pt>
                <c:pt idx="12">
                  <c:v>262.5</c:v>
                </c:pt>
                <c:pt idx="13">
                  <c:v>287.5</c:v>
                </c:pt>
                <c:pt idx="14">
                  <c:v>312.5</c:v>
                </c:pt>
                <c:pt idx="15">
                  <c:v>337.5</c:v>
                </c:pt>
                <c:pt idx="16">
                  <c:v>362.5</c:v>
                </c:pt>
                <c:pt idx="17">
                  <c:v>387.5</c:v>
                </c:pt>
                <c:pt idx="18">
                  <c:v>412.5</c:v>
                </c:pt>
                <c:pt idx="19">
                  <c:v>437.5</c:v>
                </c:pt>
                <c:pt idx="20">
                  <c:v>465</c:v>
                </c:pt>
                <c:pt idx="21">
                  <c:v>485</c:v>
                </c:pt>
                <c:pt idx="22">
                  <c:v>495</c:v>
                </c:pt>
                <c:pt idx="23">
                  <c:v>750</c:v>
                </c:pt>
                <c:pt idx="24">
                  <c:v>1000</c:v>
                </c:pt>
              </c:numCache>
            </c:numRef>
          </c:xVal>
          <c:yVal>
            <c:numRef>
              <c:f>'6. Grain Size Distribution'!$F$5:$F$29</c:f>
              <c:numCache>
                <c:formatCode>0%</c:formatCode>
                <c:ptCount val="25"/>
                <c:pt idx="0">
                  <c:v>0</c:v>
                </c:pt>
                <c:pt idx="1">
                  <c:v>0</c:v>
                </c:pt>
                <c:pt idx="2">
                  <c:v>0.10641945672554876</c:v>
                </c:pt>
                <c:pt idx="3">
                  <c:v>0.29940111868510938</c:v>
                </c:pt>
                <c:pt idx="4">
                  <c:v>0.4830003813228802</c:v>
                </c:pt>
                <c:pt idx="5">
                  <c:v>0.58306665679563396</c:v>
                </c:pt>
                <c:pt idx="6">
                  <c:v>0.68624413441353971</c:v>
                </c:pt>
                <c:pt idx="7">
                  <c:v>0.71172242329963387</c:v>
                </c:pt>
                <c:pt idx="8">
                  <c:v>0.73016362872345897</c:v>
                </c:pt>
                <c:pt idx="9">
                  <c:v>0.75582245630039069</c:v>
                </c:pt>
                <c:pt idx="10">
                  <c:v>0.80455617649789513</c:v>
                </c:pt>
                <c:pt idx="11">
                  <c:v>0.88159464841092217</c:v>
                </c:pt>
                <c:pt idx="12">
                  <c:v>0.88159464841092217</c:v>
                </c:pt>
                <c:pt idx="13">
                  <c:v>0.94616250379768996</c:v>
                </c:pt>
                <c:pt idx="14">
                  <c:v>0.94616250379768996</c:v>
                </c:pt>
                <c:pt idx="15">
                  <c:v>0.94616250379768996</c:v>
                </c:pt>
                <c:pt idx="16">
                  <c:v>0.94616250379768996</c:v>
                </c:pt>
                <c:pt idx="17">
                  <c:v>1</c:v>
                </c:pt>
                <c:pt idx="18">
                  <c:v>1</c:v>
                </c:pt>
                <c:pt idx="19">
                  <c:v>1</c:v>
                </c:pt>
                <c:pt idx="20">
                  <c:v>1</c:v>
                </c:pt>
                <c:pt idx="21">
                  <c:v>1</c:v>
                </c:pt>
                <c:pt idx="22">
                  <c:v>1</c:v>
                </c:pt>
                <c:pt idx="23">
                  <c:v>1</c:v>
                </c:pt>
                <c:pt idx="24">
                  <c:v>1</c:v>
                </c:pt>
              </c:numCache>
            </c:numRef>
          </c:yVal>
          <c:smooth val="1"/>
          <c:extLst>
            <c:ext xmlns:c16="http://schemas.microsoft.com/office/drawing/2014/chart" uri="{C3380CC4-5D6E-409C-BE32-E72D297353CC}">
              <c16:uniqueId val="{00000009-A142-714D-8CF9-89DC2661A963}"/>
            </c:ext>
          </c:extLst>
        </c:ser>
        <c:ser>
          <c:idx val="4"/>
          <c:order val="4"/>
          <c:tx>
            <c:strRef>
              <c:f>'6. Grain Size Distribution'!$G$3</c:f>
              <c:strCache>
                <c:ptCount val="1"/>
                <c:pt idx="0">
                  <c:v>-425/+150</c:v>
                </c:pt>
              </c:strCache>
            </c:strRef>
          </c:tx>
          <c:spPr>
            <a:ln w="22225" cap="rnd">
              <a:solidFill>
                <a:schemeClr val="accent5"/>
              </a:solidFill>
              <a:round/>
            </a:ln>
            <a:effectLst/>
          </c:spPr>
          <c:marker>
            <c:symbol val="star"/>
            <c:size val="6"/>
            <c:spPr>
              <a:noFill/>
              <a:ln w="9525">
                <a:solidFill>
                  <a:schemeClr val="accent5"/>
                </a:solidFill>
                <a:round/>
              </a:ln>
              <a:effectLst/>
            </c:spPr>
          </c:marker>
          <c:xVal>
            <c:numRef>
              <c:f>'6. Grain Size Distribution'!$C$5:$C$29</c:f>
              <c:numCache>
                <c:formatCode>General</c:formatCode>
                <c:ptCount val="25"/>
                <c:pt idx="0">
                  <c:v>2.5</c:v>
                </c:pt>
                <c:pt idx="1">
                  <c:v>7.5</c:v>
                </c:pt>
                <c:pt idx="2">
                  <c:v>17.5</c:v>
                </c:pt>
                <c:pt idx="3">
                  <c:v>37.5</c:v>
                </c:pt>
                <c:pt idx="4">
                  <c:v>62.5</c:v>
                </c:pt>
                <c:pt idx="5">
                  <c:v>87.5</c:v>
                </c:pt>
                <c:pt idx="6">
                  <c:v>112.5</c:v>
                </c:pt>
                <c:pt idx="7">
                  <c:v>137.5</c:v>
                </c:pt>
                <c:pt idx="8">
                  <c:v>162.5</c:v>
                </c:pt>
                <c:pt idx="9">
                  <c:v>187.5</c:v>
                </c:pt>
                <c:pt idx="10">
                  <c:v>212.5</c:v>
                </c:pt>
                <c:pt idx="11">
                  <c:v>237.5</c:v>
                </c:pt>
                <c:pt idx="12">
                  <c:v>262.5</c:v>
                </c:pt>
                <c:pt idx="13">
                  <c:v>287.5</c:v>
                </c:pt>
                <c:pt idx="14">
                  <c:v>312.5</c:v>
                </c:pt>
                <c:pt idx="15">
                  <c:v>337.5</c:v>
                </c:pt>
                <c:pt idx="16">
                  <c:v>362.5</c:v>
                </c:pt>
                <c:pt idx="17">
                  <c:v>387.5</c:v>
                </c:pt>
                <c:pt idx="18">
                  <c:v>412.5</c:v>
                </c:pt>
                <c:pt idx="19">
                  <c:v>437.5</c:v>
                </c:pt>
                <c:pt idx="20">
                  <c:v>465</c:v>
                </c:pt>
                <c:pt idx="21">
                  <c:v>485</c:v>
                </c:pt>
                <c:pt idx="22">
                  <c:v>495</c:v>
                </c:pt>
                <c:pt idx="23">
                  <c:v>750</c:v>
                </c:pt>
                <c:pt idx="24">
                  <c:v>1000</c:v>
                </c:pt>
              </c:numCache>
            </c:numRef>
          </c:xVal>
          <c:yVal>
            <c:numRef>
              <c:f>'6. Grain Size Distribution'!$G$5:$G$29</c:f>
              <c:numCache>
                <c:formatCode>0%</c:formatCode>
                <c:ptCount val="25"/>
                <c:pt idx="0">
                  <c:v>0</c:v>
                </c:pt>
                <c:pt idx="1">
                  <c:v>2.3485882195548782E-2</c:v>
                </c:pt>
                <c:pt idx="2">
                  <c:v>0.13288740371772512</c:v>
                </c:pt>
                <c:pt idx="3">
                  <c:v>0.33910104166020821</c:v>
                </c:pt>
                <c:pt idx="4">
                  <c:v>0.4750405753983904</c:v>
                </c:pt>
                <c:pt idx="5">
                  <c:v>0.58156692118698483</c:v>
                </c:pt>
                <c:pt idx="6">
                  <c:v>0.65757262456833254</c:v>
                </c:pt>
                <c:pt idx="7">
                  <c:v>0.74215951622235499</c:v>
                </c:pt>
                <c:pt idx="8">
                  <c:v>0.83369575560652809</c:v>
                </c:pt>
                <c:pt idx="9">
                  <c:v>0.88170431687871431</c:v>
                </c:pt>
                <c:pt idx="10">
                  <c:v>0.91682141241526971</c:v>
                </c:pt>
                <c:pt idx="11">
                  <c:v>0.93066645858224639</c:v>
                </c:pt>
                <c:pt idx="12">
                  <c:v>0.97661444036374279</c:v>
                </c:pt>
                <c:pt idx="13">
                  <c:v>0.97661444036374279</c:v>
                </c:pt>
                <c:pt idx="14">
                  <c:v>1</c:v>
                </c:pt>
                <c:pt idx="15">
                  <c:v>1</c:v>
                </c:pt>
                <c:pt idx="16">
                  <c:v>1</c:v>
                </c:pt>
                <c:pt idx="17">
                  <c:v>1</c:v>
                </c:pt>
                <c:pt idx="18">
                  <c:v>1</c:v>
                </c:pt>
                <c:pt idx="19">
                  <c:v>1</c:v>
                </c:pt>
                <c:pt idx="20">
                  <c:v>1</c:v>
                </c:pt>
                <c:pt idx="21">
                  <c:v>1</c:v>
                </c:pt>
                <c:pt idx="22">
                  <c:v>1</c:v>
                </c:pt>
                <c:pt idx="23">
                  <c:v>1</c:v>
                </c:pt>
                <c:pt idx="24">
                  <c:v>1</c:v>
                </c:pt>
              </c:numCache>
            </c:numRef>
          </c:yVal>
          <c:smooth val="1"/>
          <c:extLst>
            <c:ext xmlns:c16="http://schemas.microsoft.com/office/drawing/2014/chart" uri="{C3380CC4-5D6E-409C-BE32-E72D297353CC}">
              <c16:uniqueId val="{0000000A-A142-714D-8CF9-89DC2661A963}"/>
            </c:ext>
          </c:extLst>
        </c:ser>
        <c:ser>
          <c:idx val="5"/>
          <c:order val="5"/>
          <c:tx>
            <c:strRef>
              <c:f>'6. Grain Size Distribution'!$I$3</c:f>
              <c:strCache>
                <c:ptCount val="1"/>
                <c:pt idx="0">
                  <c:v>-150/+0</c:v>
                </c:pt>
              </c:strCache>
            </c:strRef>
          </c:tx>
          <c:spPr>
            <a:ln w="22225" cap="rnd">
              <a:solidFill>
                <a:schemeClr val="accent6"/>
              </a:solidFill>
              <a:round/>
            </a:ln>
            <a:effectLst/>
          </c:spPr>
          <c:marker>
            <c:symbol val="circle"/>
            <c:size val="6"/>
            <c:spPr>
              <a:solidFill>
                <a:schemeClr val="accent6"/>
              </a:solidFill>
              <a:ln w="9525">
                <a:solidFill>
                  <a:schemeClr val="accent6"/>
                </a:solidFill>
                <a:round/>
              </a:ln>
              <a:effectLst/>
            </c:spPr>
          </c:marker>
          <c:xVal>
            <c:numRef>
              <c:f>'6. Grain Size Distribution'!$H$5:$H$29</c:f>
              <c:numCache>
                <c:formatCode>General</c:formatCode>
                <c:ptCount val="25"/>
                <c:pt idx="0">
                  <c:v>0.5</c:v>
                </c:pt>
                <c:pt idx="1">
                  <c:v>2</c:v>
                </c:pt>
                <c:pt idx="2">
                  <c:v>4</c:v>
                </c:pt>
                <c:pt idx="3">
                  <c:v>6</c:v>
                </c:pt>
                <c:pt idx="4">
                  <c:v>8.5</c:v>
                </c:pt>
                <c:pt idx="5">
                  <c:v>12.5</c:v>
                </c:pt>
                <c:pt idx="6">
                  <c:v>17.5</c:v>
                </c:pt>
                <c:pt idx="7">
                  <c:v>22.5</c:v>
                </c:pt>
                <c:pt idx="8">
                  <c:v>27.5</c:v>
                </c:pt>
                <c:pt idx="9">
                  <c:v>34</c:v>
                </c:pt>
                <c:pt idx="10">
                  <c:v>41.5</c:v>
                </c:pt>
                <c:pt idx="11">
                  <c:v>49</c:v>
                </c:pt>
                <c:pt idx="12">
                  <c:v>64</c:v>
                </c:pt>
                <c:pt idx="13">
                  <c:v>77.5</c:v>
                </c:pt>
                <c:pt idx="14">
                  <c:v>85</c:v>
                </c:pt>
                <c:pt idx="15">
                  <c:v>92.5</c:v>
                </c:pt>
                <c:pt idx="16">
                  <c:v>97.5</c:v>
                </c:pt>
                <c:pt idx="17">
                  <c:v>102.5</c:v>
                </c:pt>
                <c:pt idx="18">
                  <c:v>107.5</c:v>
                </c:pt>
                <c:pt idx="19">
                  <c:v>112.5</c:v>
                </c:pt>
                <c:pt idx="20">
                  <c:v>117.5</c:v>
                </c:pt>
                <c:pt idx="21">
                  <c:v>122.5</c:v>
                </c:pt>
                <c:pt idx="22">
                  <c:v>137.5</c:v>
                </c:pt>
                <c:pt idx="23">
                  <c:v>225</c:v>
                </c:pt>
                <c:pt idx="24">
                  <c:v>300</c:v>
                </c:pt>
              </c:numCache>
            </c:numRef>
          </c:xVal>
          <c:yVal>
            <c:numRef>
              <c:f>'6. Grain Size Distribution'!$I$5:$I$29</c:f>
              <c:numCache>
                <c:formatCode>0%</c:formatCode>
                <c:ptCount val="25"/>
                <c:pt idx="0">
                  <c:v>0</c:v>
                </c:pt>
                <c:pt idx="1">
                  <c:v>0</c:v>
                </c:pt>
                <c:pt idx="2">
                  <c:v>0</c:v>
                </c:pt>
                <c:pt idx="3">
                  <c:v>6.6488147488703672E-2</c:v>
                </c:pt>
                <c:pt idx="4">
                  <c:v>0.11849953149795216</c:v>
                </c:pt>
                <c:pt idx="5">
                  <c:v>0.24478952244593177</c:v>
                </c:pt>
                <c:pt idx="6">
                  <c:v>0.35843464378972251</c:v>
                </c:pt>
                <c:pt idx="7">
                  <c:v>0.452112429256603</c:v>
                </c:pt>
                <c:pt idx="8">
                  <c:v>0.53995155651324445</c:v>
                </c:pt>
                <c:pt idx="9">
                  <c:v>0.65467601630155114</c:v>
                </c:pt>
                <c:pt idx="10">
                  <c:v>0.73592904927301894</c:v>
                </c:pt>
                <c:pt idx="11">
                  <c:v>0.8107921894225929</c:v>
                </c:pt>
                <c:pt idx="12">
                  <c:v>0.92894341737051211</c:v>
                </c:pt>
                <c:pt idx="13">
                  <c:v>0.93466023896351913</c:v>
                </c:pt>
                <c:pt idx="14">
                  <c:v>0.9596804904211178</c:v>
                </c:pt>
                <c:pt idx="15">
                  <c:v>0.96864398619880221</c:v>
                </c:pt>
                <c:pt idx="16">
                  <c:v>0.97158261289540382</c:v>
                </c:pt>
                <c:pt idx="17">
                  <c:v>0.97417772119649026</c:v>
                </c:pt>
                <c:pt idx="18">
                  <c:v>0.97993352281026214</c:v>
                </c:pt>
                <c:pt idx="19">
                  <c:v>0.9848261736914381</c:v>
                </c:pt>
                <c:pt idx="20">
                  <c:v>0.9848261736914381</c:v>
                </c:pt>
                <c:pt idx="21">
                  <c:v>0.98899400278354244</c:v>
                </c:pt>
                <c:pt idx="22">
                  <c:v>1</c:v>
                </c:pt>
                <c:pt idx="23">
                  <c:v>1</c:v>
                </c:pt>
                <c:pt idx="24">
                  <c:v>1</c:v>
                </c:pt>
              </c:numCache>
            </c:numRef>
          </c:yVal>
          <c:smooth val="1"/>
          <c:extLst>
            <c:ext xmlns:c16="http://schemas.microsoft.com/office/drawing/2014/chart" uri="{C3380CC4-5D6E-409C-BE32-E72D297353CC}">
              <c16:uniqueId val="{0000000B-A142-714D-8CF9-89DC2661A963}"/>
            </c:ext>
          </c:extLst>
        </c:ser>
        <c:ser>
          <c:idx val="12"/>
          <c:order val="6"/>
          <c:tx>
            <c:strRef>
              <c:f>'6. Grain Size Distribution'!$K$3</c:f>
              <c:strCache>
                <c:ptCount val="1"/>
                <c:pt idx="0">
                  <c:v>SCT</c:v>
                </c:pt>
              </c:strCache>
            </c:strRef>
          </c:tx>
          <c:spPr>
            <a:ln w="22225" cap="rnd">
              <a:solidFill>
                <a:schemeClr val="accent2"/>
              </a:solidFill>
              <a:round/>
            </a:ln>
            <a:effectLst/>
          </c:spPr>
          <c:marker>
            <c:symbol val="plus"/>
            <c:size val="10"/>
            <c:spPr>
              <a:noFill/>
              <a:ln w="9525">
                <a:solidFill>
                  <a:schemeClr val="accent2"/>
                </a:solidFill>
                <a:round/>
              </a:ln>
              <a:effectLst/>
            </c:spPr>
          </c:marker>
          <c:xVal>
            <c:numRef>
              <c:f>'6. Grain Size Distribution'!$J$5:$J$29</c:f>
              <c:numCache>
                <c:formatCode>General</c:formatCode>
                <c:ptCount val="25"/>
                <c:pt idx="0">
                  <c:v>0.5</c:v>
                </c:pt>
                <c:pt idx="1">
                  <c:v>2</c:v>
                </c:pt>
                <c:pt idx="2">
                  <c:v>4</c:v>
                </c:pt>
                <c:pt idx="3">
                  <c:v>6</c:v>
                </c:pt>
                <c:pt idx="4">
                  <c:v>8.5</c:v>
                </c:pt>
                <c:pt idx="5">
                  <c:v>12.5</c:v>
                </c:pt>
                <c:pt idx="6">
                  <c:v>17.5</c:v>
                </c:pt>
                <c:pt idx="7">
                  <c:v>22.5</c:v>
                </c:pt>
                <c:pt idx="8">
                  <c:v>27.5</c:v>
                </c:pt>
                <c:pt idx="9">
                  <c:v>34</c:v>
                </c:pt>
                <c:pt idx="10">
                  <c:v>41.5</c:v>
                </c:pt>
                <c:pt idx="11">
                  <c:v>49</c:v>
                </c:pt>
                <c:pt idx="12">
                  <c:v>64</c:v>
                </c:pt>
                <c:pt idx="13">
                  <c:v>77.5</c:v>
                </c:pt>
                <c:pt idx="14">
                  <c:v>85</c:v>
                </c:pt>
                <c:pt idx="15">
                  <c:v>92.5</c:v>
                </c:pt>
                <c:pt idx="16">
                  <c:v>97.5</c:v>
                </c:pt>
                <c:pt idx="17">
                  <c:v>102.5</c:v>
                </c:pt>
                <c:pt idx="18">
                  <c:v>107.5</c:v>
                </c:pt>
                <c:pt idx="19">
                  <c:v>112.5</c:v>
                </c:pt>
                <c:pt idx="20">
                  <c:v>117.5</c:v>
                </c:pt>
                <c:pt idx="21">
                  <c:v>122.5</c:v>
                </c:pt>
                <c:pt idx="22">
                  <c:v>137.5</c:v>
                </c:pt>
                <c:pt idx="23">
                  <c:v>225</c:v>
                </c:pt>
                <c:pt idx="24">
                  <c:v>300</c:v>
                </c:pt>
              </c:numCache>
            </c:numRef>
          </c:xVal>
          <c:yVal>
            <c:numRef>
              <c:f>'6. Grain Size Distribution'!$K$5:$K$29</c:f>
              <c:numCache>
                <c:formatCode>0%</c:formatCode>
                <c:ptCount val="25"/>
                <c:pt idx="0">
                  <c:v>0</c:v>
                </c:pt>
                <c:pt idx="1">
                  <c:v>5.6527458510909519E-2</c:v>
                </c:pt>
                <c:pt idx="2">
                  <c:v>0.10609376337618179</c:v>
                </c:pt>
                <c:pt idx="3">
                  <c:v>0.21254959689710209</c:v>
                </c:pt>
                <c:pt idx="4">
                  <c:v>0.33955394385864079</c:v>
                </c:pt>
                <c:pt idx="5">
                  <c:v>0.50928847436914537</c:v>
                </c:pt>
                <c:pt idx="6">
                  <c:v>0.63522009068966767</c:v>
                </c:pt>
                <c:pt idx="7">
                  <c:v>0.7228794577644615</c:v>
                </c:pt>
                <c:pt idx="8">
                  <c:v>0.78851675620735173</c:v>
                </c:pt>
                <c:pt idx="9">
                  <c:v>0.83887592294233404</c:v>
                </c:pt>
                <c:pt idx="10">
                  <c:v>0.87480718143231539</c:v>
                </c:pt>
                <c:pt idx="11">
                  <c:v>0.93416999849167881</c:v>
                </c:pt>
                <c:pt idx="12">
                  <c:v>1</c:v>
                </c:pt>
                <c:pt idx="13">
                  <c:v>1</c:v>
                </c:pt>
                <c:pt idx="14">
                  <c:v>1</c:v>
                </c:pt>
                <c:pt idx="15">
                  <c:v>1</c:v>
                </c:pt>
                <c:pt idx="16">
                  <c:v>1</c:v>
                </c:pt>
                <c:pt idx="17">
                  <c:v>1</c:v>
                </c:pt>
                <c:pt idx="18">
                  <c:v>1</c:v>
                </c:pt>
                <c:pt idx="19">
                  <c:v>1</c:v>
                </c:pt>
                <c:pt idx="20">
                  <c:v>1</c:v>
                </c:pt>
                <c:pt idx="21">
                  <c:v>1</c:v>
                </c:pt>
                <c:pt idx="22">
                  <c:v>1</c:v>
                </c:pt>
                <c:pt idx="23">
                  <c:v>1</c:v>
                </c:pt>
                <c:pt idx="24">
                  <c:v>1</c:v>
                </c:pt>
              </c:numCache>
            </c:numRef>
          </c:yVal>
          <c:smooth val="1"/>
          <c:extLst>
            <c:ext xmlns:c16="http://schemas.microsoft.com/office/drawing/2014/chart" uri="{C3380CC4-5D6E-409C-BE32-E72D297353CC}">
              <c16:uniqueId val="{00000002-1D88-2645-8FCB-801EF73ADB3C}"/>
            </c:ext>
          </c:extLst>
        </c:ser>
        <c:ser>
          <c:idx val="6"/>
          <c:order val="7"/>
          <c:tx>
            <c:strRef>
              <c:f>'6. Grain Size Distribution'!$Q$29</c:f>
              <c:strCache>
                <c:ptCount val="1"/>
                <c:pt idx="0">
                  <c:v>HCT L85</c:v>
                </c:pt>
              </c:strCache>
            </c:strRef>
          </c:tx>
          <c:spPr>
            <a:ln w="22225" cap="rnd">
              <a:noFill/>
              <a:round/>
            </a:ln>
            <a:effectLst/>
          </c:spPr>
          <c:marker>
            <c:symbol val="diamond"/>
            <c:size val="10"/>
            <c:spPr>
              <a:solidFill>
                <a:schemeClr val="accent1"/>
              </a:solidFill>
              <a:ln w="9525">
                <a:noFill/>
                <a:round/>
              </a:ln>
              <a:effectLst/>
            </c:spPr>
          </c:marker>
          <c:dPt>
            <c:idx val="0"/>
            <c:marker>
              <c:symbol val="diamond"/>
              <c:size val="10"/>
              <c:spPr>
                <a:solidFill>
                  <a:schemeClr val="accent1"/>
                </a:solidFill>
                <a:ln w="9525">
                  <a:noFill/>
                  <a:round/>
                </a:ln>
                <a:effectLst/>
              </c:spPr>
            </c:marker>
            <c:bubble3D val="0"/>
            <c:spPr>
              <a:ln w="22225" cap="rnd">
                <a:noFill/>
                <a:round/>
              </a:ln>
              <a:effectLst/>
            </c:spPr>
            <c:extLst>
              <c:ext xmlns:c16="http://schemas.microsoft.com/office/drawing/2014/chart" uri="{C3380CC4-5D6E-409C-BE32-E72D297353CC}">
                <c16:uniqueId val="{00000012-A142-714D-8CF9-89DC2661A963}"/>
              </c:ext>
            </c:extLst>
          </c:dPt>
          <c:xVal>
            <c:numRef>
              <c:f>'6. Grain Size Distribution'!$R$29</c:f>
              <c:numCache>
                <c:formatCode>General</c:formatCode>
                <c:ptCount val="1"/>
                <c:pt idx="0">
                  <c:v>220</c:v>
                </c:pt>
              </c:numCache>
            </c:numRef>
          </c:xVal>
          <c:yVal>
            <c:numRef>
              <c:f>'6. Grain Size Distribution'!$S$29</c:f>
              <c:numCache>
                <c:formatCode>0%</c:formatCode>
                <c:ptCount val="1"/>
                <c:pt idx="0">
                  <c:v>0.85</c:v>
                </c:pt>
              </c:numCache>
            </c:numRef>
          </c:yVal>
          <c:smooth val="1"/>
          <c:extLst>
            <c:ext xmlns:c16="http://schemas.microsoft.com/office/drawing/2014/chart" uri="{C3380CC4-5D6E-409C-BE32-E72D297353CC}">
              <c16:uniqueId val="{0000000C-A142-714D-8CF9-89DC2661A963}"/>
            </c:ext>
          </c:extLst>
        </c:ser>
        <c:ser>
          <c:idx val="7"/>
          <c:order val="8"/>
          <c:tx>
            <c:strRef>
              <c:f>'6. Grain Size Distribution'!$Q$30</c:f>
              <c:strCache>
                <c:ptCount val="1"/>
                <c:pt idx="0">
                  <c:v>-6700/+2000 L85</c:v>
                </c:pt>
              </c:strCache>
            </c:strRef>
          </c:tx>
          <c:spPr>
            <a:ln w="22225" cap="rnd">
              <a:noFill/>
              <a:round/>
            </a:ln>
            <a:effectLst/>
          </c:spPr>
          <c:marker>
            <c:symbol val="diamond"/>
            <c:size val="10"/>
            <c:spPr>
              <a:solidFill>
                <a:schemeClr val="accent2"/>
              </a:solidFill>
              <a:ln w="9525">
                <a:noFill/>
                <a:round/>
              </a:ln>
              <a:effectLst/>
            </c:spPr>
          </c:marker>
          <c:xVal>
            <c:numRef>
              <c:f>'6. Grain Size Distribution'!$R$30</c:f>
              <c:numCache>
                <c:formatCode>General</c:formatCode>
                <c:ptCount val="1"/>
                <c:pt idx="0">
                  <c:v>250</c:v>
                </c:pt>
              </c:numCache>
            </c:numRef>
          </c:xVal>
          <c:yVal>
            <c:numRef>
              <c:f>'6. Grain Size Distribution'!$S$30</c:f>
              <c:numCache>
                <c:formatCode>0%</c:formatCode>
                <c:ptCount val="1"/>
                <c:pt idx="0">
                  <c:v>0.85</c:v>
                </c:pt>
              </c:numCache>
            </c:numRef>
          </c:yVal>
          <c:smooth val="1"/>
          <c:extLst>
            <c:ext xmlns:c16="http://schemas.microsoft.com/office/drawing/2014/chart" uri="{C3380CC4-5D6E-409C-BE32-E72D297353CC}">
              <c16:uniqueId val="{0000000D-A142-714D-8CF9-89DC2661A963}"/>
            </c:ext>
          </c:extLst>
        </c:ser>
        <c:ser>
          <c:idx val="8"/>
          <c:order val="9"/>
          <c:tx>
            <c:strRef>
              <c:f>'6. Grain Size Distribution'!$Q$31</c:f>
              <c:strCache>
                <c:ptCount val="1"/>
                <c:pt idx="0">
                  <c:v>-2000/+1000 L85</c:v>
                </c:pt>
              </c:strCache>
            </c:strRef>
          </c:tx>
          <c:spPr>
            <a:ln w="22225" cap="rnd">
              <a:noFill/>
              <a:round/>
            </a:ln>
            <a:effectLst/>
          </c:spPr>
          <c:marker>
            <c:symbol val="triangle"/>
            <c:size val="10"/>
            <c:spPr>
              <a:solidFill>
                <a:schemeClr val="accent3"/>
              </a:solidFill>
              <a:ln w="9525">
                <a:noFill/>
                <a:round/>
              </a:ln>
              <a:effectLst/>
            </c:spPr>
          </c:marker>
          <c:xVal>
            <c:numRef>
              <c:f>'6. Grain Size Distribution'!$R$31</c:f>
              <c:numCache>
                <c:formatCode>General</c:formatCode>
                <c:ptCount val="1"/>
                <c:pt idx="0">
                  <c:v>220</c:v>
                </c:pt>
              </c:numCache>
            </c:numRef>
          </c:xVal>
          <c:yVal>
            <c:numRef>
              <c:f>'6. Grain Size Distribution'!$S$31</c:f>
              <c:numCache>
                <c:formatCode>0%</c:formatCode>
                <c:ptCount val="1"/>
                <c:pt idx="0">
                  <c:v>0.85</c:v>
                </c:pt>
              </c:numCache>
            </c:numRef>
          </c:yVal>
          <c:smooth val="1"/>
          <c:extLst>
            <c:ext xmlns:c16="http://schemas.microsoft.com/office/drawing/2014/chart" uri="{C3380CC4-5D6E-409C-BE32-E72D297353CC}">
              <c16:uniqueId val="{0000000E-A142-714D-8CF9-89DC2661A963}"/>
            </c:ext>
          </c:extLst>
        </c:ser>
        <c:ser>
          <c:idx val="9"/>
          <c:order val="10"/>
          <c:tx>
            <c:strRef>
              <c:f>'6. Grain Size Distribution'!$Q$32</c:f>
              <c:strCache>
                <c:ptCount val="1"/>
                <c:pt idx="0">
                  <c:v>-1000/+425 L85</c:v>
                </c:pt>
              </c:strCache>
            </c:strRef>
          </c:tx>
          <c:spPr>
            <a:ln w="22225" cap="rnd">
              <a:noFill/>
              <a:round/>
            </a:ln>
            <a:effectLst/>
          </c:spPr>
          <c:marker>
            <c:symbol val="square"/>
            <c:size val="10"/>
            <c:spPr>
              <a:solidFill>
                <a:schemeClr val="accent4"/>
              </a:solidFill>
              <a:ln w="9525">
                <a:noFill/>
                <a:round/>
              </a:ln>
              <a:effectLst/>
            </c:spPr>
          </c:marker>
          <c:xVal>
            <c:numRef>
              <c:f>'6. Grain Size Distribution'!$R$32</c:f>
              <c:numCache>
                <c:formatCode>General</c:formatCode>
                <c:ptCount val="1"/>
                <c:pt idx="0">
                  <c:v>220</c:v>
                </c:pt>
              </c:numCache>
            </c:numRef>
          </c:xVal>
          <c:yVal>
            <c:numRef>
              <c:f>'6. Grain Size Distribution'!$S$32</c:f>
              <c:numCache>
                <c:formatCode>0%</c:formatCode>
                <c:ptCount val="1"/>
                <c:pt idx="0">
                  <c:v>0.85</c:v>
                </c:pt>
              </c:numCache>
            </c:numRef>
          </c:yVal>
          <c:smooth val="1"/>
          <c:extLst>
            <c:ext xmlns:c16="http://schemas.microsoft.com/office/drawing/2014/chart" uri="{C3380CC4-5D6E-409C-BE32-E72D297353CC}">
              <c16:uniqueId val="{0000000F-A142-714D-8CF9-89DC2661A963}"/>
            </c:ext>
          </c:extLst>
        </c:ser>
        <c:ser>
          <c:idx val="10"/>
          <c:order val="11"/>
          <c:tx>
            <c:strRef>
              <c:f>'6. Grain Size Distribution'!$Q$33</c:f>
              <c:strCache>
                <c:ptCount val="1"/>
                <c:pt idx="0">
                  <c:v>-425/+150 L85</c:v>
                </c:pt>
              </c:strCache>
            </c:strRef>
          </c:tx>
          <c:spPr>
            <a:ln w="22225" cap="rnd">
              <a:noFill/>
              <a:round/>
            </a:ln>
            <a:effectLst/>
          </c:spPr>
          <c:marker>
            <c:symbol val="star"/>
            <c:size val="10"/>
            <c:spPr>
              <a:noFill/>
              <a:ln w="9525">
                <a:solidFill>
                  <a:schemeClr val="accent5"/>
                </a:solidFill>
                <a:round/>
              </a:ln>
              <a:effectLst/>
            </c:spPr>
          </c:marker>
          <c:xVal>
            <c:numRef>
              <c:f>'6. Grain Size Distribution'!$R$33</c:f>
              <c:numCache>
                <c:formatCode>General</c:formatCode>
                <c:ptCount val="1"/>
                <c:pt idx="0">
                  <c:v>170</c:v>
                </c:pt>
              </c:numCache>
            </c:numRef>
          </c:xVal>
          <c:yVal>
            <c:numRef>
              <c:f>'6. Grain Size Distribution'!$S$33</c:f>
              <c:numCache>
                <c:formatCode>0%</c:formatCode>
                <c:ptCount val="1"/>
                <c:pt idx="0">
                  <c:v>0.85</c:v>
                </c:pt>
              </c:numCache>
            </c:numRef>
          </c:yVal>
          <c:smooth val="1"/>
          <c:extLst>
            <c:ext xmlns:c16="http://schemas.microsoft.com/office/drawing/2014/chart" uri="{C3380CC4-5D6E-409C-BE32-E72D297353CC}">
              <c16:uniqueId val="{00000010-A142-714D-8CF9-89DC2661A963}"/>
            </c:ext>
          </c:extLst>
        </c:ser>
        <c:ser>
          <c:idx val="11"/>
          <c:order val="12"/>
          <c:tx>
            <c:strRef>
              <c:f>'6. Grain Size Distribution'!$Q$34</c:f>
              <c:strCache>
                <c:ptCount val="1"/>
                <c:pt idx="0">
                  <c:v>-150/+0 L85</c:v>
                </c:pt>
              </c:strCache>
            </c:strRef>
          </c:tx>
          <c:spPr>
            <a:ln w="22225" cap="rnd">
              <a:noFill/>
              <a:round/>
            </a:ln>
            <a:effectLst/>
          </c:spPr>
          <c:marker>
            <c:symbol val="circle"/>
            <c:size val="10"/>
            <c:spPr>
              <a:solidFill>
                <a:schemeClr val="accent6"/>
              </a:solidFill>
              <a:ln w="9525">
                <a:noFill/>
                <a:round/>
              </a:ln>
              <a:effectLst/>
            </c:spPr>
          </c:marker>
          <c:xVal>
            <c:numRef>
              <c:f>'6. Grain Size Distribution'!$R$34</c:f>
              <c:numCache>
                <c:formatCode>General</c:formatCode>
                <c:ptCount val="1"/>
                <c:pt idx="0">
                  <c:v>53</c:v>
                </c:pt>
              </c:numCache>
            </c:numRef>
          </c:xVal>
          <c:yVal>
            <c:numRef>
              <c:f>'6. Grain Size Distribution'!$S$34</c:f>
              <c:numCache>
                <c:formatCode>0%</c:formatCode>
                <c:ptCount val="1"/>
                <c:pt idx="0">
                  <c:v>0.85</c:v>
                </c:pt>
              </c:numCache>
            </c:numRef>
          </c:yVal>
          <c:smooth val="1"/>
          <c:extLst>
            <c:ext xmlns:c16="http://schemas.microsoft.com/office/drawing/2014/chart" uri="{C3380CC4-5D6E-409C-BE32-E72D297353CC}">
              <c16:uniqueId val="{00000011-A142-714D-8CF9-89DC2661A963}"/>
            </c:ext>
          </c:extLst>
        </c:ser>
        <c:ser>
          <c:idx val="13"/>
          <c:order val="13"/>
          <c:tx>
            <c:strRef>
              <c:f>'6. Grain Size Distribution'!$Q$35</c:f>
              <c:strCache>
                <c:ptCount val="1"/>
                <c:pt idx="0">
                  <c:v>SCT L85</c:v>
                </c:pt>
              </c:strCache>
            </c:strRef>
          </c:tx>
          <c:spPr>
            <a:ln w="22225" cap="rnd">
              <a:noFill/>
              <a:round/>
            </a:ln>
            <a:effectLst/>
          </c:spPr>
          <c:marker>
            <c:symbol val="plus"/>
            <c:size val="10"/>
            <c:spPr>
              <a:noFill/>
              <a:ln w="9525">
                <a:solidFill>
                  <a:schemeClr val="accent2"/>
                </a:solidFill>
                <a:round/>
              </a:ln>
              <a:effectLst/>
            </c:spPr>
          </c:marker>
          <c:xVal>
            <c:numRef>
              <c:f>'6. Grain Size Distribution'!$R$35</c:f>
              <c:numCache>
                <c:formatCode>General</c:formatCode>
                <c:ptCount val="1"/>
                <c:pt idx="0">
                  <c:v>35</c:v>
                </c:pt>
              </c:numCache>
            </c:numRef>
          </c:xVal>
          <c:yVal>
            <c:numRef>
              <c:f>'6. Grain Size Distribution'!$S$35</c:f>
              <c:numCache>
                <c:formatCode>0%</c:formatCode>
                <c:ptCount val="1"/>
                <c:pt idx="0">
                  <c:v>0.85</c:v>
                </c:pt>
              </c:numCache>
            </c:numRef>
          </c:yVal>
          <c:smooth val="1"/>
          <c:extLst>
            <c:ext xmlns:c16="http://schemas.microsoft.com/office/drawing/2014/chart" uri="{C3380CC4-5D6E-409C-BE32-E72D297353CC}">
              <c16:uniqueId val="{00000003-1D88-2645-8FCB-801EF73ADB3C}"/>
            </c:ext>
          </c:extLst>
        </c:ser>
        <c:dLbls>
          <c:showLegendKey val="0"/>
          <c:showVal val="0"/>
          <c:showCatName val="0"/>
          <c:showSerName val="0"/>
          <c:showPercent val="0"/>
          <c:showBubbleSize val="0"/>
        </c:dLbls>
        <c:axId val="269554336"/>
        <c:axId val="269554728"/>
      </c:scatterChart>
      <c:valAx>
        <c:axId val="269554336"/>
        <c:scaling>
          <c:logBase val="10"/>
          <c:orientation val="minMax"/>
          <c:min val="0.5"/>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r>
                  <a:rPr lang="en-GB"/>
                  <a:t>Aperture size [µm]</a:t>
                </a:r>
              </a:p>
            </c:rich>
          </c:tx>
          <c:overlay val="0"/>
          <c:spPr>
            <a:noFill/>
            <a:ln>
              <a:noFill/>
            </a:ln>
            <a:effectLst/>
          </c:spPr>
          <c:txPr>
            <a:bodyPr rot="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269554728"/>
        <c:crosses val="autoZero"/>
        <c:crossBetween val="midCat"/>
      </c:valAx>
      <c:valAx>
        <c:axId val="269554728"/>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r>
                  <a:rPr lang="en-GB"/>
                  <a:t>Cumulative % passing</a:t>
                </a:r>
              </a:p>
            </c:rich>
          </c:tx>
          <c:overlay val="0"/>
          <c:spPr>
            <a:noFill/>
            <a:ln>
              <a:noFill/>
            </a:ln>
            <a:effectLst/>
          </c:spPr>
          <c:txPr>
            <a:bodyPr rot="-540000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 sourceLinked="1"/>
        <c:majorTickMark val="none"/>
        <c:minorTickMark val="none"/>
        <c:tickLblPos val="low"/>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269554336"/>
        <c:crosses val="autoZero"/>
        <c:crossBetween val="midCat"/>
      </c:valAx>
      <c:spPr>
        <a:noFill/>
        <a:ln>
          <a:noFill/>
        </a:ln>
        <a:effectLst/>
      </c:spPr>
    </c:plotArea>
    <c:legend>
      <c:legendPos val="t"/>
      <c:layout>
        <c:manualLayout>
          <c:xMode val="edge"/>
          <c:yMode val="edge"/>
          <c:x val="0.81245480921146429"/>
          <c:y val="9.2043024388420422E-2"/>
          <c:w val="0.18638750442564353"/>
          <c:h val="0.87503054248780598"/>
        </c:manualLayout>
      </c:layout>
      <c:overlay val="0"/>
      <c:spPr>
        <a:noFill/>
        <a:ln>
          <a:noFill/>
        </a:ln>
        <a:effectLst/>
      </c:spPr>
      <c:txPr>
        <a:bodyPr rot="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lt1"/>
    </a:solidFill>
    <a:ln w="9525" cap="flat" cmpd="sng" algn="ctr">
      <a:noFill/>
      <a:round/>
    </a:ln>
    <a:effectLst/>
  </c:spPr>
  <c:txPr>
    <a:bodyPr/>
    <a:lstStyle/>
    <a:p>
      <a:pPr>
        <a:defRPr sz="1200" cap="none" baseline="0">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cap="none" spc="120" normalizeH="0" baseline="0">
                <a:solidFill>
                  <a:sysClr val="windowText" lastClr="000000"/>
                </a:solidFill>
                <a:latin typeface="Times New Roman" panose="02020603050405020304" pitchFamily="18" charset="0"/>
                <a:ea typeface="+mn-ea"/>
                <a:cs typeface="Times New Roman" panose="02020603050405020304" pitchFamily="18" charset="0"/>
              </a:defRPr>
            </a:pPr>
            <a:r>
              <a:rPr lang="en-GB"/>
              <a:t>Sample</a:t>
            </a:r>
            <a:r>
              <a:rPr lang="en-GB" baseline="0"/>
              <a:t> B - Fe-sulfide Grain Size Distribution </a:t>
            </a:r>
            <a:endParaRPr lang="en-GB"/>
          </a:p>
        </c:rich>
      </c:tx>
      <c:overlay val="0"/>
      <c:spPr>
        <a:noFill/>
        <a:ln>
          <a:noFill/>
        </a:ln>
        <a:effectLst/>
      </c:spPr>
      <c:txPr>
        <a:bodyPr rot="0" spcFirstLastPara="1" vertOverflow="ellipsis" vert="horz" wrap="square" anchor="ctr" anchorCtr="1"/>
        <a:lstStyle/>
        <a:p>
          <a:pPr>
            <a:defRPr sz="1440" b="1" i="0" u="none" strike="noStrike" kern="1200" cap="none" spc="120" normalizeH="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manualLayout>
          <c:layoutTarget val="inner"/>
          <c:xMode val="edge"/>
          <c:yMode val="edge"/>
          <c:x val="7.3020875521845774E-2"/>
          <c:y val="0.12470003328823137"/>
          <c:w val="0.72996815445497998"/>
          <c:h val="0.74873181775272968"/>
        </c:manualLayout>
      </c:layout>
      <c:scatterChart>
        <c:scatterStyle val="smoothMarker"/>
        <c:varyColors val="0"/>
        <c:ser>
          <c:idx val="0"/>
          <c:order val="0"/>
          <c:tx>
            <c:strRef>
              <c:f>'6. Grain Size Distribution'!$B$3</c:f>
              <c:strCache>
                <c:ptCount val="1"/>
                <c:pt idx="0">
                  <c:v>HCT</c:v>
                </c:pt>
              </c:strCache>
            </c:strRef>
          </c:tx>
          <c:spPr>
            <a:ln w="22225" cap="rnd">
              <a:solidFill>
                <a:schemeClr val="accent1"/>
              </a:solidFill>
              <a:round/>
            </a:ln>
            <a:effectLst/>
          </c:spPr>
          <c:marker>
            <c:symbol val="diamond"/>
            <c:size val="6"/>
            <c:spPr>
              <a:solidFill>
                <a:schemeClr val="accent1"/>
              </a:solidFill>
              <a:ln w="9525">
                <a:solidFill>
                  <a:schemeClr val="accent1"/>
                </a:solidFill>
                <a:round/>
              </a:ln>
              <a:effectLst/>
            </c:spPr>
          </c:marker>
          <c:xVal>
            <c:numRef>
              <c:f>'6. Grain Size Distribution'!$A$43:$A$75</c:f>
              <c:numCache>
                <c:formatCode>0.00</c:formatCode>
                <c:ptCount val="33"/>
                <c:pt idx="0" formatCode="General">
                  <c:v>0.5</c:v>
                </c:pt>
                <c:pt idx="1">
                  <c:v>2</c:v>
                </c:pt>
                <c:pt idx="2" formatCode="General">
                  <c:v>4</c:v>
                </c:pt>
                <c:pt idx="3">
                  <c:v>6</c:v>
                </c:pt>
                <c:pt idx="4" formatCode="General">
                  <c:v>8.5</c:v>
                </c:pt>
                <c:pt idx="5" formatCode="General">
                  <c:v>12.5</c:v>
                </c:pt>
                <c:pt idx="6" formatCode="General">
                  <c:v>17.5</c:v>
                </c:pt>
                <c:pt idx="7" formatCode="General">
                  <c:v>21</c:v>
                </c:pt>
                <c:pt idx="8" formatCode="General">
                  <c:v>22.5</c:v>
                </c:pt>
                <c:pt idx="9" formatCode="General">
                  <c:v>24</c:v>
                </c:pt>
                <c:pt idx="10" formatCode="General">
                  <c:v>27.5</c:v>
                </c:pt>
                <c:pt idx="11" formatCode="General">
                  <c:v>34</c:v>
                </c:pt>
                <c:pt idx="12" formatCode="General">
                  <c:v>41.5</c:v>
                </c:pt>
                <c:pt idx="13" formatCode="General">
                  <c:v>49</c:v>
                </c:pt>
                <c:pt idx="14" formatCode="General">
                  <c:v>59</c:v>
                </c:pt>
                <c:pt idx="15" formatCode="General">
                  <c:v>70</c:v>
                </c:pt>
                <c:pt idx="16" formatCode="General">
                  <c:v>77.5</c:v>
                </c:pt>
                <c:pt idx="17" formatCode="General">
                  <c:v>85</c:v>
                </c:pt>
                <c:pt idx="18" formatCode="General">
                  <c:v>92.5</c:v>
                </c:pt>
                <c:pt idx="19" formatCode="General">
                  <c:v>97.5</c:v>
                </c:pt>
                <c:pt idx="20" formatCode="General">
                  <c:v>102.5</c:v>
                </c:pt>
                <c:pt idx="21" formatCode="General">
                  <c:v>107.5</c:v>
                </c:pt>
                <c:pt idx="22" formatCode="General">
                  <c:v>112.5</c:v>
                </c:pt>
                <c:pt idx="23" formatCode="General">
                  <c:v>117.5</c:v>
                </c:pt>
                <c:pt idx="24" formatCode="General">
                  <c:v>122.5</c:v>
                </c:pt>
                <c:pt idx="25" formatCode="General">
                  <c:v>137.5</c:v>
                </c:pt>
                <c:pt idx="26" formatCode="General">
                  <c:v>225</c:v>
                </c:pt>
                <c:pt idx="27" formatCode="General">
                  <c:v>350</c:v>
                </c:pt>
                <c:pt idx="28" formatCode="General">
                  <c:v>450</c:v>
                </c:pt>
                <c:pt idx="29" formatCode="General">
                  <c:v>750</c:v>
                </c:pt>
                <c:pt idx="30" formatCode="General">
                  <c:v>1500</c:v>
                </c:pt>
                <c:pt idx="31" formatCode="General">
                  <c:v>3000</c:v>
                </c:pt>
                <c:pt idx="32" formatCode="0">
                  <c:v>5350</c:v>
                </c:pt>
              </c:numCache>
            </c:numRef>
          </c:xVal>
          <c:yVal>
            <c:numRef>
              <c:f>'6. Grain Size Distribution'!$B$43:$B$75</c:f>
              <c:numCache>
                <c:formatCode>0%</c:formatCode>
                <c:ptCount val="33"/>
                <c:pt idx="0">
                  <c:v>0</c:v>
                </c:pt>
                <c:pt idx="1">
                  <c:v>0</c:v>
                </c:pt>
                <c:pt idx="2">
                  <c:v>0</c:v>
                </c:pt>
                <c:pt idx="3">
                  <c:v>0</c:v>
                </c:pt>
                <c:pt idx="4">
                  <c:v>1.0958190981283459E-2</c:v>
                </c:pt>
                <c:pt idx="5">
                  <c:v>2.2297026328490538E-2</c:v>
                </c:pt>
                <c:pt idx="6">
                  <c:v>2.5081936576150616E-2</c:v>
                </c:pt>
                <c:pt idx="7">
                  <c:v>2.9999769621204812E-2</c:v>
                </c:pt>
                <c:pt idx="8">
                  <c:v>5.6489671205201049E-2</c:v>
                </c:pt>
                <c:pt idx="9">
                  <c:v>5.9613073540250229E-2</c:v>
                </c:pt>
                <c:pt idx="10">
                  <c:v>7.2769615594902595E-2</c:v>
                </c:pt>
                <c:pt idx="11">
                  <c:v>9.9784854038388715E-2</c:v>
                </c:pt>
                <c:pt idx="12">
                  <c:v>0.13477518058596472</c:v>
                </c:pt>
                <c:pt idx="13">
                  <c:v>0.16338484382645724</c:v>
                </c:pt>
                <c:pt idx="14">
                  <c:v>0.21213521581736797</c:v>
                </c:pt>
                <c:pt idx="15">
                  <c:v>0.26489038766119233</c:v>
                </c:pt>
                <c:pt idx="16">
                  <c:v>0.29025003486048684</c:v>
                </c:pt>
                <c:pt idx="17">
                  <c:v>0.3386970541581289</c:v>
                </c:pt>
                <c:pt idx="18">
                  <c:v>0.36214598361181866</c:v>
                </c:pt>
                <c:pt idx="19">
                  <c:v>0.38871481563310356</c:v>
                </c:pt>
                <c:pt idx="20">
                  <c:v>0.41362151000536174</c:v>
                </c:pt>
                <c:pt idx="21">
                  <c:v>0.4380979735191351</c:v>
                </c:pt>
                <c:pt idx="22">
                  <c:v>0.46140042157180178</c:v>
                </c:pt>
                <c:pt idx="23">
                  <c:v>0.48694984921149087</c:v>
                </c:pt>
                <c:pt idx="24">
                  <c:v>0.51890558925467234</c:v>
                </c:pt>
                <c:pt idx="25">
                  <c:v>0.63918961874069924</c:v>
                </c:pt>
                <c:pt idx="26">
                  <c:v>0.92109432862400242</c:v>
                </c:pt>
                <c:pt idx="27">
                  <c:v>0.9389522024237883</c:v>
                </c:pt>
                <c:pt idx="28">
                  <c:v>0.99339637957502458</c:v>
                </c:pt>
                <c:pt idx="29">
                  <c:v>1</c:v>
                </c:pt>
                <c:pt idx="30">
                  <c:v>1</c:v>
                </c:pt>
                <c:pt idx="31">
                  <c:v>1</c:v>
                </c:pt>
                <c:pt idx="32">
                  <c:v>1</c:v>
                </c:pt>
              </c:numCache>
            </c:numRef>
          </c:yVal>
          <c:smooth val="1"/>
          <c:extLst>
            <c:ext xmlns:c16="http://schemas.microsoft.com/office/drawing/2014/chart" uri="{C3380CC4-5D6E-409C-BE32-E72D297353CC}">
              <c16:uniqueId val="{00000000-3CFD-1940-91CC-B7EDAE612256}"/>
            </c:ext>
          </c:extLst>
        </c:ser>
        <c:ser>
          <c:idx val="1"/>
          <c:order val="1"/>
          <c:tx>
            <c:strRef>
              <c:f>'6. Grain Size Distribution'!$D$3</c:f>
              <c:strCache>
                <c:ptCount val="1"/>
                <c:pt idx="0">
                  <c:v>-6700/+2000</c:v>
                </c:pt>
              </c:strCache>
            </c:strRef>
          </c:tx>
          <c:spPr>
            <a:ln w="22225" cap="rnd">
              <a:solidFill>
                <a:schemeClr val="accent2"/>
              </a:solidFill>
              <a:round/>
            </a:ln>
            <a:effectLst/>
          </c:spPr>
          <c:marker>
            <c:symbol val="diamond"/>
            <c:size val="6"/>
            <c:spPr>
              <a:solidFill>
                <a:schemeClr val="accent2"/>
              </a:solidFill>
              <a:ln w="9525">
                <a:solidFill>
                  <a:schemeClr val="accent2"/>
                </a:solidFill>
                <a:round/>
              </a:ln>
              <a:effectLst/>
            </c:spPr>
          </c:marker>
          <c:xVal>
            <c:numRef>
              <c:f>'6. Grain Size Distribution'!$C$43:$C$67</c:f>
              <c:numCache>
                <c:formatCode>General</c:formatCode>
                <c:ptCount val="25"/>
                <c:pt idx="0">
                  <c:v>2.5</c:v>
                </c:pt>
                <c:pt idx="1">
                  <c:v>7.5</c:v>
                </c:pt>
                <c:pt idx="2">
                  <c:v>17.5</c:v>
                </c:pt>
                <c:pt idx="3">
                  <c:v>37.5</c:v>
                </c:pt>
                <c:pt idx="4">
                  <c:v>62.5</c:v>
                </c:pt>
                <c:pt idx="5">
                  <c:v>87.5</c:v>
                </c:pt>
                <c:pt idx="6">
                  <c:v>112.5</c:v>
                </c:pt>
                <c:pt idx="7">
                  <c:v>137.5</c:v>
                </c:pt>
                <c:pt idx="8">
                  <c:v>162.5</c:v>
                </c:pt>
                <c:pt idx="9">
                  <c:v>187.5</c:v>
                </c:pt>
                <c:pt idx="10">
                  <c:v>212.5</c:v>
                </c:pt>
                <c:pt idx="11">
                  <c:v>237.5</c:v>
                </c:pt>
                <c:pt idx="12">
                  <c:v>262.5</c:v>
                </c:pt>
                <c:pt idx="13">
                  <c:v>287.5</c:v>
                </c:pt>
                <c:pt idx="14">
                  <c:v>312.5</c:v>
                </c:pt>
                <c:pt idx="15">
                  <c:v>337.5</c:v>
                </c:pt>
                <c:pt idx="16">
                  <c:v>362.5</c:v>
                </c:pt>
                <c:pt idx="17">
                  <c:v>387.5</c:v>
                </c:pt>
                <c:pt idx="18">
                  <c:v>412.5</c:v>
                </c:pt>
                <c:pt idx="19">
                  <c:v>437.5</c:v>
                </c:pt>
                <c:pt idx="20">
                  <c:v>465</c:v>
                </c:pt>
                <c:pt idx="21">
                  <c:v>485</c:v>
                </c:pt>
                <c:pt idx="22">
                  <c:v>495</c:v>
                </c:pt>
                <c:pt idx="23">
                  <c:v>750</c:v>
                </c:pt>
                <c:pt idx="24">
                  <c:v>1000</c:v>
                </c:pt>
              </c:numCache>
            </c:numRef>
          </c:xVal>
          <c:yVal>
            <c:numRef>
              <c:f>'6. Grain Size Distribution'!$D$43:$D$67</c:f>
              <c:numCache>
                <c:formatCode>0%</c:formatCode>
                <c:ptCount val="25"/>
                <c:pt idx="0">
                  <c:v>0</c:v>
                </c:pt>
                <c:pt idx="1">
                  <c:v>0</c:v>
                </c:pt>
                <c:pt idx="2">
                  <c:v>2.8619773708899024E-2</c:v>
                </c:pt>
                <c:pt idx="3">
                  <c:v>9.0381597383679846E-2</c:v>
                </c:pt>
                <c:pt idx="4">
                  <c:v>0.18715868194004062</c:v>
                </c:pt>
                <c:pt idx="5">
                  <c:v>0.30689710028231687</c:v>
                </c:pt>
                <c:pt idx="6">
                  <c:v>0.45002686706644029</c:v>
                </c:pt>
                <c:pt idx="7">
                  <c:v>0.58642167119655519</c:v>
                </c:pt>
                <c:pt idx="8">
                  <c:v>0.68728623886230278</c:v>
                </c:pt>
                <c:pt idx="9">
                  <c:v>0.77427751174554604</c:v>
                </c:pt>
                <c:pt idx="10">
                  <c:v>0.82164158509326291</c:v>
                </c:pt>
                <c:pt idx="11">
                  <c:v>0.84222736916448993</c:v>
                </c:pt>
                <c:pt idx="12">
                  <c:v>0.8609038477741825</c:v>
                </c:pt>
                <c:pt idx="13">
                  <c:v>0.9045044680669112</c:v>
                </c:pt>
                <c:pt idx="14">
                  <c:v>0.91024267155533478</c:v>
                </c:pt>
                <c:pt idx="15">
                  <c:v>0.91454628618849743</c:v>
                </c:pt>
                <c:pt idx="16">
                  <c:v>0.91641995712237911</c:v>
                </c:pt>
                <c:pt idx="17">
                  <c:v>0.91718148556891255</c:v>
                </c:pt>
                <c:pt idx="18">
                  <c:v>0.91888398859093046</c:v>
                </c:pt>
                <c:pt idx="19">
                  <c:v>0.92670978729386211</c:v>
                </c:pt>
                <c:pt idx="20">
                  <c:v>0.98806291330193108</c:v>
                </c:pt>
                <c:pt idx="21">
                  <c:v>1</c:v>
                </c:pt>
                <c:pt idx="22">
                  <c:v>1</c:v>
                </c:pt>
                <c:pt idx="23">
                  <c:v>1.0003732974468742</c:v>
                </c:pt>
                <c:pt idx="24">
                  <c:v>1.0003732974468742</c:v>
                </c:pt>
              </c:numCache>
            </c:numRef>
          </c:yVal>
          <c:smooth val="1"/>
          <c:extLst>
            <c:ext xmlns:c16="http://schemas.microsoft.com/office/drawing/2014/chart" uri="{C3380CC4-5D6E-409C-BE32-E72D297353CC}">
              <c16:uniqueId val="{00000001-3CFD-1940-91CC-B7EDAE612256}"/>
            </c:ext>
          </c:extLst>
        </c:ser>
        <c:ser>
          <c:idx val="2"/>
          <c:order val="2"/>
          <c:tx>
            <c:strRef>
              <c:f>'6. Grain Size Distribution'!$E$3</c:f>
              <c:strCache>
                <c:ptCount val="1"/>
                <c:pt idx="0">
                  <c:v>-2000/+1000</c:v>
                </c:pt>
              </c:strCache>
            </c:strRef>
          </c:tx>
          <c:spPr>
            <a:ln w="22225" cap="rnd">
              <a:solidFill>
                <a:schemeClr val="accent3"/>
              </a:solidFill>
              <a:round/>
            </a:ln>
            <a:effectLst/>
          </c:spPr>
          <c:marker>
            <c:symbol val="triangle"/>
            <c:size val="6"/>
            <c:spPr>
              <a:solidFill>
                <a:schemeClr val="accent3"/>
              </a:solidFill>
              <a:ln w="9525">
                <a:solidFill>
                  <a:schemeClr val="accent3"/>
                </a:solidFill>
                <a:round/>
              </a:ln>
              <a:effectLst/>
            </c:spPr>
          </c:marker>
          <c:xVal>
            <c:numRef>
              <c:f>'6. Grain Size Distribution'!$C$43:$C$67</c:f>
              <c:numCache>
                <c:formatCode>General</c:formatCode>
                <c:ptCount val="25"/>
                <c:pt idx="0">
                  <c:v>2.5</c:v>
                </c:pt>
                <c:pt idx="1">
                  <c:v>7.5</c:v>
                </c:pt>
                <c:pt idx="2">
                  <c:v>17.5</c:v>
                </c:pt>
                <c:pt idx="3">
                  <c:v>37.5</c:v>
                </c:pt>
                <c:pt idx="4">
                  <c:v>62.5</c:v>
                </c:pt>
                <c:pt idx="5">
                  <c:v>87.5</c:v>
                </c:pt>
                <c:pt idx="6">
                  <c:v>112.5</c:v>
                </c:pt>
                <c:pt idx="7">
                  <c:v>137.5</c:v>
                </c:pt>
                <c:pt idx="8">
                  <c:v>162.5</c:v>
                </c:pt>
                <c:pt idx="9">
                  <c:v>187.5</c:v>
                </c:pt>
                <c:pt idx="10">
                  <c:v>212.5</c:v>
                </c:pt>
                <c:pt idx="11">
                  <c:v>237.5</c:v>
                </c:pt>
                <c:pt idx="12">
                  <c:v>262.5</c:v>
                </c:pt>
                <c:pt idx="13">
                  <c:v>287.5</c:v>
                </c:pt>
                <c:pt idx="14">
                  <c:v>312.5</c:v>
                </c:pt>
                <c:pt idx="15">
                  <c:v>337.5</c:v>
                </c:pt>
                <c:pt idx="16">
                  <c:v>362.5</c:v>
                </c:pt>
                <c:pt idx="17">
                  <c:v>387.5</c:v>
                </c:pt>
                <c:pt idx="18">
                  <c:v>412.5</c:v>
                </c:pt>
                <c:pt idx="19">
                  <c:v>437.5</c:v>
                </c:pt>
                <c:pt idx="20">
                  <c:v>465</c:v>
                </c:pt>
                <c:pt idx="21">
                  <c:v>485</c:v>
                </c:pt>
                <c:pt idx="22">
                  <c:v>495</c:v>
                </c:pt>
                <c:pt idx="23">
                  <c:v>750</c:v>
                </c:pt>
                <c:pt idx="24">
                  <c:v>1000</c:v>
                </c:pt>
              </c:numCache>
            </c:numRef>
          </c:xVal>
          <c:yVal>
            <c:numRef>
              <c:f>'6. Grain Size Distribution'!$E$43:$E$67</c:f>
              <c:numCache>
                <c:formatCode>0%</c:formatCode>
                <c:ptCount val="25"/>
                <c:pt idx="0">
                  <c:v>0</c:v>
                </c:pt>
                <c:pt idx="1">
                  <c:v>0</c:v>
                </c:pt>
                <c:pt idx="2">
                  <c:v>2.8077425367775168E-2</c:v>
                </c:pt>
                <c:pt idx="3">
                  <c:v>8.799001260282667E-2</c:v>
                </c:pt>
                <c:pt idx="4">
                  <c:v>0.18753809058983678</c:v>
                </c:pt>
                <c:pt idx="5">
                  <c:v>0.3106746439450499</c:v>
                </c:pt>
                <c:pt idx="6">
                  <c:v>0.43295724079980719</c:v>
                </c:pt>
                <c:pt idx="7">
                  <c:v>0.56316722642257955</c:v>
                </c:pt>
                <c:pt idx="8">
                  <c:v>0.71316338239460209</c:v>
                </c:pt>
                <c:pt idx="9">
                  <c:v>0.78524207645309008</c:v>
                </c:pt>
                <c:pt idx="10">
                  <c:v>0.82600019187479734</c:v>
                </c:pt>
                <c:pt idx="11">
                  <c:v>0.87864824810642317</c:v>
                </c:pt>
                <c:pt idx="12">
                  <c:v>0.89681154268882468</c:v>
                </c:pt>
                <c:pt idx="13">
                  <c:v>0.90390636116555811</c:v>
                </c:pt>
                <c:pt idx="14">
                  <c:v>0.9175051280746741</c:v>
                </c:pt>
                <c:pt idx="15">
                  <c:v>0.9175051280746741</c:v>
                </c:pt>
                <c:pt idx="16">
                  <c:v>0.93631542747671959</c:v>
                </c:pt>
                <c:pt idx="17">
                  <c:v>0.94095875320804923</c:v>
                </c:pt>
                <c:pt idx="18">
                  <c:v>0.94226624980301743</c:v>
                </c:pt>
                <c:pt idx="19">
                  <c:v>0.94226624980301743</c:v>
                </c:pt>
                <c:pt idx="20">
                  <c:v>0.95839050149228322</c:v>
                </c:pt>
                <c:pt idx="21">
                  <c:v>0.95839050149228322</c:v>
                </c:pt>
                <c:pt idx="22">
                  <c:v>0.95839050149228322</c:v>
                </c:pt>
                <c:pt idx="23">
                  <c:v>1</c:v>
                </c:pt>
                <c:pt idx="24">
                  <c:v>1</c:v>
                </c:pt>
              </c:numCache>
            </c:numRef>
          </c:yVal>
          <c:smooth val="1"/>
          <c:extLst>
            <c:ext xmlns:c16="http://schemas.microsoft.com/office/drawing/2014/chart" uri="{C3380CC4-5D6E-409C-BE32-E72D297353CC}">
              <c16:uniqueId val="{00000002-3CFD-1940-91CC-B7EDAE612256}"/>
            </c:ext>
          </c:extLst>
        </c:ser>
        <c:ser>
          <c:idx val="3"/>
          <c:order val="3"/>
          <c:tx>
            <c:strRef>
              <c:f>'6. Grain Size Distribution'!$F$3</c:f>
              <c:strCache>
                <c:ptCount val="1"/>
                <c:pt idx="0">
                  <c:v>-1000/+425</c:v>
                </c:pt>
              </c:strCache>
            </c:strRef>
          </c:tx>
          <c:spPr>
            <a:ln w="22225" cap="rnd">
              <a:solidFill>
                <a:schemeClr val="accent4"/>
              </a:solidFill>
              <a:round/>
            </a:ln>
            <a:effectLst/>
          </c:spPr>
          <c:marker>
            <c:symbol val="square"/>
            <c:size val="6"/>
            <c:spPr>
              <a:solidFill>
                <a:schemeClr val="accent4"/>
              </a:solidFill>
              <a:ln w="9525">
                <a:solidFill>
                  <a:schemeClr val="accent4"/>
                </a:solidFill>
                <a:round/>
              </a:ln>
              <a:effectLst/>
            </c:spPr>
          </c:marker>
          <c:xVal>
            <c:numRef>
              <c:f>'6. Grain Size Distribution'!$C$43:$C$67</c:f>
              <c:numCache>
                <c:formatCode>General</c:formatCode>
                <c:ptCount val="25"/>
                <c:pt idx="0">
                  <c:v>2.5</c:v>
                </c:pt>
                <c:pt idx="1">
                  <c:v>7.5</c:v>
                </c:pt>
                <c:pt idx="2">
                  <c:v>17.5</c:v>
                </c:pt>
                <c:pt idx="3">
                  <c:v>37.5</c:v>
                </c:pt>
                <c:pt idx="4">
                  <c:v>62.5</c:v>
                </c:pt>
                <c:pt idx="5">
                  <c:v>87.5</c:v>
                </c:pt>
                <c:pt idx="6">
                  <c:v>112.5</c:v>
                </c:pt>
                <c:pt idx="7">
                  <c:v>137.5</c:v>
                </c:pt>
                <c:pt idx="8">
                  <c:v>162.5</c:v>
                </c:pt>
                <c:pt idx="9">
                  <c:v>187.5</c:v>
                </c:pt>
                <c:pt idx="10">
                  <c:v>212.5</c:v>
                </c:pt>
                <c:pt idx="11">
                  <c:v>237.5</c:v>
                </c:pt>
                <c:pt idx="12">
                  <c:v>262.5</c:v>
                </c:pt>
                <c:pt idx="13">
                  <c:v>287.5</c:v>
                </c:pt>
                <c:pt idx="14">
                  <c:v>312.5</c:v>
                </c:pt>
                <c:pt idx="15">
                  <c:v>337.5</c:v>
                </c:pt>
                <c:pt idx="16">
                  <c:v>362.5</c:v>
                </c:pt>
                <c:pt idx="17">
                  <c:v>387.5</c:v>
                </c:pt>
                <c:pt idx="18">
                  <c:v>412.5</c:v>
                </c:pt>
                <c:pt idx="19">
                  <c:v>437.5</c:v>
                </c:pt>
                <c:pt idx="20">
                  <c:v>465</c:v>
                </c:pt>
                <c:pt idx="21">
                  <c:v>485</c:v>
                </c:pt>
                <c:pt idx="22">
                  <c:v>495</c:v>
                </c:pt>
                <c:pt idx="23">
                  <c:v>750</c:v>
                </c:pt>
                <c:pt idx="24">
                  <c:v>1000</c:v>
                </c:pt>
              </c:numCache>
            </c:numRef>
          </c:xVal>
          <c:yVal>
            <c:numRef>
              <c:f>'6. Grain Size Distribution'!$F$43:$F$67</c:f>
              <c:numCache>
                <c:formatCode>0%</c:formatCode>
                <c:ptCount val="25"/>
                <c:pt idx="0">
                  <c:v>0</c:v>
                </c:pt>
                <c:pt idx="1">
                  <c:v>0</c:v>
                </c:pt>
                <c:pt idx="2">
                  <c:v>3.2791873065555407E-2</c:v>
                </c:pt>
                <c:pt idx="3">
                  <c:v>0.1204768800827687</c:v>
                </c:pt>
                <c:pt idx="4">
                  <c:v>0.26860348877629353</c:v>
                </c:pt>
                <c:pt idx="5">
                  <c:v>0.40712195793562994</c:v>
                </c:pt>
                <c:pt idx="6">
                  <c:v>0.5210365980655024</c:v>
                </c:pt>
                <c:pt idx="7">
                  <c:v>0.61911049376600302</c:v>
                </c:pt>
                <c:pt idx="8">
                  <c:v>0.6909484629395034</c:v>
                </c:pt>
                <c:pt idx="9">
                  <c:v>0.73950557559932284</c:v>
                </c:pt>
                <c:pt idx="10">
                  <c:v>0.81640460100440515</c:v>
                </c:pt>
                <c:pt idx="11">
                  <c:v>0.82000851665707564</c:v>
                </c:pt>
                <c:pt idx="12">
                  <c:v>0.88080365222862544</c:v>
                </c:pt>
                <c:pt idx="13">
                  <c:v>0.88585865710026557</c:v>
                </c:pt>
                <c:pt idx="14">
                  <c:v>0.90599421573900951</c:v>
                </c:pt>
                <c:pt idx="15">
                  <c:v>0.9376412414305122</c:v>
                </c:pt>
                <c:pt idx="16">
                  <c:v>0.96307174539680507</c:v>
                </c:pt>
                <c:pt idx="17">
                  <c:v>0.96307174539680507</c:v>
                </c:pt>
                <c:pt idx="18">
                  <c:v>0.96307174539680507</c:v>
                </c:pt>
                <c:pt idx="19">
                  <c:v>0.97461006972973674</c:v>
                </c:pt>
                <c:pt idx="20">
                  <c:v>0.97461006972973674</c:v>
                </c:pt>
                <c:pt idx="21">
                  <c:v>0.97461006972973674</c:v>
                </c:pt>
                <c:pt idx="22">
                  <c:v>0.97461006972973674</c:v>
                </c:pt>
                <c:pt idx="23">
                  <c:v>1</c:v>
                </c:pt>
                <c:pt idx="24">
                  <c:v>1</c:v>
                </c:pt>
              </c:numCache>
            </c:numRef>
          </c:yVal>
          <c:smooth val="1"/>
          <c:extLst>
            <c:ext xmlns:c16="http://schemas.microsoft.com/office/drawing/2014/chart" uri="{C3380CC4-5D6E-409C-BE32-E72D297353CC}">
              <c16:uniqueId val="{00000003-3CFD-1940-91CC-B7EDAE612256}"/>
            </c:ext>
          </c:extLst>
        </c:ser>
        <c:ser>
          <c:idx val="4"/>
          <c:order val="4"/>
          <c:tx>
            <c:strRef>
              <c:f>'6. Grain Size Distribution'!$G$3</c:f>
              <c:strCache>
                <c:ptCount val="1"/>
                <c:pt idx="0">
                  <c:v>-425/+150</c:v>
                </c:pt>
              </c:strCache>
            </c:strRef>
          </c:tx>
          <c:spPr>
            <a:ln w="22225" cap="rnd">
              <a:solidFill>
                <a:schemeClr val="accent5"/>
              </a:solidFill>
              <a:round/>
            </a:ln>
            <a:effectLst/>
          </c:spPr>
          <c:marker>
            <c:symbol val="star"/>
            <c:size val="6"/>
            <c:spPr>
              <a:noFill/>
              <a:ln w="9525">
                <a:solidFill>
                  <a:schemeClr val="accent5"/>
                </a:solidFill>
                <a:round/>
              </a:ln>
              <a:effectLst/>
            </c:spPr>
          </c:marker>
          <c:xVal>
            <c:numRef>
              <c:f>'6. Grain Size Distribution'!$C$43:$C$67</c:f>
              <c:numCache>
                <c:formatCode>General</c:formatCode>
                <c:ptCount val="25"/>
                <c:pt idx="0">
                  <c:v>2.5</c:v>
                </c:pt>
                <c:pt idx="1">
                  <c:v>7.5</c:v>
                </c:pt>
                <c:pt idx="2">
                  <c:v>17.5</c:v>
                </c:pt>
                <c:pt idx="3">
                  <c:v>37.5</c:v>
                </c:pt>
                <c:pt idx="4">
                  <c:v>62.5</c:v>
                </c:pt>
                <c:pt idx="5">
                  <c:v>87.5</c:v>
                </c:pt>
                <c:pt idx="6">
                  <c:v>112.5</c:v>
                </c:pt>
                <c:pt idx="7">
                  <c:v>137.5</c:v>
                </c:pt>
                <c:pt idx="8">
                  <c:v>162.5</c:v>
                </c:pt>
                <c:pt idx="9">
                  <c:v>187.5</c:v>
                </c:pt>
                <c:pt idx="10">
                  <c:v>212.5</c:v>
                </c:pt>
                <c:pt idx="11">
                  <c:v>237.5</c:v>
                </c:pt>
                <c:pt idx="12">
                  <c:v>262.5</c:v>
                </c:pt>
                <c:pt idx="13">
                  <c:v>287.5</c:v>
                </c:pt>
                <c:pt idx="14">
                  <c:v>312.5</c:v>
                </c:pt>
                <c:pt idx="15">
                  <c:v>337.5</c:v>
                </c:pt>
                <c:pt idx="16">
                  <c:v>362.5</c:v>
                </c:pt>
                <c:pt idx="17">
                  <c:v>387.5</c:v>
                </c:pt>
                <c:pt idx="18">
                  <c:v>412.5</c:v>
                </c:pt>
                <c:pt idx="19">
                  <c:v>437.5</c:v>
                </c:pt>
                <c:pt idx="20">
                  <c:v>465</c:v>
                </c:pt>
                <c:pt idx="21">
                  <c:v>485</c:v>
                </c:pt>
                <c:pt idx="22">
                  <c:v>495</c:v>
                </c:pt>
                <c:pt idx="23">
                  <c:v>750</c:v>
                </c:pt>
                <c:pt idx="24">
                  <c:v>1000</c:v>
                </c:pt>
              </c:numCache>
            </c:numRef>
          </c:xVal>
          <c:yVal>
            <c:numRef>
              <c:f>'6. Grain Size Distribution'!$G$43:$G$67</c:f>
              <c:numCache>
                <c:formatCode>0%</c:formatCode>
                <c:ptCount val="25"/>
                <c:pt idx="0">
                  <c:v>0</c:v>
                </c:pt>
                <c:pt idx="1">
                  <c:v>5.1088353913153906E-3</c:v>
                </c:pt>
                <c:pt idx="2">
                  <c:v>2.7914890233159552E-2</c:v>
                </c:pt>
                <c:pt idx="3">
                  <c:v>0.11256656348293997</c:v>
                </c:pt>
                <c:pt idx="4">
                  <c:v>0.2331181078201941</c:v>
                </c:pt>
                <c:pt idx="5">
                  <c:v>0.35359110086883266</c:v>
                </c:pt>
                <c:pt idx="6">
                  <c:v>0.48511741785397494</c:v>
                </c:pt>
                <c:pt idx="7">
                  <c:v>0.62824548887587628</c:v>
                </c:pt>
                <c:pt idx="8">
                  <c:v>0.76437225012285204</c:v>
                </c:pt>
                <c:pt idx="9">
                  <c:v>0.83807138548565097</c:v>
                </c:pt>
                <c:pt idx="10">
                  <c:v>0.89847517294491563</c:v>
                </c:pt>
                <c:pt idx="11">
                  <c:v>0.93884662935656815</c:v>
                </c:pt>
                <c:pt idx="12">
                  <c:v>0.97264865698814484</c:v>
                </c:pt>
                <c:pt idx="13">
                  <c:v>0.99589815674281601</c:v>
                </c:pt>
                <c:pt idx="14">
                  <c:v>1</c:v>
                </c:pt>
                <c:pt idx="15">
                  <c:v>1</c:v>
                </c:pt>
                <c:pt idx="16">
                  <c:v>1</c:v>
                </c:pt>
                <c:pt idx="17">
                  <c:v>1</c:v>
                </c:pt>
                <c:pt idx="18">
                  <c:v>1</c:v>
                </c:pt>
                <c:pt idx="19">
                  <c:v>1</c:v>
                </c:pt>
                <c:pt idx="20">
                  <c:v>1</c:v>
                </c:pt>
                <c:pt idx="21">
                  <c:v>1</c:v>
                </c:pt>
                <c:pt idx="22">
                  <c:v>1</c:v>
                </c:pt>
                <c:pt idx="23">
                  <c:v>1</c:v>
                </c:pt>
                <c:pt idx="24">
                  <c:v>1</c:v>
                </c:pt>
              </c:numCache>
            </c:numRef>
          </c:yVal>
          <c:smooth val="1"/>
          <c:extLst>
            <c:ext xmlns:c16="http://schemas.microsoft.com/office/drawing/2014/chart" uri="{C3380CC4-5D6E-409C-BE32-E72D297353CC}">
              <c16:uniqueId val="{00000004-3CFD-1940-91CC-B7EDAE612256}"/>
            </c:ext>
          </c:extLst>
        </c:ser>
        <c:ser>
          <c:idx val="5"/>
          <c:order val="5"/>
          <c:tx>
            <c:strRef>
              <c:f>'6. Grain Size Distribution'!$I$3</c:f>
              <c:strCache>
                <c:ptCount val="1"/>
                <c:pt idx="0">
                  <c:v>-150/+0</c:v>
                </c:pt>
              </c:strCache>
            </c:strRef>
          </c:tx>
          <c:spPr>
            <a:ln w="22225" cap="rnd">
              <a:solidFill>
                <a:schemeClr val="accent6"/>
              </a:solidFill>
              <a:round/>
            </a:ln>
            <a:effectLst/>
          </c:spPr>
          <c:marker>
            <c:symbol val="circle"/>
            <c:size val="6"/>
            <c:spPr>
              <a:solidFill>
                <a:schemeClr val="accent6"/>
              </a:solidFill>
              <a:ln w="9525">
                <a:solidFill>
                  <a:schemeClr val="accent6"/>
                </a:solidFill>
                <a:round/>
              </a:ln>
              <a:effectLst/>
            </c:spPr>
          </c:marker>
          <c:xVal>
            <c:numRef>
              <c:f>'6. Grain Size Distribution'!$H$43:$H$67</c:f>
              <c:numCache>
                <c:formatCode>General</c:formatCode>
                <c:ptCount val="25"/>
                <c:pt idx="0">
                  <c:v>0.5</c:v>
                </c:pt>
                <c:pt idx="1">
                  <c:v>2</c:v>
                </c:pt>
                <c:pt idx="2">
                  <c:v>4</c:v>
                </c:pt>
                <c:pt idx="3">
                  <c:v>6</c:v>
                </c:pt>
                <c:pt idx="4">
                  <c:v>8.5</c:v>
                </c:pt>
                <c:pt idx="5">
                  <c:v>12.5</c:v>
                </c:pt>
                <c:pt idx="6">
                  <c:v>17.5</c:v>
                </c:pt>
                <c:pt idx="7">
                  <c:v>22.5</c:v>
                </c:pt>
                <c:pt idx="8">
                  <c:v>27.5</c:v>
                </c:pt>
                <c:pt idx="9">
                  <c:v>34</c:v>
                </c:pt>
                <c:pt idx="10">
                  <c:v>41.5</c:v>
                </c:pt>
                <c:pt idx="11">
                  <c:v>49</c:v>
                </c:pt>
                <c:pt idx="12">
                  <c:v>64</c:v>
                </c:pt>
                <c:pt idx="13">
                  <c:v>77.5</c:v>
                </c:pt>
                <c:pt idx="14">
                  <c:v>85</c:v>
                </c:pt>
                <c:pt idx="15">
                  <c:v>92.5</c:v>
                </c:pt>
                <c:pt idx="16">
                  <c:v>97.5</c:v>
                </c:pt>
                <c:pt idx="17">
                  <c:v>102.5</c:v>
                </c:pt>
                <c:pt idx="18">
                  <c:v>107.5</c:v>
                </c:pt>
                <c:pt idx="19">
                  <c:v>112.5</c:v>
                </c:pt>
                <c:pt idx="20">
                  <c:v>117.5</c:v>
                </c:pt>
                <c:pt idx="21">
                  <c:v>122.5</c:v>
                </c:pt>
                <c:pt idx="22">
                  <c:v>137.5</c:v>
                </c:pt>
                <c:pt idx="23">
                  <c:v>225</c:v>
                </c:pt>
                <c:pt idx="24">
                  <c:v>300</c:v>
                </c:pt>
              </c:numCache>
            </c:numRef>
          </c:xVal>
          <c:yVal>
            <c:numRef>
              <c:f>'6. Grain Size Distribution'!$I$43:$I$67</c:f>
              <c:numCache>
                <c:formatCode>0%</c:formatCode>
                <c:ptCount val="25"/>
                <c:pt idx="0">
                  <c:v>0</c:v>
                </c:pt>
                <c:pt idx="1">
                  <c:v>0</c:v>
                </c:pt>
                <c:pt idx="2">
                  <c:v>0</c:v>
                </c:pt>
                <c:pt idx="3">
                  <c:v>0</c:v>
                </c:pt>
                <c:pt idx="4">
                  <c:v>8.4164534558594559E-2</c:v>
                </c:pt>
                <c:pt idx="5">
                  <c:v>0.16008370440246861</c:v>
                </c:pt>
                <c:pt idx="6">
                  <c:v>0.21605238512511557</c:v>
                </c:pt>
                <c:pt idx="7">
                  <c:v>0.27260712750043176</c:v>
                </c:pt>
                <c:pt idx="8">
                  <c:v>0.3328120252603381</c:v>
                </c:pt>
                <c:pt idx="9">
                  <c:v>0.41902416908323015</c:v>
                </c:pt>
                <c:pt idx="10">
                  <c:v>0.4929157861993716</c:v>
                </c:pt>
                <c:pt idx="11">
                  <c:v>0.56355134273360541</c:v>
                </c:pt>
                <c:pt idx="12">
                  <c:v>0.73384548965307272</c:v>
                </c:pt>
                <c:pt idx="13">
                  <c:v>0.77213322933598405</c:v>
                </c:pt>
                <c:pt idx="14">
                  <c:v>0.82499432098063719</c:v>
                </c:pt>
                <c:pt idx="15">
                  <c:v>0.85109096017815122</c:v>
                </c:pt>
                <c:pt idx="16">
                  <c:v>0.87205793662371545</c:v>
                </c:pt>
                <c:pt idx="17">
                  <c:v>0.88970359804150168</c:v>
                </c:pt>
                <c:pt idx="18">
                  <c:v>0.90401334123899557</c:v>
                </c:pt>
                <c:pt idx="19">
                  <c:v>0.92596781001588202</c:v>
                </c:pt>
                <c:pt idx="20">
                  <c:v>0.94171601052663501</c:v>
                </c:pt>
                <c:pt idx="21">
                  <c:v>0.95397278824193255</c:v>
                </c:pt>
                <c:pt idx="22">
                  <c:v>0.98621530899064536</c:v>
                </c:pt>
                <c:pt idx="23">
                  <c:v>1</c:v>
                </c:pt>
                <c:pt idx="24">
                  <c:v>1</c:v>
                </c:pt>
              </c:numCache>
            </c:numRef>
          </c:yVal>
          <c:smooth val="1"/>
          <c:extLst>
            <c:ext xmlns:c16="http://schemas.microsoft.com/office/drawing/2014/chart" uri="{C3380CC4-5D6E-409C-BE32-E72D297353CC}">
              <c16:uniqueId val="{00000005-3CFD-1940-91CC-B7EDAE612256}"/>
            </c:ext>
          </c:extLst>
        </c:ser>
        <c:ser>
          <c:idx val="12"/>
          <c:order val="6"/>
          <c:tx>
            <c:strRef>
              <c:f>'6. Grain Size Distribution'!$K$41</c:f>
              <c:strCache>
                <c:ptCount val="1"/>
                <c:pt idx="0">
                  <c:v>SCT</c:v>
                </c:pt>
              </c:strCache>
            </c:strRef>
          </c:tx>
          <c:spPr>
            <a:ln w="22225" cap="rnd">
              <a:solidFill>
                <a:schemeClr val="accent2"/>
              </a:solidFill>
              <a:round/>
            </a:ln>
            <a:effectLst/>
          </c:spPr>
          <c:marker>
            <c:symbol val="plus"/>
            <c:size val="10"/>
            <c:spPr>
              <a:noFill/>
              <a:ln w="9525">
                <a:solidFill>
                  <a:schemeClr val="accent2"/>
                </a:solidFill>
                <a:round/>
              </a:ln>
              <a:effectLst/>
            </c:spPr>
          </c:marker>
          <c:xVal>
            <c:numRef>
              <c:f>'6. Grain Size Distribution'!$J$43:$J$67</c:f>
              <c:numCache>
                <c:formatCode>General</c:formatCode>
                <c:ptCount val="25"/>
                <c:pt idx="0">
                  <c:v>0.5</c:v>
                </c:pt>
                <c:pt idx="1">
                  <c:v>2</c:v>
                </c:pt>
                <c:pt idx="2">
                  <c:v>4</c:v>
                </c:pt>
                <c:pt idx="3">
                  <c:v>6</c:v>
                </c:pt>
                <c:pt idx="4">
                  <c:v>8.5</c:v>
                </c:pt>
                <c:pt idx="5">
                  <c:v>12.5</c:v>
                </c:pt>
                <c:pt idx="6">
                  <c:v>17.5</c:v>
                </c:pt>
                <c:pt idx="7">
                  <c:v>22.5</c:v>
                </c:pt>
                <c:pt idx="8">
                  <c:v>27.5</c:v>
                </c:pt>
                <c:pt idx="9">
                  <c:v>34</c:v>
                </c:pt>
                <c:pt idx="10">
                  <c:v>41.5</c:v>
                </c:pt>
                <c:pt idx="11">
                  <c:v>49</c:v>
                </c:pt>
                <c:pt idx="12">
                  <c:v>64</c:v>
                </c:pt>
                <c:pt idx="13">
                  <c:v>77.5</c:v>
                </c:pt>
                <c:pt idx="14">
                  <c:v>85</c:v>
                </c:pt>
                <c:pt idx="15">
                  <c:v>92.5</c:v>
                </c:pt>
                <c:pt idx="16">
                  <c:v>97.5</c:v>
                </c:pt>
                <c:pt idx="17">
                  <c:v>102.5</c:v>
                </c:pt>
                <c:pt idx="18">
                  <c:v>107.5</c:v>
                </c:pt>
                <c:pt idx="19">
                  <c:v>112.5</c:v>
                </c:pt>
                <c:pt idx="20">
                  <c:v>117.5</c:v>
                </c:pt>
                <c:pt idx="21">
                  <c:v>122.5</c:v>
                </c:pt>
                <c:pt idx="22">
                  <c:v>137.5</c:v>
                </c:pt>
                <c:pt idx="23">
                  <c:v>225</c:v>
                </c:pt>
                <c:pt idx="24">
                  <c:v>300</c:v>
                </c:pt>
              </c:numCache>
            </c:numRef>
          </c:xVal>
          <c:yVal>
            <c:numRef>
              <c:f>'6. Grain Size Distribution'!$K$43:$K$67</c:f>
              <c:numCache>
                <c:formatCode>0%</c:formatCode>
                <c:ptCount val="25"/>
                <c:pt idx="0">
                  <c:v>0</c:v>
                </c:pt>
                <c:pt idx="1">
                  <c:v>2.7179992944765981E-2</c:v>
                </c:pt>
                <c:pt idx="2">
                  <c:v>5.470385891350675E-2</c:v>
                </c:pt>
                <c:pt idx="3">
                  <c:v>0.10786870639590856</c:v>
                </c:pt>
                <c:pt idx="4">
                  <c:v>0.17748545910970392</c:v>
                </c:pt>
                <c:pt idx="5">
                  <c:v>0.30782429262941752</c:v>
                </c:pt>
                <c:pt idx="6">
                  <c:v>0.40901497849191537</c:v>
                </c:pt>
                <c:pt idx="7">
                  <c:v>0.49749304527905464</c:v>
                </c:pt>
                <c:pt idx="8">
                  <c:v>0.56510893575173382</c:v>
                </c:pt>
                <c:pt idx="9">
                  <c:v>0.6734313092099522</c:v>
                </c:pt>
                <c:pt idx="10">
                  <c:v>0.74879296128856165</c:v>
                </c:pt>
                <c:pt idx="11">
                  <c:v>0.862077770795453</c:v>
                </c:pt>
                <c:pt idx="12">
                  <c:v>0.93256478360889528</c:v>
                </c:pt>
                <c:pt idx="13">
                  <c:v>0.96559336418526809</c:v>
                </c:pt>
                <c:pt idx="14">
                  <c:v>1</c:v>
                </c:pt>
                <c:pt idx="15">
                  <c:v>1</c:v>
                </c:pt>
                <c:pt idx="16">
                  <c:v>1</c:v>
                </c:pt>
                <c:pt idx="17">
                  <c:v>1</c:v>
                </c:pt>
                <c:pt idx="18">
                  <c:v>1</c:v>
                </c:pt>
                <c:pt idx="19">
                  <c:v>1</c:v>
                </c:pt>
                <c:pt idx="20">
                  <c:v>1</c:v>
                </c:pt>
                <c:pt idx="21">
                  <c:v>1</c:v>
                </c:pt>
                <c:pt idx="22">
                  <c:v>1</c:v>
                </c:pt>
                <c:pt idx="23">
                  <c:v>1</c:v>
                </c:pt>
                <c:pt idx="24">
                  <c:v>1</c:v>
                </c:pt>
              </c:numCache>
            </c:numRef>
          </c:yVal>
          <c:smooth val="1"/>
          <c:extLst>
            <c:ext xmlns:c16="http://schemas.microsoft.com/office/drawing/2014/chart" uri="{C3380CC4-5D6E-409C-BE32-E72D297353CC}">
              <c16:uniqueId val="{00000000-2FDA-564C-988A-6E567448E6D7}"/>
            </c:ext>
          </c:extLst>
        </c:ser>
        <c:ser>
          <c:idx val="6"/>
          <c:order val="7"/>
          <c:tx>
            <c:strRef>
              <c:f>'6. Grain Size Distribution'!$Q$67</c:f>
              <c:strCache>
                <c:ptCount val="1"/>
                <c:pt idx="0">
                  <c:v>HCT L85</c:v>
                </c:pt>
              </c:strCache>
            </c:strRef>
          </c:tx>
          <c:spPr>
            <a:ln w="22225" cap="rnd">
              <a:noFill/>
              <a:round/>
            </a:ln>
            <a:effectLst/>
          </c:spPr>
          <c:marker>
            <c:symbol val="diamond"/>
            <c:size val="10"/>
            <c:spPr>
              <a:solidFill>
                <a:schemeClr val="accent1"/>
              </a:solidFill>
              <a:ln w="9525">
                <a:noFill/>
                <a:round/>
              </a:ln>
              <a:effectLst/>
            </c:spPr>
          </c:marker>
          <c:xVal>
            <c:numRef>
              <c:f>'6. Grain Size Distribution'!$R$67</c:f>
              <c:numCache>
                <c:formatCode>General</c:formatCode>
                <c:ptCount val="1"/>
                <c:pt idx="0">
                  <c:v>190</c:v>
                </c:pt>
              </c:numCache>
            </c:numRef>
          </c:xVal>
          <c:yVal>
            <c:numRef>
              <c:f>'6. Grain Size Distribution'!$S$67</c:f>
              <c:numCache>
                <c:formatCode>0%</c:formatCode>
                <c:ptCount val="1"/>
                <c:pt idx="0">
                  <c:v>0.85</c:v>
                </c:pt>
              </c:numCache>
            </c:numRef>
          </c:yVal>
          <c:smooth val="1"/>
          <c:extLst>
            <c:ext xmlns:c16="http://schemas.microsoft.com/office/drawing/2014/chart" uri="{C3380CC4-5D6E-409C-BE32-E72D297353CC}">
              <c16:uniqueId val="{00000008-3CFD-1940-91CC-B7EDAE612256}"/>
            </c:ext>
          </c:extLst>
        </c:ser>
        <c:ser>
          <c:idx val="7"/>
          <c:order val="8"/>
          <c:tx>
            <c:strRef>
              <c:f>'6. Grain Size Distribution'!$Q$68</c:f>
              <c:strCache>
                <c:ptCount val="1"/>
                <c:pt idx="0">
                  <c:v>-6700/+2000 L85</c:v>
                </c:pt>
              </c:strCache>
            </c:strRef>
          </c:tx>
          <c:spPr>
            <a:ln w="22225" cap="rnd">
              <a:noFill/>
              <a:round/>
            </a:ln>
            <a:effectLst/>
          </c:spPr>
          <c:marker>
            <c:symbol val="diamond"/>
            <c:size val="10"/>
            <c:spPr>
              <a:solidFill>
                <a:schemeClr val="accent2"/>
              </a:solidFill>
              <a:ln w="9525">
                <a:noFill/>
                <a:round/>
              </a:ln>
              <a:effectLst/>
            </c:spPr>
          </c:marker>
          <c:xVal>
            <c:numRef>
              <c:f>'6. Grain Size Distribution'!$R$68</c:f>
              <c:numCache>
                <c:formatCode>General</c:formatCode>
                <c:ptCount val="1"/>
                <c:pt idx="0">
                  <c:v>230</c:v>
                </c:pt>
              </c:numCache>
            </c:numRef>
          </c:xVal>
          <c:yVal>
            <c:numRef>
              <c:f>'6. Grain Size Distribution'!$S$68</c:f>
              <c:numCache>
                <c:formatCode>0%</c:formatCode>
                <c:ptCount val="1"/>
                <c:pt idx="0">
                  <c:v>0.85</c:v>
                </c:pt>
              </c:numCache>
            </c:numRef>
          </c:yVal>
          <c:smooth val="1"/>
          <c:extLst>
            <c:ext xmlns:c16="http://schemas.microsoft.com/office/drawing/2014/chart" uri="{C3380CC4-5D6E-409C-BE32-E72D297353CC}">
              <c16:uniqueId val="{00000009-3CFD-1940-91CC-B7EDAE612256}"/>
            </c:ext>
          </c:extLst>
        </c:ser>
        <c:ser>
          <c:idx val="8"/>
          <c:order val="9"/>
          <c:tx>
            <c:strRef>
              <c:f>'6. Grain Size Distribution'!$Q$69</c:f>
              <c:strCache>
                <c:ptCount val="1"/>
                <c:pt idx="0">
                  <c:v>-2000/+1000 L85</c:v>
                </c:pt>
              </c:strCache>
            </c:strRef>
          </c:tx>
          <c:spPr>
            <a:ln w="22225" cap="rnd">
              <a:noFill/>
              <a:round/>
            </a:ln>
            <a:effectLst/>
          </c:spPr>
          <c:marker>
            <c:symbol val="triangle"/>
            <c:size val="10"/>
            <c:spPr>
              <a:solidFill>
                <a:schemeClr val="accent3"/>
              </a:solidFill>
              <a:ln w="9525">
                <a:noFill/>
                <a:round/>
              </a:ln>
              <a:effectLst/>
            </c:spPr>
          </c:marker>
          <c:xVal>
            <c:numRef>
              <c:f>'6. Grain Size Distribution'!$R$69</c:f>
              <c:numCache>
                <c:formatCode>General</c:formatCode>
                <c:ptCount val="1"/>
                <c:pt idx="0">
                  <c:v>220</c:v>
                </c:pt>
              </c:numCache>
            </c:numRef>
          </c:xVal>
          <c:yVal>
            <c:numRef>
              <c:f>'6. Grain Size Distribution'!$S$69</c:f>
              <c:numCache>
                <c:formatCode>0%</c:formatCode>
                <c:ptCount val="1"/>
                <c:pt idx="0">
                  <c:v>0.85</c:v>
                </c:pt>
              </c:numCache>
            </c:numRef>
          </c:yVal>
          <c:smooth val="1"/>
          <c:extLst>
            <c:ext xmlns:c16="http://schemas.microsoft.com/office/drawing/2014/chart" uri="{C3380CC4-5D6E-409C-BE32-E72D297353CC}">
              <c16:uniqueId val="{0000000A-3CFD-1940-91CC-B7EDAE612256}"/>
            </c:ext>
          </c:extLst>
        </c:ser>
        <c:ser>
          <c:idx val="9"/>
          <c:order val="10"/>
          <c:tx>
            <c:strRef>
              <c:f>'6. Grain Size Distribution'!$Q$70</c:f>
              <c:strCache>
                <c:ptCount val="1"/>
                <c:pt idx="0">
                  <c:v>-1000/+425 L85</c:v>
                </c:pt>
              </c:strCache>
            </c:strRef>
          </c:tx>
          <c:spPr>
            <a:ln w="22225" cap="rnd">
              <a:noFill/>
              <a:round/>
            </a:ln>
            <a:effectLst/>
          </c:spPr>
          <c:marker>
            <c:symbol val="square"/>
            <c:size val="10"/>
            <c:spPr>
              <a:solidFill>
                <a:schemeClr val="accent4"/>
              </a:solidFill>
              <a:ln w="9525">
                <a:noFill/>
                <a:round/>
              </a:ln>
              <a:effectLst/>
            </c:spPr>
          </c:marker>
          <c:xVal>
            <c:numRef>
              <c:f>'6. Grain Size Distribution'!$R$70</c:f>
              <c:numCache>
                <c:formatCode>General</c:formatCode>
                <c:ptCount val="1"/>
                <c:pt idx="0">
                  <c:v>220</c:v>
                </c:pt>
              </c:numCache>
            </c:numRef>
          </c:xVal>
          <c:yVal>
            <c:numRef>
              <c:f>'6. Grain Size Distribution'!$S$70</c:f>
              <c:numCache>
                <c:formatCode>0%</c:formatCode>
                <c:ptCount val="1"/>
                <c:pt idx="0">
                  <c:v>0.85</c:v>
                </c:pt>
              </c:numCache>
            </c:numRef>
          </c:yVal>
          <c:smooth val="1"/>
          <c:extLst>
            <c:ext xmlns:c16="http://schemas.microsoft.com/office/drawing/2014/chart" uri="{C3380CC4-5D6E-409C-BE32-E72D297353CC}">
              <c16:uniqueId val="{0000000B-3CFD-1940-91CC-B7EDAE612256}"/>
            </c:ext>
          </c:extLst>
        </c:ser>
        <c:ser>
          <c:idx val="10"/>
          <c:order val="11"/>
          <c:tx>
            <c:strRef>
              <c:f>'6. Grain Size Distribution'!$Q$71</c:f>
              <c:strCache>
                <c:ptCount val="1"/>
                <c:pt idx="0">
                  <c:v>-425/+150 L85</c:v>
                </c:pt>
              </c:strCache>
            </c:strRef>
          </c:tx>
          <c:spPr>
            <a:ln w="22225" cap="rnd">
              <a:noFill/>
              <a:round/>
            </a:ln>
            <a:effectLst/>
          </c:spPr>
          <c:marker>
            <c:symbol val="star"/>
            <c:size val="10"/>
            <c:spPr>
              <a:noFill/>
              <a:ln w="9525">
                <a:solidFill>
                  <a:schemeClr val="accent5"/>
                </a:solidFill>
                <a:round/>
              </a:ln>
              <a:effectLst/>
            </c:spPr>
          </c:marker>
          <c:xVal>
            <c:numRef>
              <c:f>'6. Grain Size Distribution'!$R$71</c:f>
              <c:numCache>
                <c:formatCode>General</c:formatCode>
                <c:ptCount val="1"/>
                <c:pt idx="0">
                  <c:v>190</c:v>
                </c:pt>
              </c:numCache>
            </c:numRef>
          </c:xVal>
          <c:yVal>
            <c:numRef>
              <c:f>'6. Grain Size Distribution'!$S$71</c:f>
              <c:numCache>
                <c:formatCode>0%</c:formatCode>
                <c:ptCount val="1"/>
                <c:pt idx="0">
                  <c:v>0.85</c:v>
                </c:pt>
              </c:numCache>
            </c:numRef>
          </c:yVal>
          <c:smooth val="1"/>
          <c:extLst>
            <c:ext xmlns:c16="http://schemas.microsoft.com/office/drawing/2014/chart" uri="{C3380CC4-5D6E-409C-BE32-E72D297353CC}">
              <c16:uniqueId val="{0000000C-3CFD-1940-91CC-B7EDAE612256}"/>
            </c:ext>
          </c:extLst>
        </c:ser>
        <c:ser>
          <c:idx val="11"/>
          <c:order val="12"/>
          <c:tx>
            <c:strRef>
              <c:f>'6. Grain Size Distribution'!$Q$72</c:f>
              <c:strCache>
                <c:ptCount val="1"/>
                <c:pt idx="0">
                  <c:v>-150/+0 L85</c:v>
                </c:pt>
              </c:strCache>
            </c:strRef>
          </c:tx>
          <c:spPr>
            <a:ln w="22225" cap="rnd">
              <a:noFill/>
              <a:round/>
            </a:ln>
            <a:effectLst/>
          </c:spPr>
          <c:marker>
            <c:symbol val="circle"/>
            <c:size val="10"/>
            <c:spPr>
              <a:solidFill>
                <a:schemeClr val="accent6"/>
              </a:solidFill>
              <a:ln w="9525">
                <a:noFill/>
                <a:round/>
              </a:ln>
              <a:effectLst/>
            </c:spPr>
          </c:marker>
          <c:xVal>
            <c:numRef>
              <c:f>'6. Grain Size Distribution'!$R$72</c:f>
              <c:numCache>
                <c:formatCode>General</c:formatCode>
                <c:ptCount val="1"/>
                <c:pt idx="0">
                  <c:v>90</c:v>
                </c:pt>
              </c:numCache>
            </c:numRef>
          </c:xVal>
          <c:yVal>
            <c:numRef>
              <c:f>'6. Grain Size Distribution'!$S$72</c:f>
              <c:numCache>
                <c:formatCode>0%</c:formatCode>
                <c:ptCount val="1"/>
                <c:pt idx="0">
                  <c:v>0.85</c:v>
                </c:pt>
              </c:numCache>
            </c:numRef>
          </c:yVal>
          <c:smooth val="1"/>
          <c:extLst>
            <c:ext xmlns:c16="http://schemas.microsoft.com/office/drawing/2014/chart" uri="{C3380CC4-5D6E-409C-BE32-E72D297353CC}">
              <c16:uniqueId val="{0000000D-3CFD-1940-91CC-B7EDAE612256}"/>
            </c:ext>
          </c:extLst>
        </c:ser>
        <c:ser>
          <c:idx val="13"/>
          <c:order val="13"/>
          <c:tx>
            <c:strRef>
              <c:f>'6. Grain Size Distribution'!$Q$73</c:f>
              <c:strCache>
                <c:ptCount val="1"/>
                <c:pt idx="0">
                  <c:v>SCT L85</c:v>
                </c:pt>
              </c:strCache>
            </c:strRef>
          </c:tx>
          <c:spPr>
            <a:ln w="22225" cap="rnd">
              <a:noFill/>
              <a:round/>
            </a:ln>
            <a:effectLst/>
          </c:spPr>
          <c:marker>
            <c:symbol val="plus"/>
            <c:size val="10"/>
            <c:spPr>
              <a:noFill/>
              <a:ln w="9525">
                <a:solidFill>
                  <a:schemeClr val="accent2"/>
                </a:solidFill>
                <a:round/>
              </a:ln>
              <a:effectLst/>
            </c:spPr>
          </c:marker>
          <c:xVal>
            <c:numRef>
              <c:f>'6. Grain Size Distribution'!$R$73</c:f>
              <c:numCache>
                <c:formatCode>General</c:formatCode>
                <c:ptCount val="1"/>
                <c:pt idx="0">
                  <c:v>48</c:v>
                </c:pt>
              </c:numCache>
            </c:numRef>
          </c:xVal>
          <c:yVal>
            <c:numRef>
              <c:f>'6. Grain Size Distribution'!$S$73</c:f>
              <c:numCache>
                <c:formatCode>0%</c:formatCode>
                <c:ptCount val="1"/>
                <c:pt idx="0">
                  <c:v>0.85</c:v>
                </c:pt>
              </c:numCache>
            </c:numRef>
          </c:yVal>
          <c:smooth val="1"/>
          <c:extLst>
            <c:ext xmlns:c16="http://schemas.microsoft.com/office/drawing/2014/chart" uri="{C3380CC4-5D6E-409C-BE32-E72D297353CC}">
              <c16:uniqueId val="{00000001-2FDA-564C-988A-6E567448E6D7}"/>
            </c:ext>
          </c:extLst>
        </c:ser>
        <c:dLbls>
          <c:showLegendKey val="0"/>
          <c:showVal val="0"/>
          <c:showCatName val="0"/>
          <c:showSerName val="0"/>
          <c:showPercent val="0"/>
          <c:showBubbleSize val="0"/>
        </c:dLbls>
        <c:axId val="269554336"/>
        <c:axId val="269554728"/>
      </c:scatterChart>
      <c:valAx>
        <c:axId val="269554336"/>
        <c:scaling>
          <c:logBase val="10"/>
          <c:orientation val="minMax"/>
          <c:min val="0.5"/>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r>
                  <a:rPr lang="en-GB"/>
                  <a:t>Aperture size [µm]</a:t>
                </a:r>
              </a:p>
            </c:rich>
          </c:tx>
          <c:overlay val="0"/>
          <c:spPr>
            <a:noFill/>
            <a:ln>
              <a:noFill/>
            </a:ln>
            <a:effectLst/>
          </c:spPr>
          <c:txPr>
            <a:bodyPr rot="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269554728"/>
        <c:crosses val="autoZero"/>
        <c:crossBetween val="midCat"/>
      </c:valAx>
      <c:valAx>
        <c:axId val="269554728"/>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r>
                  <a:rPr lang="en-GB"/>
                  <a:t>Cumulative % passing</a:t>
                </a:r>
              </a:p>
            </c:rich>
          </c:tx>
          <c:overlay val="0"/>
          <c:spPr>
            <a:noFill/>
            <a:ln>
              <a:noFill/>
            </a:ln>
            <a:effectLst/>
          </c:spPr>
          <c:txPr>
            <a:bodyPr rot="-540000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 sourceLinked="1"/>
        <c:majorTickMark val="none"/>
        <c:minorTickMark val="none"/>
        <c:tickLblPos val="low"/>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269554336"/>
        <c:crosses val="autoZero"/>
        <c:crossBetween val="midCat"/>
      </c:valAx>
      <c:spPr>
        <a:noFill/>
        <a:ln>
          <a:noFill/>
        </a:ln>
        <a:effectLst/>
      </c:spPr>
    </c:plotArea>
    <c:legend>
      <c:legendPos val="t"/>
      <c:layout>
        <c:manualLayout>
          <c:xMode val="edge"/>
          <c:yMode val="edge"/>
          <c:x val="0.80435098683655792"/>
          <c:y val="9.2043024388420422E-2"/>
          <c:w val="0.19449132669501934"/>
          <c:h val="0.85966857832400245"/>
        </c:manualLayout>
      </c:layout>
      <c:overlay val="0"/>
      <c:spPr>
        <a:noFill/>
        <a:ln>
          <a:noFill/>
        </a:ln>
        <a:effectLst/>
      </c:spPr>
      <c:txPr>
        <a:bodyPr rot="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lt1"/>
    </a:solidFill>
    <a:ln w="9525" cap="flat" cmpd="sng" algn="ctr">
      <a:noFill/>
      <a:round/>
    </a:ln>
    <a:effectLst/>
  </c:spPr>
  <c:txPr>
    <a:bodyPr/>
    <a:lstStyle/>
    <a:p>
      <a:pPr>
        <a:defRPr sz="1200" cap="none" baseline="0">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cap="none" spc="120" normalizeH="0" baseline="0">
                <a:solidFill>
                  <a:sysClr val="windowText" lastClr="000000"/>
                </a:solidFill>
                <a:latin typeface="Times New Roman" panose="02020603050405020304" pitchFamily="18" charset="0"/>
                <a:ea typeface="+mn-ea"/>
                <a:cs typeface="Times New Roman" panose="02020603050405020304" pitchFamily="18" charset="0"/>
              </a:defRPr>
            </a:pPr>
            <a:r>
              <a:rPr lang="en-GB"/>
              <a:t>Sample</a:t>
            </a:r>
            <a:r>
              <a:rPr lang="en-GB" baseline="0"/>
              <a:t> C - Fe-sulfide Grain Size Distribution </a:t>
            </a:r>
            <a:endParaRPr lang="en-GB"/>
          </a:p>
        </c:rich>
      </c:tx>
      <c:overlay val="0"/>
      <c:spPr>
        <a:noFill/>
        <a:ln>
          <a:noFill/>
        </a:ln>
        <a:effectLst/>
      </c:spPr>
      <c:txPr>
        <a:bodyPr rot="0" spcFirstLastPara="1" vertOverflow="ellipsis" vert="horz" wrap="square" anchor="ctr" anchorCtr="1"/>
        <a:lstStyle/>
        <a:p>
          <a:pPr>
            <a:defRPr sz="1440" b="1" i="0" u="none" strike="noStrike" kern="1200" cap="none" spc="120" normalizeH="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manualLayout>
          <c:layoutTarget val="inner"/>
          <c:xMode val="edge"/>
          <c:yMode val="edge"/>
          <c:x val="7.3020875521845774E-2"/>
          <c:y val="0.12470003328823137"/>
          <c:w val="0.72996815445497998"/>
          <c:h val="0.74873181775272968"/>
        </c:manualLayout>
      </c:layout>
      <c:scatterChart>
        <c:scatterStyle val="smoothMarker"/>
        <c:varyColors val="0"/>
        <c:ser>
          <c:idx val="0"/>
          <c:order val="0"/>
          <c:tx>
            <c:strRef>
              <c:f>'6. Grain Size Distribution'!$B$3</c:f>
              <c:strCache>
                <c:ptCount val="1"/>
                <c:pt idx="0">
                  <c:v>HCT</c:v>
                </c:pt>
              </c:strCache>
            </c:strRef>
          </c:tx>
          <c:spPr>
            <a:ln w="22225" cap="rnd">
              <a:solidFill>
                <a:schemeClr val="accent1"/>
              </a:solidFill>
              <a:round/>
            </a:ln>
            <a:effectLst/>
          </c:spPr>
          <c:marker>
            <c:symbol val="diamond"/>
            <c:size val="6"/>
            <c:spPr>
              <a:solidFill>
                <a:schemeClr val="accent1"/>
              </a:solidFill>
              <a:ln w="9525">
                <a:solidFill>
                  <a:schemeClr val="accent1"/>
                </a:solidFill>
                <a:round/>
              </a:ln>
              <a:effectLst/>
            </c:spPr>
          </c:marker>
          <c:xVal>
            <c:numRef>
              <c:f>'6. Grain Size Distribution'!$A$81:$A$113</c:f>
              <c:numCache>
                <c:formatCode>0.00</c:formatCode>
                <c:ptCount val="33"/>
                <c:pt idx="0" formatCode="General">
                  <c:v>0.5</c:v>
                </c:pt>
                <c:pt idx="1">
                  <c:v>2</c:v>
                </c:pt>
                <c:pt idx="2" formatCode="General">
                  <c:v>4</c:v>
                </c:pt>
                <c:pt idx="3">
                  <c:v>6</c:v>
                </c:pt>
                <c:pt idx="4" formatCode="General">
                  <c:v>8.5</c:v>
                </c:pt>
                <c:pt idx="5" formatCode="General">
                  <c:v>12.5</c:v>
                </c:pt>
                <c:pt idx="6" formatCode="General">
                  <c:v>17.5</c:v>
                </c:pt>
                <c:pt idx="7" formatCode="General">
                  <c:v>21</c:v>
                </c:pt>
                <c:pt idx="8" formatCode="General">
                  <c:v>22.5</c:v>
                </c:pt>
                <c:pt idx="9" formatCode="General">
                  <c:v>24</c:v>
                </c:pt>
                <c:pt idx="10" formatCode="General">
                  <c:v>27.5</c:v>
                </c:pt>
                <c:pt idx="11" formatCode="General">
                  <c:v>34</c:v>
                </c:pt>
                <c:pt idx="12" formatCode="General">
                  <c:v>41.5</c:v>
                </c:pt>
                <c:pt idx="13" formatCode="General">
                  <c:v>49</c:v>
                </c:pt>
                <c:pt idx="14" formatCode="General">
                  <c:v>59</c:v>
                </c:pt>
                <c:pt idx="15" formatCode="General">
                  <c:v>70</c:v>
                </c:pt>
                <c:pt idx="16" formatCode="General">
                  <c:v>77.5</c:v>
                </c:pt>
                <c:pt idx="17" formatCode="General">
                  <c:v>85</c:v>
                </c:pt>
                <c:pt idx="18" formatCode="General">
                  <c:v>92.5</c:v>
                </c:pt>
                <c:pt idx="19" formatCode="General">
                  <c:v>97.5</c:v>
                </c:pt>
                <c:pt idx="20" formatCode="General">
                  <c:v>102.5</c:v>
                </c:pt>
                <c:pt idx="21" formatCode="General">
                  <c:v>107.5</c:v>
                </c:pt>
                <c:pt idx="22" formatCode="General">
                  <c:v>112.5</c:v>
                </c:pt>
                <c:pt idx="23" formatCode="General">
                  <c:v>117.5</c:v>
                </c:pt>
                <c:pt idx="24" formatCode="General">
                  <c:v>122.5</c:v>
                </c:pt>
                <c:pt idx="25" formatCode="General">
                  <c:v>137.5</c:v>
                </c:pt>
                <c:pt idx="26" formatCode="General">
                  <c:v>225</c:v>
                </c:pt>
                <c:pt idx="27" formatCode="General">
                  <c:v>350</c:v>
                </c:pt>
                <c:pt idx="28" formatCode="General">
                  <c:v>450</c:v>
                </c:pt>
                <c:pt idx="29" formatCode="General">
                  <c:v>750</c:v>
                </c:pt>
                <c:pt idx="30" formatCode="General">
                  <c:v>1500</c:v>
                </c:pt>
                <c:pt idx="31" formatCode="General">
                  <c:v>3000</c:v>
                </c:pt>
                <c:pt idx="32" formatCode="0">
                  <c:v>5350</c:v>
                </c:pt>
              </c:numCache>
            </c:numRef>
          </c:xVal>
          <c:yVal>
            <c:numRef>
              <c:f>'6. Grain Size Distribution'!$B$81:$B$113</c:f>
              <c:numCache>
                <c:formatCode>0%</c:formatCode>
                <c:ptCount val="33"/>
                <c:pt idx="0">
                  <c:v>0</c:v>
                </c:pt>
                <c:pt idx="1">
                  <c:v>0</c:v>
                </c:pt>
                <c:pt idx="2">
                  <c:v>0</c:v>
                </c:pt>
                <c:pt idx="3">
                  <c:v>7.6372287359419812E-3</c:v>
                </c:pt>
                <c:pt idx="4">
                  <c:v>1.5439942257336801E-2</c:v>
                </c:pt>
                <c:pt idx="5">
                  <c:v>3.8133766976518602E-2</c:v>
                </c:pt>
                <c:pt idx="6">
                  <c:v>5.5246200393075075E-2</c:v>
                </c:pt>
                <c:pt idx="7">
                  <c:v>0.10336624863769239</c:v>
                </c:pt>
                <c:pt idx="8">
                  <c:v>0.10630070807910719</c:v>
                </c:pt>
                <c:pt idx="9">
                  <c:v>0.11229415029119311</c:v>
                </c:pt>
                <c:pt idx="10">
                  <c:v>0.13456343305947144</c:v>
                </c:pt>
                <c:pt idx="11">
                  <c:v>0.17687687250874451</c:v>
                </c:pt>
                <c:pt idx="12">
                  <c:v>0.22745518337625484</c:v>
                </c:pt>
                <c:pt idx="13">
                  <c:v>0.26147909525192076</c:v>
                </c:pt>
                <c:pt idx="14">
                  <c:v>0.31340026144701638</c:v>
                </c:pt>
                <c:pt idx="15">
                  <c:v>0.35446466181753156</c:v>
                </c:pt>
                <c:pt idx="16">
                  <c:v>0.37052523008918825</c:v>
                </c:pt>
                <c:pt idx="17">
                  <c:v>0.40118605681302155</c:v>
                </c:pt>
                <c:pt idx="18">
                  <c:v>0.41302470902401206</c:v>
                </c:pt>
                <c:pt idx="19">
                  <c:v>0.42322256148538767</c:v>
                </c:pt>
                <c:pt idx="20">
                  <c:v>0.43278125328516948</c:v>
                </c:pt>
                <c:pt idx="21">
                  <c:v>0.44212756248231755</c:v>
                </c:pt>
                <c:pt idx="22">
                  <c:v>0.45053143408973734</c:v>
                </c:pt>
                <c:pt idx="23">
                  <c:v>0.45911811154158871</c:v>
                </c:pt>
                <c:pt idx="24">
                  <c:v>0.46420537908215104</c:v>
                </c:pt>
                <c:pt idx="25">
                  <c:v>0.50572855227118418</c:v>
                </c:pt>
                <c:pt idx="26">
                  <c:v>0.64846491432965259</c:v>
                </c:pt>
                <c:pt idx="27">
                  <c:v>0.75974267254050731</c:v>
                </c:pt>
                <c:pt idx="28">
                  <c:v>0.80639148811508954</c:v>
                </c:pt>
                <c:pt idx="29">
                  <c:v>0.93381545297540181</c:v>
                </c:pt>
                <c:pt idx="30">
                  <c:v>1</c:v>
                </c:pt>
                <c:pt idx="31">
                  <c:v>1</c:v>
                </c:pt>
                <c:pt idx="32">
                  <c:v>1</c:v>
                </c:pt>
              </c:numCache>
            </c:numRef>
          </c:yVal>
          <c:smooth val="1"/>
          <c:extLst>
            <c:ext xmlns:c16="http://schemas.microsoft.com/office/drawing/2014/chart" uri="{C3380CC4-5D6E-409C-BE32-E72D297353CC}">
              <c16:uniqueId val="{00000000-6060-454D-9F7D-7E4B93FCA383}"/>
            </c:ext>
          </c:extLst>
        </c:ser>
        <c:ser>
          <c:idx val="1"/>
          <c:order val="1"/>
          <c:tx>
            <c:strRef>
              <c:f>'6. Grain Size Distribution'!$D$3</c:f>
              <c:strCache>
                <c:ptCount val="1"/>
                <c:pt idx="0">
                  <c:v>-6700/+2000</c:v>
                </c:pt>
              </c:strCache>
            </c:strRef>
          </c:tx>
          <c:spPr>
            <a:ln w="22225" cap="rnd">
              <a:solidFill>
                <a:schemeClr val="accent2"/>
              </a:solidFill>
              <a:round/>
            </a:ln>
            <a:effectLst/>
          </c:spPr>
          <c:marker>
            <c:symbol val="diamond"/>
            <c:size val="6"/>
            <c:spPr>
              <a:solidFill>
                <a:schemeClr val="accent2"/>
              </a:solidFill>
              <a:ln w="9525">
                <a:solidFill>
                  <a:schemeClr val="accent2"/>
                </a:solidFill>
                <a:round/>
              </a:ln>
              <a:effectLst/>
            </c:spPr>
          </c:marker>
          <c:xVal>
            <c:numRef>
              <c:f>'6. Grain Size Distribution'!$C$81:$C$113</c:f>
              <c:numCache>
                <c:formatCode>General</c:formatCode>
                <c:ptCount val="33"/>
                <c:pt idx="0">
                  <c:v>0.5</c:v>
                </c:pt>
                <c:pt idx="1">
                  <c:v>2</c:v>
                </c:pt>
                <c:pt idx="2">
                  <c:v>4</c:v>
                </c:pt>
                <c:pt idx="3">
                  <c:v>6</c:v>
                </c:pt>
                <c:pt idx="4">
                  <c:v>8.5</c:v>
                </c:pt>
                <c:pt idx="5">
                  <c:v>12.5</c:v>
                </c:pt>
                <c:pt idx="6">
                  <c:v>17.5</c:v>
                </c:pt>
                <c:pt idx="7">
                  <c:v>21</c:v>
                </c:pt>
                <c:pt idx="8">
                  <c:v>22.5</c:v>
                </c:pt>
                <c:pt idx="9">
                  <c:v>24</c:v>
                </c:pt>
                <c:pt idx="10">
                  <c:v>27.5</c:v>
                </c:pt>
                <c:pt idx="11">
                  <c:v>34</c:v>
                </c:pt>
                <c:pt idx="12">
                  <c:v>41.5</c:v>
                </c:pt>
                <c:pt idx="13">
                  <c:v>49</c:v>
                </c:pt>
                <c:pt idx="14">
                  <c:v>59</c:v>
                </c:pt>
                <c:pt idx="15">
                  <c:v>70</c:v>
                </c:pt>
                <c:pt idx="16">
                  <c:v>77.5</c:v>
                </c:pt>
                <c:pt idx="17">
                  <c:v>85</c:v>
                </c:pt>
                <c:pt idx="18">
                  <c:v>92.5</c:v>
                </c:pt>
                <c:pt idx="19">
                  <c:v>97.5</c:v>
                </c:pt>
                <c:pt idx="20">
                  <c:v>102.5</c:v>
                </c:pt>
                <c:pt idx="21">
                  <c:v>107.5</c:v>
                </c:pt>
                <c:pt idx="22">
                  <c:v>112.5</c:v>
                </c:pt>
                <c:pt idx="23">
                  <c:v>117.5</c:v>
                </c:pt>
                <c:pt idx="24">
                  <c:v>122.5</c:v>
                </c:pt>
                <c:pt idx="25">
                  <c:v>137.5</c:v>
                </c:pt>
                <c:pt idx="26">
                  <c:v>225</c:v>
                </c:pt>
                <c:pt idx="27">
                  <c:v>350</c:v>
                </c:pt>
                <c:pt idx="28">
                  <c:v>450</c:v>
                </c:pt>
                <c:pt idx="29">
                  <c:v>750</c:v>
                </c:pt>
                <c:pt idx="30">
                  <c:v>1500</c:v>
                </c:pt>
                <c:pt idx="31">
                  <c:v>3000</c:v>
                </c:pt>
                <c:pt idx="32">
                  <c:v>5350</c:v>
                </c:pt>
              </c:numCache>
            </c:numRef>
          </c:xVal>
          <c:yVal>
            <c:numRef>
              <c:f>'6. Grain Size Distribution'!$D$81:$D$113</c:f>
              <c:numCache>
                <c:formatCode>0%</c:formatCode>
                <c:ptCount val="33"/>
                <c:pt idx="0">
                  <c:v>0</c:v>
                </c:pt>
                <c:pt idx="1">
                  <c:v>0</c:v>
                </c:pt>
                <c:pt idx="2">
                  <c:v>0</c:v>
                </c:pt>
                <c:pt idx="3">
                  <c:v>0</c:v>
                </c:pt>
                <c:pt idx="4">
                  <c:v>0</c:v>
                </c:pt>
                <c:pt idx="5">
                  <c:v>0</c:v>
                </c:pt>
                <c:pt idx="6">
                  <c:v>0</c:v>
                </c:pt>
                <c:pt idx="7">
                  <c:v>0</c:v>
                </c:pt>
                <c:pt idx="8">
                  <c:v>6.0805294745938529E-2</c:v>
                </c:pt>
                <c:pt idx="9">
                  <c:v>6.0812011157177437E-2</c:v>
                </c:pt>
                <c:pt idx="10">
                  <c:v>6.9852005977734916E-2</c:v>
                </c:pt>
                <c:pt idx="11">
                  <c:v>0.10269153853330071</c:v>
                </c:pt>
                <c:pt idx="12">
                  <c:v>0.15246370631266692</c:v>
                </c:pt>
                <c:pt idx="13">
                  <c:v>0.18026007741036743</c:v>
                </c:pt>
                <c:pt idx="14">
                  <c:v>0.22916430694184206</c:v>
                </c:pt>
                <c:pt idx="15">
                  <c:v>0.26848407901362892</c:v>
                </c:pt>
                <c:pt idx="16">
                  <c:v>0.28358311395790831</c:v>
                </c:pt>
                <c:pt idx="17">
                  <c:v>0.30991638435914531</c:v>
                </c:pt>
                <c:pt idx="18">
                  <c:v>0.32115277408881093</c:v>
                </c:pt>
                <c:pt idx="19">
                  <c:v>0.33032653973745235</c:v>
                </c:pt>
                <c:pt idx="20">
                  <c:v>0.33860381802440337</c:v>
                </c:pt>
                <c:pt idx="21">
                  <c:v>0.34928476018081528</c:v>
                </c:pt>
                <c:pt idx="22">
                  <c:v>0.35598225413446011</c:v>
                </c:pt>
                <c:pt idx="23">
                  <c:v>0.36511872914724336</c:v>
                </c:pt>
                <c:pt idx="24">
                  <c:v>0.36849529319996738</c:v>
                </c:pt>
                <c:pt idx="25">
                  <c:v>0.40636256348026306</c:v>
                </c:pt>
                <c:pt idx="26">
                  <c:v>0.56246128542409179</c:v>
                </c:pt>
                <c:pt idx="27">
                  <c:v>0.71438567519220664</c:v>
                </c:pt>
                <c:pt idx="28">
                  <c:v>0.77219530244438095</c:v>
                </c:pt>
                <c:pt idx="29">
                  <c:v>0.90170610412900543</c:v>
                </c:pt>
                <c:pt idx="30">
                  <c:v>1</c:v>
                </c:pt>
                <c:pt idx="31">
                  <c:v>1</c:v>
                </c:pt>
                <c:pt idx="32">
                  <c:v>1</c:v>
                </c:pt>
              </c:numCache>
            </c:numRef>
          </c:yVal>
          <c:smooth val="1"/>
          <c:extLst>
            <c:ext xmlns:c16="http://schemas.microsoft.com/office/drawing/2014/chart" uri="{C3380CC4-5D6E-409C-BE32-E72D297353CC}">
              <c16:uniqueId val="{00000001-6060-454D-9F7D-7E4B93FCA383}"/>
            </c:ext>
          </c:extLst>
        </c:ser>
        <c:ser>
          <c:idx val="2"/>
          <c:order val="2"/>
          <c:tx>
            <c:strRef>
              <c:f>'6. Grain Size Distribution'!$E$3</c:f>
              <c:strCache>
                <c:ptCount val="1"/>
                <c:pt idx="0">
                  <c:v>-2000/+1000</c:v>
                </c:pt>
              </c:strCache>
            </c:strRef>
          </c:tx>
          <c:spPr>
            <a:ln w="22225" cap="rnd">
              <a:solidFill>
                <a:schemeClr val="accent3"/>
              </a:solidFill>
              <a:round/>
            </a:ln>
            <a:effectLst/>
          </c:spPr>
          <c:marker>
            <c:symbol val="triangle"/>
            <c:size val="6"/>
            <c:spPr>
              <a:solidFill>
                <a:schemeClr val="accent3"/>
              </a:solidFill>
              <a:ln w="9525">
                <a:solidFill>
                  <a:schemeClr val="accent3"/>
                </a:solidFill>
                <a:round/>
              </a:ln>
              <a:effectLst/>
            </c:spPr>
          </c:marker>
          <c:xVal>
            <c:numRef>
              <c:f>'6. Grain Size Distribution'!$C$81:$C$113</c:f>
              <c:numCache>
                <c:formatCode>General</c:formatCode>
                <c:ptCount val="33"/>
                <c:pt idx="0">
                  <c:v>0.5</c:v>
                </c:pt>
                <c:pt idx="1">
                  <c:v>2</c:v>
                </c:pt>
                <c:pt idx="2">
                  <c:v>4</c:v>
                </c:pt>
                <c:pt idx="3">
                  <c:v>6</c:v>
                </c:pt>
                <c:pt idx="4">
                  <c:v>8.5</c:v>
                </c:pt>
                <c:pt idx="5">
                  <c:v>12.5</c:v>
                </c:pt>
                <c:pt idx="6">
                  <c:v>17.5</c:v>
                </c:pt>
                <c:pt idx="7">
                  <c:v>21</c:v>
                </c:pt>
                <c:pt idx="8">
                  <c:v>22.5</c:v>
                </c:pt>
                <c:pt idx="9">
                  <c:v>24</c:v>
                </c:pt>
                <c:pt idx="10">
                  <c:v>27.5</c:v>
                </c:pt>
                <c:pt idx="11">
                  <c:v>34</c:v>
                </c:pt>
                <c:pt idx="12">
                  <c:v>41.5</c:v>
                </c:pt>
                <c:pt idx="13">
                  <c:v>49</c:v>
                </c:pt>
                <c:pt idx="14">
                  <c:v>59</c:v>
                </c:pt>
                <c:pt idx="15">
                  <c:v>70</c:v>
                </c:pt>
                <c:pt idx="16">
                  <c:v>77.5</c:v>
                </c:pt>
                <c:pt idx="17">
                  <c:v>85</c:v>
                </c:pt>
                <c:pt idx="18">
                  <c:v>92.5</c:v>
                </c:pt>
                <c:pt idx="19">
                  <c:v>97.5</c:v>
                </c:pt>
                <c:pt idx="20">
                  <c:v>102.5</c:v>
                </c:pt>
                <c:pt idx="21">
                  <c:v>107.5</c:v>
                </c:pt>
                <c:pt idx="22">
                  <c:v>112.5</c:v>
                </c:pt>
                <c:pt idx="23">
                  <c:v>117.5</c:v>
                </c:pt>
                <c:pt idx="24">
                  <c:v>122.5</c:v>
                </c:pt>
                <c:pt idx="25">
                  <c:v>137.5</c:v>
                </c:pt>
                <c:pt idx="26">
                  <c:v>225</c:v>
                </c:pt>
                <c:pt idx="27">
                  <c:v>350</c:v>
                </c:pt>
                <c:pt idx="28">
                  <c:v>450</c:v>
                </c:pt>
                <c:pt idx="29">
                  <c:v>750</c:v>
                </c:pt>
                <c:pt idx="30">
                  <c:v>1500</c:v>
                </c:pt>
                <c:pt idx="31">
                  <c:v>3000</c:v>
                </c:pt>
                <c:pt idx="32">
                  <c:v>5350</c:v>
                </c:pt>
              </c:numCache>
            </c:numRef>
          </c:xVal>
          <c:yVal>
            <c:numRef>
              <c:f>'6. Grain Size Distribution'!$E$81:$E$113</c:f>
              <c:numCache>
                <c:formatCode>0%</c:formatCode>
                <c:ptCount val="33"/>
                <c:pt idx="0">
                  <c:v>0</c:v>
                </c:pt>
                <c:pt idx="1">
                  <c:v>0</c:v>
                </c:pt>
                <c:pt idx="2">
                  <c:v>0</c:v>
                </c:pt>
                <c:pt idx="3">
                  <c:v>0</c:v>
                </c:pt>
                <c:pt idx="4">
                  <c:v>0</c:v>
                </c:pt>
                <c:pt idx="5">
                  <c:v>0</c:v>
                </c:pt>
                <c:pt idx="6">
                  <c:v>0</c:v>
                </c:pt>
                <c:pt idx="7">
                  <c:v>0</c:v>
                </c:pt>
                <c:pt idx="8">
                  <c:v>4.2722109685312565E-2</c:v>
                </c:pt>
                <c:pt idx="9">
                  <c:v>4.2725157276159338E-2</c:v>
                </c:pt>
                <c:pt idx="10">
                  <c:v>4.9638495494730324E-2</c:v>
                </c:pt>
                <c:pt idx="11">
                  <c:v>7.4118514958415704E-2</c:v>
                </c:pt>
                <c:pt idx="12">
                  <c:v>0.11119844493202312</c:v>
                </c:pt>
                <c:pt idx="13">
                  <c:v>0.1322844095757128</c:v>
                </c:pt>
                <c:pt idx="14">
                  <c:v>0.16777804485039516</c:v>
                </c:pt>
                <c:pt idx="15">
                  <c:v>0.19777257869523016</c:v>
                </c:pt>
                <c:pt idx="16">
                  <c:v>0.2096757669036797</c:v>
                </c:pt>
                <c:pt idx="17">
                  <c:v>0.22941287323145237</c:v>
                </c:pt>
                <c:pt idx="18">
                  <c:v>0.2381057111917454</c:v>
                </c:pt>
                <c:pt idx="19">
                  <c:v>0.24607418886663385</c:v>
                </c:pt>
                <c:pt idx="20">
                  <c:v>0.25246702685419403</c:v>
                </c:pt>
                <c:pt idx="21">
                  <c:v>0.25815866525622017</c:v>
                </c:pt>
                <c:pt idx="22">
                  <c:v>0.26599651915919653</c:v>
                </c:pt>
                <c:pt idx="23">
                  <c:v>0.27466292430419226</c:v>
                </c:pt>
                <c:pt idx="24">
                  <c:v>0.28283169660543001</c:v>
                </c:pt>
                <c:pt idx="25">
                  <c:v>0.3249191837427961</c:v>
                </c:pt>
                <c:pt idx="26">
                  <c:v>0.4803829639630729</c:v>
                </c:pt>
                <c:pt idx="27">
                  <c:v>0.58196980594107228</c:v>
                </c:pt>
                <c:pt idx="28">
                  <c:v>0.64319532328072371</c:v>
                </c:pt>
                <c:pt idx="29">
                  <c:v>0.93149417829415715</c:v>
                </c:pt>
                <c:pt idx="30">
                  <c:v>1</c:v>
                </c:pt>
                <c:pt idx="31">
                  <c:v>1</c:v>
                </c:pt>
                <c:pt idx="32">
                  <c:v>1</c:v>
                </c:pt>
              </c:numCache>
            </c:numRef>
          </c:yVal>
          <c:smooth val="1"/>
          <c:extLst>
            <c:ext xmlns:c16="http://schemas.microsoft.com/office/drawing/2014/chart" uri="{C3380CC4-5D6E-409C-BE32-E72D297353CC}">
              <c16:uniqueId val="{00000002-6060-454D-9F7D-7E4B93FCA383}"/>
            </c:ext>
          </c:extLst>
        </c:ser>
        <c:ser>
          <c:idx val="3"/>
          <c:order val="3"/>
          <c:tx>
            <c:strRef>
              <c:f>'6. Grain Size Distribution'!$F$3</c:f>
              <c:strCache>
                <c:ptCount val="1"/>
                <c:pt idx="0">
                  <c:v>-1000/+425</c:v>
                </c:pt>
              </c:strCache>
            </c:strRef>
          </c:tx>
          <c:spPr>
            <a:ln w="22225" cap="rnd">
              <a:solidFill>
                <a:schemeClr val="accent4"/>
              </a:solidFill>
              <a:round/>
            </a:ln>
            <a:effectLst/>
          </c:spPr>
          <c:marker>
            <c:symbol val="square"/>
            <c:size val="6"/>
            <c:spPr>
              <a:solidFill>
                <a:schemeClr val="accent4"/>
              </a:solidFill>
              <a:ln w="9525">
                <a:solidFill>
                  <a:schemeClr val="accent4"/>
                </a:solidFill>
                <a:round/>
              </a:ln>
              <a:effectLst/>
            </c:spPr>
          </c:marker>
          <c:xVal>
            <c:numRef>
              <c:f>'6. Grain Size Distribution'!$C$81:$C$113</c:f>
              <c:numCache>
                <c:formatCode>General</c:formatCode>
                <c:ptCount val="33"/>
                <c:pt idx="0">
                  <c:v>0.5</c:v>
                </c:pt>
                <c:pt idx="1">
                  <c:v>2</c:v>
                </c:pt>
                <c:pt idx="2">
                  <c:v>4</c:v>
                </c:pt>
                <c:pt idx="3">
                  <c:v>6</c:v>
                </c:pt>
                <c:pt idx="4">
                  <c:v>8.5</c:v>
                </c:pt>
                <c:pt idx="5">
                  <c:v>12.5</c:v>
                </c:pt>
                <c:pt idx="6">
                  <c:v>17.5</c:v>
                </c:pt>
                <c:pt idx="7">
                  <c:v>21</c:v>
                </c:pt>
                <c:pt idx="8">
                  <c:v>22.5</c:v>
                </c:pt>
                <c:pt idx="9">
                  <c:v>24</c:v>
                </c:pt>
                <c:pt idx="10">
                  <c:v>27.5</c:v>
                </c:pt>
                <c:pt idx="11">
                  <c:v>34</c:v>
                </c:pt>
                <c:pt idx="12">
                  <c:v>41.5</c:v>
                </c:pt>
                <c:pt idx="13">
                  <c:v>49</c:v>
                </c:pt>
                <c:pt idx="14">
                  <c:v>59</c:v>
                </c:pt>
                <c:pt idx="15">
                  <c:v>70</c:v>
                </c:pt>
                <c:pt idx="16">
                  <c:v>77.5</c:v>
                </c:pt>
                <c:pt idx="17">
                  <c:v>85</c:v>
                </c:pt>
                <c:pt idx="18">
                  <c:v>92.5</c:v>
                </c:pt>
                <c:pt idx="19">
                  <c:v>97.5</c:v>
                </c:pt>
                <c:pt idx="20">
                  <c:v>102.5</c:v>
                </c:pt>
                <c:pt idx="21">
                  <c:v>107.5</c:v>
                </c:pt>
                <c:pt idx="22">
                  <c:v>112.5</c:v>
                </c:pt>
                <c:pt idx="23">
                  <c:v>117.5</c:v>
                </c:pt>
                <c:pt idx="24">
                  <c:v>122.5</c:v>
                </c:pt>
                <c:pt idx="25">
                  <c:v>137.5</c:v>
                </c:pt>
                <c:pt idx="26">
                  <c:v>225</c:v>
                </c:pt>
                <c:pt idx="27">
                  <c:v>350</c:v>
                </c:pt>
                <c:pt idx="28">
                  <c:v>450</c:v>
                </c:pt>
                <c:pt idx="29">
                  <c:v>750</c:v>
                </c:pt>
                <c:pt idx="30">
                  <c:v>1500</c:v>
                </c:pt>
                <c:pt idx="31">
                  <c:v>3000</c:v>
                </c:pt>
                <c:pt idx="32">
                  <c:v>5350</c:v>
                </c:pt>
              </c:numCache>
            </c:numRef>
          </c:xVal>
          <c:yVal>
            <c:numRef>
              <c:f>'6. Grain Size Distribution'!$F$81:$F$113</c:f>
              <c:numCache>
                <c:formatCode>0%</c:formatCode>
                <c:ptCount val="33"/>
                <c:pt idx="0">
                  <c:v>0</c:v>
                </c:pt>
                <c:pt idx="1">
                  <c:v>0</c:v>
                </c:pt>
                <c:pt idx="2">
                  <c:v>0</c:v>
                </c:pt>
                <c:pt idx="3">
                  <c:v>0</c:v>
                </c:pt>
                <c:pt idx="4">
                  <c:v>0</c:v>
                </c:pt>
                <c:pt idx="5">
                  <c:v>3.9717167209300359E-2</c:v>
                </c:pt>
                <c:pt idx="6">
                  <c:v>3.9758406538158611E-2</c:v>
                </c:pt>
                <c:pt idx="7">
                  <c:v>4.618068114127493E-2</c:v>
                </c:pt>
                <c:pt idx="8">
                  <c:v>6.1110832332095619E-2</c:v>
                </c:pt>
                <c:pt idx="9">
                  <c:v>7.0504249909696753E-2</c:v>
                </c:pt>
                <c:pt idx="10">
                  <c:v>0.11344253287860405</c:v>
                </c:pt>
                <c:pt idx="11">
                  <c:v>0.15186463523666383</c:v>
                </c:pt>
                <c:pt idx="12">
                  <c:v>0.1975471480653988</c:v>
                </c:pt>
                <c:pt idx="13">
                  <c:v>0.23720373461621042</c:v>
                </c:pt>
                <c:pt idx="14">
                  <c:v>0.29268133519203143</c:v>
                </c:pt>
                <c:pt idx="15">
                  <c:v>0.33708731530081454</c:v>
                </c:pt>
                <c:pt idx="16">
                  <c:v>0.35487215937137651</c:v>
                </c:pt>
                <c:pt idx="17">
                  <c:v>0.39130367353021067</c:v>
                </c:pt>
                <c:pt idx="18">
                  <c:v>0.40480802717613923</c:v>
                </c:pt>
                <c:pt idx="19">
                  <c:v>0.42329241079993862</c:v>
                </c:pt>
                <c:pt idx="20">
                  <c:v>0.4349604700158643</c:v>
                </c:pt>
                <c:pt idx="21">
                  <c:v>0.44278448961200884</c:v>
                </c:pt>
                <c:pt idx="22">
                  <c:v>0.45538157802303708</c:v>
                </c:pt>
                <c:pt idx="23">
                  <c:v>0.46189319209431778</c:v>
                </c:pt>
                <c:pt idx="24">
                  <c:v>0.47059010833573883</c:v>
                </c:pt>
                <c:pt idx="25">
                  <c:v>0.53384933247195754</c:v>
                </c:pt>
                <c:pt idx="26">
                  <c:v>0.7597007193345866</c:v>
                </c:pt>
                <c:pt idx="27">
                  <c:v>0.85738447199414514</c:v>
                </c:pt>
                <c:pt idx="28">
                  <c:v>0.90925896555017793</c:v>
                </c:pt>
                <c:pt idx="29">
                  <c:v>1</c:v>
                </c:pt>
                <c:pt idx="30">
                  <c:v>1</c:v>
                </c:pt>
                <c:pt idx="31">
                  <c:v>1</c:v>
                </c:pt>
                <c:pt idx="32">
                  <c:v>1</c:v>
                </c:pt>
              </c:numCache>
            </c:numRef>
          </c:yVal>
          <c:smooth val="1"/>
          <c:extLst>
            <c:ext xmlns:c16="http://schemas.microsoft.com/office/drawing/2014/chart" uri="{C3380CC4-5D6E-409C-BE32-E72D297353CC}">
              <c16:uniqueId val="{00000003-6060-454D-9F7D-7E4B93FCA383}"/>
            </c:ext>
          </c:extLst>
        </c:ser>
        <c:ser>
          <c:idx val="4"/>
          <c:order val="4"/>
          <c:tx>
            <c:strRef>
              <c:f>'6. Grain Size Distribution'!$G$3</c:f>
              <c:strCache>
                <c:ptCount val="1"/>
                <c:pt idx="0">
                  <c:v>-425/+150</c:v>
                </c:pt>
              </c:strCache>
            </c:strRef>
          </c:tx>
          <c:spPr>
            <a:ln w="22225" cap="rnd">
              <a:solidFill>
                <a:schemeClr val="accent5"/>
              </a:solidFill>
              <a:round/>
            </a:ln>
            <a:effectLst/>
          </c:spPr>
          <c:marker>
            <c:symbol val="star"/>
            <c:size val="6"/>
            <c:spPr>
              <a:noFill/>
              <a:ln w="9525">
                <a:solidFill>
                  <a:schemeClr val="accent5"/>
                </a:solidFill>
                <a:round/>
              </a:ln>
              <a:effectLst/>
            </c:spPr>
          </c:marker>
          <c:xVal>
            <c:numRef>
              <c:f>'6. Grain Size Distribution'!$C$81:$C$113</c:f>
              <c:numCache>
                <c:formatCode>General</c:formatCode>
                <c:ptCount val="33"/>
                <c:pt idx="0">
                  <c:v>0.5</c:v>
                </c:pt>
                <c:pt idx="1">
                  <c:v>2</c:v>
                </c:pt>
                <c:pt idx="2">
                  <c:v>4</c:v>
                </c:pt>
                <c:pt idx="3">
                  <c:v>6</c:v>
                </c:pt>
                <c:pt idx="4">
                  <c:v>8.5</c:v>
                </c:pt>
                <c:pt idx="5">
                  <c:v>12.5</c:v>
                </c:pt>
                <c:pt idx="6">
                  <c:v>17.5</c:v>
                </c:pt>
                <c:pt idx="7">
                  <c:v>21</c:v>
                </c:pt>
                <c:pt idx="8">
                  <c:v>22.5</c:v>
                </c:pt>
                <c:pt idx="9">
                  <c:v>24</c:v>
                </c:pt>
                <c:pt idx="10">
                  <c:v>27.5</c:v>
                </c:pt>
                <c:pt idx="11">
                  <c:v>34</c:v>
                </c:pt>
                <c:pt idx="12">
                  <c:v>41.5</c:v>
                </c:pt>
                <c:pt idx="13">
                  <c:v>49</c:v>
                </c:pt>
                <c:pt idx="14">
                  <c:v>59</c:v>
                </c:pt>
                <c:pt idx="15">
                  <c:v>70</c:v>
                </c:pt>
                <c:pt idx="16">
                  <c:v>77.5</c:v>
                </c:pt>
                <c:pt idx="17">
                  <c:v>85</c:v>
                </c:pt>
                <c:pt idx="18">
                  <c:v>92.5</c:v>
                </c:pt>
                <c:pt idx="19">
                  <c:v>97.5</c:v>
                </c:pt>
                <c:pt idx="20">
                  <c:v>102.5</c:v>
                </c:pt>
                <c:pt idx="21">
                  <c:v>107.5</c:v>
                </c:pt>
                <c:pt idx="22">
                  <c:v>112.5</c:v>
                </c:pt>
                <c:pt idx="23">
                  <c:v>117.5</c:v>
                </c:pt>
                <c:pt idx="24">
                  <c:v>122.5</c:v>
                </c:pt>
                <c:pt idx="25">
                  <c:v>137.5</c:v>
                </c:pt>
                <c:pt idx="26">
                  <c:v>225</c:v>
                </c:pt>
                <c:pt idx="27">
                  <c:v>350</c:v>
                </c:pt>
                <c:pt idx="28">
                  <c:v>450</c:v>
                </c:pt>
                <c:pt idx="29">
                  <c:v>750</c:v>
                </c:pt>
                <c:pt idx="30">
                  <c:v>1500</c:v>
                </c:pt>
                <c:pt idx="31">
                  <c:v>3000</c:v>
                </c:pt>
                <c:pt idx="32">
                  <c:v>5350</c:v>
                </c:pt>
              </c:numCache>
            </c:numRef>
          </c:xVal>
          <c:yVal>
            <c:numRef>
              <c:f>'6. Grain Size Distribution'!$G$81:$G$113</c:f>
              <c:numCache>
                <c:formatCode>0%</c:formatCode>
                <c:ptCount val="33"/>
                <c:pt idx="0">
                  <c:v>0</c:v>
                </c:pt>
                <c:pt idx="1">
                  <c:v>0</c:v>
                </c:pt>
                <c:pt idx="2">
                  <c:v>0</c:v>
                </c:pt>
                <c:pt idx="3">
                  <c:v>0</c:v>
                </c:pt>
                <c:pt idx="4">
                  <c:v>7.8536731995646394E-3</c:v>
                </c:pt>
                <c:pt idx="5">
                  <c:v>2.76957577805334E-2</c:v>
                </c:pt>
                <c:pt idx="6">
                  <c:v>3.6278764048041943E-2</c:v>
                </c:pt>
                <c:pt idx="7">
                  <c:v>5.3166953275351196E-2</c:v>
                </c:pt>
                <c:pt idx="8">
                  <c:v>7.2752505603320056E-2</c:v>
                </c:pt>
                <c:pt idx="9">
                  <c:v>8.4144867868492262E-2</c:v>
                </c:pt>
                <c:pt idx="10">
                  <c:v>0.11817769883433427</c:v>
                </c:pt>
                <c:pt idx="11">
                  <c:v>0.16832224675520491</c:v>
                </c:pt>
                <c:pt idx="12">
                  <c:v>0.20454798252093723</c:v>
                </c:pt>
                <c:pt idx="13">
                  <c:v>0.25063489369902187</c:v>
                </c:pt>
                <c:pt idx="14">
                  <c:v>0.29774359534569911</c:v>
                </c:pt>
                <c:pt idx="15">
                  <c:v>0.33809479857322444</c:v>
                </c:pt>
                <c:pt idx="16">
                  <c:v>0.35531781466586237</c:v>
                </c:pt>
                <c:pt idx="17">
                  <c:v>0.41449536942747695</c:v>
                </c:pt>
                <c:pt idx="18">
                  <c:v>0.44107511149188566</c:v>
                </c:pt>
                <c:pt idx="19">
                  <c:v>0.45729201080538767</c:v>
                </c:pt>
                <c:pt idx="20">
                  <c:v>0.47493778236382228</c:v>
                </c:pt>
                <c:pt idx="21">
                  <c:v>0.49190205706087492</c:v>
                </c:pt>
                <c:pt idx="22">
                  <c:v>0.53367327233578965</c:v>
                </c:pt>
                <c:pt idx="23">
                  <c:v>0.55783392647732233</c:v>
                </c:pt>
                <c:pt idx="24">
                  <c:v>0.58037034692478451</c:v>
                </c:pt>
                <c:pt idx="25">
                  <c:v>0.71501095731772357</c:v>
                </c:pt>
                <c:pt idx="26">
                  <c:v>0.95029979689296795</c:v>
                </c:pt>
                <c:pt idx="27">
                  <c:v>1</c:v>
                </c:pt>
                <c:pt idx="28">
                  <c:v>1</c:v>
                </c:pt>
                <c:pt idx="29">
                  <c:v>1</c:v>
                </c:pt>
                <c:pt idx="30">
                  <c:v>1</c:v>
                </c:pt>
                <c:pt idx="31">
                  <c:v>1</c:v>
                </c:pt>
                <c:pt idx="32">
                  <c:v>1</c:v>
                </c:pt>
              </c:numCache>
            </c:numRef>
          </c:yVal>
          <c:smooth val="1"/>
          <c:extLst>
            <c:ext xmlns:c16="http://schemas.microsoft.com/office/drawing/2014/chart" uri="{C3380CC4-5D6E-409C-BE32-E72D297353CC}">
              <c16:uniqueId val="{00000004-6060-454D-9F7D-7E4B93FCA383}"/>
            </c:ext>
          </c:extLst>
        </c:ser>
        <c:ser>
          <c:idx val="5"/>
          <c:order val="5"/>
          <c:tx>
            <c:strRef>
              <c:f>'6. Grain Size Distribution'!$I$3</c:f>
              <c:strCache>
                <c:ptCount val="1"/>
                <c:pt idx="0">
                  <c:v>-150/+0</c:v>
                </c:pt>
              </c:strCache>
            </c:strRef>
          </c:tx>
          <c:spPr>
            <a:ln w="22225" cap="rnd">
              <a:solidFill>
                <a:schemeClr val="accent6"/>
              </a:solidFill>
              <a:round/>
            </a:ln>
            <a:effectLst/>
          </c:spPr>
          <c:marker>
            <c:symbol val="circle"/>
            <c:size val="6"/>
            <c:spPr>
              <a:solidFill>
                <a:schemeClr val="accent6"/>
              </a:solidFill>
              <a:ln w="9525">
                <a:solidFill>
                  <a:schemeClr val="accent6"/>
                </a:solidFill>
                <a:round/>
              </a:ln>
              <a:effectLst/>
            </c:spPr>
          </c:marker>
          <c:xVal>
            <c:numRef>
              <c:f>'6. Grain Size Distribution'!$H$81:$H$105</c:f>
              <c:numCache>
                <c:formatCode>General</c:formatCode>
                <c:ptCount val="25"/>
                <c:pt idx="0">
                  <c:v>0.5</c:v>
                </c:pt>
                <c:pt idx="1">
                  <c:v>2</c:v>
                </c:pt>
                <c:pt idx="2">
                  <c:v>4</c:v>
                </c:pt>
                <c:pt idx="3">
                  <c:v>6</c:v>
                </c:pt>
                <c:pt idx="4">
                  <c:v>8.5</c:v>
                </c:pt>
                <c:pt idx="5">
                  <c:v>12.5</c:v>
                </c:pt>
                <c:pt idx="6">
                  <c:v>17.5</c:v>
                </c:pt>
                <c:pt idx="7">
                  <c:v>22.5</c:v>
                </c:pt>
                <c:pt idx="8">
                  <c:v>27.5</c:v>
                </c:pt>
                <c:pt idx="9">
                  <c:v>34</c:v>
                </c:pt>
                <c:pt idx="10">
                  <c:v>41.5</c:v>
                </c:pt>
                <c:pt idx="11">
                  <c:v>49</c:v>
                </c:pt>
                <c:pt idx="12">
                  <c:v>64</c:v>
                </c:pt>
                <c:pt idx="13">
                  <c:v>77.5</c:v>
                </c:pt>
                <c:pt idx="14">
                  <c:v>85</c:v>
                </c:pt>
                <c:pt idx="15">
                  <c:v>92.5</c:v>
                </c:pt>
                <c:pt idx="16">
                  <c:v>97.5</c:v>
                </c:pt>
                <c:pt idx="17">
                  <c:v>102.5</c:v>
                </c:pt>
                <c:pt idx="18">
                  <c:v>107.5</c:v>
                </c:pt>
                <c:pt idx="19">
                  <c:v>112.5</c:v>
                </c:pt>
                <c:pt idx="20">
                  <c:v>117.5</c:v>
                </c:pt>
                <c:pt idx="21">
                  <c:v>122.5</c:v>
                </c:pt>
                <c:pt idx="22">
                  <c:v>137.5</c:v>
                </c:pt>
                <c:pt idx="23">
                  <c:v>225</c:v>
                </c:pt>
                <c:pt idx="24">
                  <c:v>300</c:v>
                </c:pt>
              </c:numCache>
            </c:numRef>
          </c:xVal>
          <c:yVal>
            <c:numRef>
              <c:f>'6. Grain Size Distribution'!$I$81:$I$105</c:f>
              <c:numCache>
                <c:formatCode>0%</c:formatCode>
                <c:ptCount val="25"/>
                <c:pt idx="0">
                  <c:v>0</c:v>
                </c:pt>
                <c:pt idx="1">
                  <c:v>0</c:v>
                </c:pt>
                <c:pt idx="2">
                  <c:v>0</c:v>
                </c:pt>
                <c:pt idx="3">
                  <c:v>4.7504722649164728E-2</c:v>
                </c:pt>
                <c:pt idx="4">
                  <c:v>9.4395394084280312E-2</c:v>
                </c:pt>
                <c:pt idx="5">
                  <c:v>0.21111687827910749</c:v>
                </c:pt>
                <c:pt idx="6">
                  <c:v>0.3089276870903645</c:v>
                </c:pt>
                <c:pt idx="7">
                  <c:v>0.38982185228263794</c:v>
                </c:pt>
                <c:pt idx="8">
                  <c:v>0.46079552769026638</c:v>
                </c:pt>
                <c:pt idx="9">
                  <c:v>0.55469581665971057</c:v>
                </c:pt>
                <c:pt idx="10">
                  <c:v>0.62746918577262634</c:v>
                </c:pt>
                <c:pt idx="11">
                  <c:v>0.69102354857484427</c:v>
                </c:pt>
                <c:pt idx="12">
                  <c:v>0.82647077778795375</c:v>
                </c:pt>
                <c:pt idx="13">
                  <c:v>0.84902379158552788</c:v>
                </c:pt>
                <c:pt idx="14">
                  <c:v>0.89703381560273221</c:v>
                </c:pt>
                <c:pt idx="15">
                  <c:v>0.9102653348515275</c:v>
                </c:pt>
                <c:pt idx="16">
                  <c:v>0.92082042729102642</c:v>
                </c:pt>
                <c:pt idx="17">
                  <c:v>0.93531563601072387</c:v>
                </c:pt>
                <c:pt idx="18">
                  <c:v>0.94297457075439928</c:v>
                </c:pt>
                <c:pt idx="19">
                  <c:v>0.94875983394134666</c:v>
                </c:pt>
                <c:pt idx="20">
                  <c:v>0.95315712299235267</c:v>
                </c:pt>
                <c:pt idx="21">
                  <c:v>0.95551555058918702</c:v>
                </c:pt>
                <c:pt idx="22">
                  <c:v>0.97856053156597123</c:v>
                </c:pt>
                <c:pt idx="23">
                  <c:v>1</c:v>
                </c:pt>
                <c:pt idx="24">
                  <c:v>1</c:v>
                </c:pt>
              </c:numCache>
            </c:numRef>
          </c:yVal>
          <c:smooth val="1"/>
          <c:extLst>
            <c:ext xmlns:c16="http://schemas.microsoft.com/office/drawing/2014/chart" uri="{C3380CC4-5D6E-409C-BE32-E72D297353CC}">
              <c16:uniqueId val="{00000005-6060-454D-9F7D-7E4B93FCA383}"/>
            </c:ext>
          </c:extLst>
        </c:ser>
        <c:ser>
          <c:idx val="12"/>
          <c:order val="6"/>
          <c:tx>
            <c:strRef>
              <c:f>'6. Grain Size Distribution'!$K$79</c:f>
              <c:strCache>
                <c:ptCount val="1"/>
                <c:pt idx="0">
                  <c:v>SCT</c:v>
                </c:pt>
              </c:strCache>
            </c:strRef>
          </c:tx>
          <c:spPr>
            <a:ln w="22225" cap="rnd">
              <a:solidFill>
                <a:schemeClr val="accent2"/>
              </a:solidFill>
              <a:round/>
            </a:ln>
            <a:effectLst/>
          </c:spPr>
          <c:marker>
            <c:symbol val="plus"/>
            <c:size val="10"/>
            <c:spPr>
              <a:noFill/>
              <a:ln w="9525">
                <a:solidFill>
                  <a:schemeClr val="accent2"/>
                </a:solidFill>
                <a:round/>
              </a:ln>
              <a:effectLst/>
            </c:spPr>
          </c:marker>
          <c:xVal>
            <c:numRef>
              <c:f>'6. Grain Size Distribution'!$J$81:$J$105</c:f>
              <c:numCache>
                <c:formatCode>General</c:formatCode>
                <c:ptCount val="25"/>
                <c:pt idx="0">
                  <c:v>0.5</c:v>
                </c:pt>
                <c:pt idx="1">
                  <c:v>2</c:v>
                </c:pt>
                <c:pt idx="2">
                  <c:v>4</c:v>
                </c:pt>
                <c:pt idx="3">
                  <c:v>6</c:v>
                </c:pt>
                <c:pt idx="4">
                  <c:v>8.5</c:v>
                </c:pt>
                <c:pt idx="5">
                  <c:v>12.5</c:v>
                </c:pt>
                <c:pt idx="6">
                  <c:v>17.5</c:v>
                </c:pt>
                <c:pt idx="7">
                  <c:v>22.5</c:v>
                </c:pt>
                <c:pt idx="8">
                  <c:v>27.5</c:v>
                </c:pt>
                <c:pt idx="9">
                  <c:v>34</c:v>
                </c:pt>
                <c:pt idx="10">
                  <c:v>41.5</c:v>
                </c:pt>
                <c:pt idx="11">
                  <c:v>49</c:v>
                </c:pt>
                <c:pt idx="12">
                  <c:v>64</c:v>
                </c:pt>
                <c:pt idx="13">
                  <c:v>77.5</c:v>
                </c:pt>
                <c:pt idx="14">
                  <c:v>85</c:v>
                </c:pt>
                <c:pt idx="15">
                  <c:v>92.5</c:v>
                </c:pt>
                <c:pt idx="16">
                  <c:v>97.5</c:v>
                </c:pt>
                <c:pt idx="17">
                  <c:v>102.5</c:v>
                </c:pt>
                <c:pt idx="18">
                  <c:v>107.5</c:v>
                </c:pt>
                <c:pt idx="19">
                  <c:v>112.5</c:v>
                </c:pt>
                <c:pt idx="20">
                  <c:v>117.5</c:v>
                </c:pt>
                <c:pt idx="21">
                  <c:v>122.5</c:v>
                </c:pt>
                <c:pt idx="22">
                  <c:v>137.5</c:v>
                </c:pt>
                <c:pt idx="23">
                  <c:v>225</c:v>
                </c:pt>
                <c:pt idx="24">
                  <c:v>300</c:v>
                </c:pt>
              </c:numCache>
            </c:numRef>
          </c:xVal>
          <c:yVal>
            <c:numRef>
              <c:f>'6. Grain Size Distribution'!$K$81:$K$105</c:f>
              <c:numCache>
                <c:formatCode>0%</c:formatCode>
                <c:ptCount val="25"/>
                <c:pt idx="0">
                  <c:v>0</c:v>
                </c:pt>
                <c:pt idx="1">
                  <c:v>0</c:v>
                </c:pt>
                <c:pt idx="2">
                  <c:v>0.11467128376473815</c:v>
                </c:pt>
                <c:pt idx="3">
                  <c:v>0.16668737676044917</c:v>
                </c:pt>
                <c:pt idx="4">
                  <c:v>0.29670105632540261</c:v>
                </c:pt>
                <c:pt idx="5">
                  <c:v>0.47030846742035326</c:v>
                </c:pt>
                <c:pt idx="6">
                  <c:v>0.59177224475434587</c:v>
                </c:pt>
                <c:pt idx="7">
                  <c:v>0.67543002580930533</c:v>
                </c:pt>
                <c:pt idx="8">
                  <c:v>0.74187611307232371</c:v>
                </c:pt>
                <c:pt idx="9">
                  <c:v>0.80572527013588746</c:v>
                </c:pt>
                <c:pt idx="10">
                  <c:v>0.84909824302295978</c:v>
                </c:pt>
                <c:pt idx="11">
                  <c:v>0.88988892118062801</c:v>
                </c:pt>
                <c:pt idx="12">
                  <c:v>0.95017816508856001</c:v>
                </c:pt>
                <c:pt idx="13">
                  <c:v>0.96280137108307418</c:v>
                </c:pt>
                <c:pt idx="14">
                  <c:v>0.97104708165058384</c:v>
                </c:pt>
                <c:pt idx="15">
                  <c:v>0.9734252572599108</c:v>
                </c:pt>
                <c:pt idx="16">
                  <c:v>0.98538096192096836</c:v>
                </c:pt>
                <c:pt idx="17">
                  <c:v>0.9871668578668249</c:v>
                </c:pt>
                <c:pt idx="18">
                  <c:v>0.9871668578668249</c:v>
                </c:pt>
                <c:pt idx="19">
                  <c:v>0.98957790985273242</c:v>
                </c:pt>
                <c:pt idx="20">
                  <c:v>0.98957790985273242</c:v>
                </c:pt>
                <c:pt idx="21">
                  <c:v>0.99176692084982732</c:v>
                </c:pt>
                <c:pt idx="22">
                  <c:v>0.99676342387074612</c:v>
                </c:pt>
                <c:pt idx="23">
                  <c:v>1</c:v>
                </c:pt>
                <c:pt idx="24">
                  <c:v>1</c:v>
                </c:pt>
              </c:numCache>
            </c:numRef>
          </c:yVal>
          <c:smooth val="1"/>
          <c:extLst>
            <c:ext xmlns:c16="http://schemas.microsoft.com/office/drawing/2014/chart" uri="{C3380CC4-5D6E-409C-BE32-E72D297353CC}">
              <c16:uniqueId val="{00000000-BD6F-8E42-A72F-F3137750AA51}"/>
            </c:ext>
          </c:extLst>
        </c:ser>
        <c:ser>
          <c:idx val="6"/>
          <c:order val="7"/>
          <c:tx>
            <c:strRef>
              <c:f>'6. Grain Size Distribution'!$Q$106</c:f>
              <c:strCache>
                <c:ptCount val="1"/>
                <c:pt idx="0">
                  <c:v>HCT L85</c:v>
                </c:pt>
              </c:strCache>
            </c:strRef>
          </c:tx>
          <c:spPr>
            <a:ln w="22225" cap="rnd">
              <a:noFill/>
              <a:round/>
            </a:ln>
            <a:effectLst/>
          </c:spPr>
          <c:marker>
            <c:symbol val="diamond"/>
            <c:size val="10"/>
            <c:spPr>
              <a:solidFill>
                <a:schemeClr val="accent1"/>
              </a:solidFill>
              <a:ln w="9525">
                <a:noFill/>
                <a:round/>
              </a:ln>
              <a:effectLst/>
            </c:spPr>
          </c:marker>
          <c:xVal>
            <c:numRef>
              <c:f>'6. Grain Size Distribution'!$R$106</c:f>
              <c:numCache>
                <c:formatCode>General</c:formatCode>
                <c:ptCount val="1"/>
                <c:pt idx="0">
                  <c:v>520</c:v>
                </c:pt>
              </c:numCache>
            </c:numRef>
          </c:xVal>
          <c:yVal>
            <c:numRef>
              <c:f>'6. Grain Size Distribution'!$S$106</c:f>
              <c:numCache>
                <c:formatCode>0%</c:formatCode>
                <c:ptCount val="1"/>
                <c:pt idx="0">
                  <c:v>0.85</c:v>
                </c:pt>
              </c:numCache>
            </c:numRef>
          </c:yVal>
          <c:smooth val="1"/>
          <c:extLst>
            <c:ext xmlns:c16="http://schemas.microsoft.com/office/drawing/2014/chart" uri="{C3380CC4-5D6E-409C-BE32-E72D297353CC}">
              <c16:uniqueId val="{00000006-6060-454D-9F7D-7E4B93FCA383}"/>
            </c:ext>
          </c:extLst>
        </c:ser>
        <c:ser>
          <c:idx val="7"/>
          <c:order val="8"/>
          <c:tx>
            <c:strRef>
              <c:f>'6. Grain Size Distribution'!$Q$107</c:f>
              <c:strCache>
                <c:ptCount val="1"/>
                <c:pt idx="0">
                  <c:v>-6700/+2000 L85</c:v>
                </c:pt>
              </c:strCache>
            </c:strRef>
          </c:tx>
          <c:spPr>
            <a:ln w="22225" cap="rnd">
              <a:noFill/>
              <a:round/>
            </a:ln>
            <a:effectLst/>
          </c:spPr>
          <c:marker>
            <c:symbol val="diamond"/>
            <c:size val="10"/>
            <c:spPr>
              <a:solidFill>
                <a:schemeClr val="accent2"/>
              </a:solidFill>
              <a:ln w="9525">
                <a:noFill/>
                <a:round/>
              </a:ln>
              <a:effectLst/>
            </c:spPr>
          </c:marker>
          <c:xVal>
            <c:numRef>
              <c:f>'6. Grain Size Distribution'!$R$107</c:f>
              <c:numCache>
                <c:formatCode>General</c:formatCode>
                <c:ptCount val="1"/>
                <c:pt idx="0">
                  <c:v>595</c:v>
                </c:pt>
              </c:numCache>
            </c:numRef>
          </c:xVal>
          <c:yVal>
            <c:numRef>
              <c:f>'6. Grain Size Distribution'!$S$107</c:f>
              <c:numCache>
                <c:formatCode>0%</c:formatCode>
                <c:ptCount val="1"/>
                <c:pt idx="0">
                  <c:v>0.85</c:v>
                </c:pt>
              </c:numCache>
            </c:numRef>
          </c:yVal>
          <c:smooth val="1"/>
          <c:extLst>
            <c:ext xmlns:c16="http://schemas.microsoft.com/office/drawing/2014/chart" uri="{C3380CC4-5D6E-409C-BE32-E72D297353CC}">
              <c16:uniqueId val="{00000007-6060-454D-9F7D-7E4B93FCA383}"/>
            </c:ext>
          </c:extLst>
        </c:ser>
        <c:ser>
          <c:idx val="8"/>
          <c:order val="9"/>
          <c:tx>
            <c:strRef>
              <c:f>'6. Grain Size Distribution'!$Q$108</c:f>
              <c:strCache>
                <c:ptCount val="1"/>
                <c:pt idx="0">
                  <c:v>-2000/+1000 L85</c:v>
                </c:pt>
              </c:strCache>
            </c:strRef>
          </c:tx>
          <c:spPr>
            <a:ln w="22225" cap="rnd">
              <a:noFill/>
              <a:round/>
            </a:ln>
            <a:effectLst/>
          </c:spPr>
          <c:marker>
            <c:symbol val="triangle"/>
            <c:size val="10"/>
            <c:spPr>
              <a:solidFill>
                <a:schemeClr val="accent3"/>
              </a:solidFill>
              <a:ln w="9525">
                <a:noFill/>
                <a:round/>
              </a:ln>
              <a:effectLst/>
            </c:spPr>
          </c:marker>
          <c:xVal>
            <c:numRef>
              <c:f>'6. Grain Size Distribution'!$R$108</c:f>
              <c:numCache>
                <c:formatCode>General</c:formatCode>
                <c:ptCount val="1"/>
                <c:pt idx="0">
                  <c:v>610</c:v>
                </c:pt>
              </c:numCache>
            </c:numRef>
          </c:xVal>
          <c:yVal>
            <c:numRef>
              <c:f>'6. Grain Size Distribution'!$S$108</c:f>
              <c:numCache>
                <c:formatCode>0%</c:formatCode>
                <c:ptCount val="1"/>
                <c:pt idx="0">
                  <c:v>0.85</c:v>
                </c:pt>
              </c:numCache>
            </c:numRef>
          </c:yVal>
          <c:smooth val="1"/>
          <c:extLst>
            <c:ext xmlns:c16="http://schemas.microsoft.com/office/drawing/2014/chart" uri="{C3380CC4-5D6E-409C-BE32-E72D297353CC}">
              <c16:uniqueId val="{00000008-6060-454D-9F7D-7E4B93FCA383}"/>
            </c:ext>
          </c:extLst>
        </c:ser>
        <c:ser>
          <c:idx val="9"/>
          <c:order val="10"/>
          <c:tx>
            <c:strRef>
              <c:f>'6. Grain Size Distribution'!$Q$109</c:f>
              <c:strCache>
                <c:ptCount val="1"/>
                <c:pt idx="0">
                  <c:v>-1000/+425 L85</c:v>
                </c:pt>
              </c:strCache>
            </c:strRef>
          </c:tx>
          <c:spPr>
            <a:ln w="22225" cap="rnd">
              <a:noFill/>
              <a:round/>
            </a:ln>
            <a:effectLst/>
          </c:spPr>
          <c:marker>
            <c:symbol val="square"/>
            <c:size val="10"/>
            <c:spPr>
              <a:solidFill>
                <a:schemeClr val="accent4"/>
              </a:solidFill>
              <a:ln w="9525">
                <a:noFill/>
                <a:round/>
              </a:ln>
              <a:effectLst/>
            </c:spPr>
          </c:marker>
          <c:xVal>
            <c:numRef>
              <c:f>'6. Grain Size Distribution'!$R$109</c:f>
              <c:numCache>
                <c:formatCode>General</c:formatCode>
                <c:ptCount val="1"/>
                <c:pt idx="0">
                  <c:v>340</c:v>
                </c:pt>
              </c:numCache>
            </c:numRef>
          </c:xVal>
          <c:yVal>
            <c:numRef>
              <c:f>'6. Grain Size Distribution'!$S$109</c:f>
              <c:numCache>
                <c:formatCode>0%</c:formatCode>
                <c:ptCount val="1"/>
                <c:pt idx="0">
                  <c:v>0.85</c:v>
                </c:pt>
              </c:numCache>
            </c:numRef>
          </c:yVal>
          <c:smooth val="1"/>
          <c:extLst>
            <c:ext xmlns:c16="http://schemas.microsoft.com/office/drawing/2014/chart" uri="{C3380CC4-5D6E-409C-BE32-E72D297353CC}">
              <c16:uniqueId val="{00000009-6060-454D-9F7D-7E4B93FCA383}"/>
            </c:ext>
          </c:extLst>
        </c:ser>
        <c:ser>
          <c:idx val="10"/>
          <c:order val="11"/>
          <c:tx>
            <c:strRef>
              <c:f>'6. Grain Size Distribution'!$Q$110</c:f>
              <c:strCache>
                <c:ptCount val="1"/>
                <c:pt idx="0">
                  <c:v>-425/+150 L85</c:v>
                </c:pt>
              </c:strCache>
            </c:strRef>
          </c:tx>
          <c:spPr>
            <a:ln w="22225" cap="rnd">
              <a:noFill/>
              <a:round/>
            </a:ln>
            <a:effectLst/>
          </c:spPr>
          <c:marker>
            <c:symbol val="star"/>
            <c:size val="10"/>
            <c:spPr>
              <a:noFill/>
              <a:ln w="9525">
                <a:solidFill>
                  <a:schemeClr val="accent5"/>
                </a:solidFill>
                <a:round/>
              </a:ln>
              <a:effectLst/>
            </c:spPr>
          </c:marker>
          <c:xVal>
            <c:numRef>
              <c:f>'6. Grain Size Distribution'!$R$110</c:f>
              <c:numCache>
                <c:formatCode>General</c:formatCode>
                <c:ptCount val="1"/>
                <c:pt idx="0">
                  <c:v>175</c:v>
                </c:pt>
              </c:numCache>
            </c:numRef>
          </c:xVal>
          <c:yVal>
            <c:numRef>
              <c:f>'6. Grain Size Distribution'!$S$110</c:f>
              <c:numCache>
                <c:formatCode>0%</c:formatCode>
                <c:ptCount val="1"/>
                <c:pt idx="0">
                  <c:v>0.85</c:v>
                </c:pt>
              </c:numCache>
            </c:numRef>
          </c:yVal>
          <c:smooth val="1"/>
          <c:extLst>
            <c:ext xmlns:c16="http://schemas.microsoft.com/office/drawing/2014/chart" uri="{C3380CC4-5D6E-409C-BE32-E72D297353CC}">
              <c16:uniqueId val="{0000000A-6060-454D-9F7D-7E4B93FCA383}"/>
            </c:ext>
          </c:extLst>
        </c:ser>
        <c:ser>
          <c:idx val="11"/>
          <c:order val="12"/>
          <c:tx>
            <c:strRef>
              <c:f>'6. Grain Size Distribution'!$Q$111</c:f>
              <c:strCache>
                <c:ptCount val="1"/>
                <c:pt idx="0">
                  <c:v>-150/+0 L85</c:v>
                </c:pt>
              </c:strCache>
            </c:strRef>
          </c:tx>
          <c:spPr>
            <a:ln w="22225" cap="rnd">
              <a:noFill/>
              <a:round/>
            </a:ln>
            <a:effectLst/>
          </c:spPr>
          <c:marker>
            <c:symbol val="circle"/>
            <c:size val="10"/>
            <c:spPr>
              <a:solidFill>
                <a:schemeClr val="accent6"/>
              </a:solidFill>
              <a:ln w="9525">
                <a:noFill/>
                <a:round/>
              </a:ln>
              <a:effectLst/>
            </c:spPr>
          </c:marker>
          <c:xVal>
            <c:numRef>
              <c:f>'6. Grain Size Distribution'!$R$111</c:f>
              <c:numCache>
                <c:formatCode>General</c:formatCode>
                <c:ptCount val="1"/>
                <c:pt idx="0">
                  <c:v>75</c:v>
                </c:pt>
              </c:numCache>
            </c:numRef>
          </c:xVal>
          <c:yVal>
            <c:numRef>
              <c:f>'6. Grain Size Distribution'!$S$111</c:f>
              <c:numCache>
                <c:formatCode>0%</c:formatCode>
                <c:ptCount val="1"/>
                <c:pt idx="0">
                  <c:v>0.85</c:v>
                </c:pt>
              </c:numCache>
            </c:numRef>
          </c:yVal>
          <c:smooth val="1"/>
          <c:extLst>
            <c:ext xmlns:c16="http://schemas.microsoft.com/office/drawing/2014/chart" uri="{C3380CC4-5D6E-409C-BE32-E72D297353CC}">
              <c16:uniqueId val="{0000000B-6060-454D-9F7D-7E4B93FCA383}"/>
            </c:ext>
          </c:extLst>
        </c:ser>
        <c:ser>
          <c:idx val="13"/>
          <c:order val="13"/>
          <c:tx>
            <c:strRef>
              <c:f>'6. Grain Size Distribution'!$Q$112</c:f>
              <c:strCache>
                <c:ptCount val="1"/>
                <c:pt idx="0">
                  <c:v>SCT L85</c:v>
                </c:pt>
              </c:strCache>
            </c:strRef>
          </c:tx>
          <c:spPr>
            <a:ln w="22225" cap="rnd">
              <a:noFill/>
              <a:round/>
            </a:ln>
            <a:effectLst/>
          </c:spPr>
          <c:marker>
            <c:symbol val="plus"/>
            <c:size val="10"/>
            <c:spPr>
              <a:noFill/>
              <a:ln w="9525">
                <a:solidFill>
                  <a:schemeClr val="accent2">
                    <a:lumMod val="80000"/>
                    <a:lumOff val="20000"/>
                  </a:schemeClr>
                </a:solidFill>
                <a:round/>
              </a:ln>
              <a:effectLst/>
            </c:spPr>
          </c:marker>
          <c:xVal>
            <c:numRef>
              <c:f>'6. Grain Size Distribution'!$R$112</c:f>
              <c:numCache>
                <c:formatCode>General</c:formatCode>
                <c:ptCount val="1"/>
                <c:pt idx="0">
                  <c:v>42</c:v>
                </c:pt>
              </c:numCache>
            </c:numRef>
          </c:xVal>
          <c:yVal>
            <c:numRef>
              <c:f>'6. Grain Size Distribution'!$S$112</c:f>
              <c:numCache>
                <c:formatCode>0%</c:formatCode>
                <c:ptCount val="1"/>
                <c:pt idx="0">
                  <c:v>0.85</c:v>
                </c:pt>
              </c:numCache>
            </c:numRef>
          </c:yVal>
          <c:smooth val="1"/>
          <c:extLst>
            <c:ext xmlns:c16="http://schemas.microsoft.com/office/drawing/2014/chart" uri="{C3380CC4-5D6E-409C-BE32-E72D297353CC}">
              <c16:uniqueId val="{00000001-BD6F-8E42-A72F-F3137750AA51}"/>
            </c:ext>
          </c:extLst>
        </c:ser>
        <c:dLbls>
          <c:showLegendKey val="0"/>
          <c:showVal val="0"/>
          <c:showCatName val="0"/>
          <c:showSerName val="0"/>
          <c:showPercent val="0"/>
          <c:showBubbleSize val="0"/>
        </c:dLbls>
        <c:axId val="269554336"/>
        <c:axId val="269554728"/>
      </c:scatterChart>
      <c:valAx>
        <c:axId val="269554336"/>
        <c:scaling>
          <c:logBase val="10"/>
          <c:orientation val="minMax"/>
          <c:min val="0.5"/>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r>
                  <a:rPr lang="en-GB"/>
                  <a:t>Aperture size [µm]</a:t>
                </a:r>
              </a:p>
            </c:rich>
          </c:tx>
          <c:overlay val="0"/>
          <c:spPr>
            <a:noFill/>
            <a:ln>
              <a:noFill/>
            </a:ln>
            <a:effectLst/>
          </c:spPr>
          <c:txPr>
            <a:bodyPr rot="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269554728"/>
        <c:crosses val="autoZero"/>
        <c:crossBetween val="midCat"/>
      </c:valAx>
      <c:valAx>
        <c:axId val="269554728"/>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r>
                  <a:rPr lang="en-GB"/>
                  <a:t>Cumulative % passing</a:t>
                </a:r>
              </a:p>
            </c:rich>
          </c:tx>
          <c:overlay val="0"/>
          <c:spPr>
            <a:noFill/>
            <a:ln>
              <a:noFill/>
            </a:ln>
            <a:effectLst/>
          </c:spPr>
          <c:txPr>
            <a:bodyPr rot="-540000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 sourceLinked="1"/>
        <c:majorTickMark val="none"/>
        <c:minorTickMark val="none"/>
        <c:tickLblPos val="low"/>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269554336"/>
        <c:crosses val="autoZero"/>
        <c:crossBetween val="midCat"/>
      </c:valAx>
      <c:spPr>
        <a:noFill/>
        <a:ln>
          <a:noFill/>
        </a:ln>
        <a:effectLst/>
      </c:spPr>
    </c:plotArea>
    <c:legend>
      <c:legendPos val="t"/>
      <c:layout>
        <c:manualLayout>
          <c:xMode val="edge"/>
          <c:yMode val="edge"/>
          <c:x val="0.79972024096286676"/>
          <c:y val="9.2043024388420422E-2"/>
          <c:w val="0.19912207256871028"/>
          <c:h val="0.88424793490396347"/>
        </c:manualLayout>
      </c:layout>
      <c:overlay val="0"/>
      <c:spPr>
        <a:noFill/>
        <a:ln>
          <a:noFill/>
        </a:ln>
        <a:effectLst/>
      </c:spPr>
      <c:txPr>
        <a:bodyPr rot="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lt1"/>
    </a:solidFill>
    <a:ln w="9525" cap="flat" cmpd="sng" algn="ctr">
      <a:noFill/>
      <a:round/>
    </a:ln>
    <a:effectLst/>
  </c:spPr>
  <c:txPr>
    <a:bodyPr/>
    <a:lstStyle/>
    <a:p>
      <a:pPr>
        <a:defRPr sz="1200" cap="none" baseline="0">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cap="none" spc="120" normalizeH="0" baseline="0">
                <a:solidFill>
                  <a:sysClr val="windowText" lastClr="000000"/>
                </a:solidFill>
                <a:latin typeface="Times New Roman" panose="02020603050405020304" pitchFamily="18" charset="0"/>
                <a:ea typeface="+mn-ea"/>
                <a:cs typeface="Times New Roman" panose="02020603050405020304" pitchFamily="18" charset="0"/>
              </a:defRPr>
            </a:pPr>
            <a:r>
              <a:rPr lang="en-GB"/>
              <a:t>Sample</a:t>
            </a:r>
            <a:r>
              <a:rPr lang="en-GB" baseline="0"/>
              <a:t> D - Fe-sulfide Grain Size Distribution </a:t>
            </a:r>
            <a:endParaRPr lang="en-GB"/>
          </a:p>
        </c:rich>
      </c:tx>
      <c:overlay val="0"/>
      <c:spPr>
        <a:noFill/>
        <a:ln>
          <a:noFill/>
        </a:ln>
        <a:effectLst/>
      </c:spPr>
      <c:txPr>
        <a:bodyPr rot="0" spcFirstLastPara="1" vertOverflow="ellipsis" vert="horz" wrap="square" anchor="ctr" anchorCtr="1"/>
        <a:lstStyle/>
        <a:p>
          <a:pPr>
            <a:defRPr sz="1440" b="1" i="0" u="none" strike="noStrike" kern="1200" cap="none" spc="120" normalizeH="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manualLayout>
          <c:layoutTarget val="inner"/>
          <c:xMode val="edge"/>
          <c:yMode val="edge"/>
          <c:x val="7.3020875521845774E-2"/>
          <c:y val="0.12470003328823137"/>
          <c:w val="0.72996815445497998"/>
          <c:h val="0.74873181775272968"/>
        </c:manualLayout>
      </c:layout>
      <c:scatterChart>
        <c:scatterStyle val="smoothMarker"/>
        <c:varyColors val="0"/>
        <c:ser>
          <c:idx val="0"/>
          <c:order val="0"/>
          <c:tx>
            <c:strRef>
              <c:f>'6. Grain Size Distribution'!$B$3</c:f>
              <c:strCache>
                <c:ptCount val="1"/>
                <c:pt idx="0">
                  <c:v>HCT</c:v>
                </c:pt>
              </c:strCache>
            </c:strRef>
          </c:tx>
          <c:spPr>
            <a:ln w="22225" cap="rnd">
              <a:solidFill>
                <a:schemeClr val="accent1"/>
              </a:solidFill>
              <a:round/>
            </a:ln>
            <a:effectLst/>
          </c:spPr>
          <c:marker>
            <c:symbol val="diamond"/>
            <c:size val="6"/>
            <c:spPr>
              <a:solidFill>
                <a:schemeClr val="accent1"/>
              </a:solidFill>
              <a:ln w="9525">
                <a:solidFill>
                  <a:schemeClr val="accent1"/>
                </a:solidFill>
                <a:round/>
              </a:ln>
              <a:effectLst/>
            </c:spPr>
          </c:marker>
          <c:xVal>
            <c:numRef>
              <c:f>'6. Grain Size Distribution'!$A$119:$A$151</c:f>
              <c:numCache>
                <c:formatCode>0.00</c:formatCode>
                <c:ptCount val="33"/>
                <c:pt idx="0" formatCode="General">
                  <c:v>0.5</c:v>
                </c:pt>
                <c:pt idx="1">
                  <c:v>2</c:v>
                </c:pt>
                <c:pt idx="2" formatCode="General">
                  <c:v>4</c:v>
                </c:pt>
                <c:pt idx="3">
                  <c:v>6</c:v>
                </c:pt>
                <c:pt idx="4" formatCode="General">
                  <c:v>8.5</c:v>
                </c:pt>
                <c:pt idx="5" formatCode="General">
                  <c:v>12.5</c:v>
                </c:pt>
                <c:pt idx="6" formatCode="General">
                  <c:v>17.5</c:v>
                </c:pt>
                <c:pt idx="7" formatCode="General">
                  <c:v>21</c:v>
                </c:pt>
                <c:pt idx="8" formatCode="General">
                  <c:v>22.5</c:v>
                </c:pt>
                <c:pt idx="9" formatCode="General">
                  <c:v>24</c:v>
                </c:pt>
                <c:pt idx="10" formatCode="General">
                  <c:v>27.5</c:v>
                </c:pt>
                <c:pt idx="11" formatCode="General">
                  <c:v>34</c:v>
                </c:pt>
                <c:pt idx="12" formatCode="General">
                  <c:v>41.5</c:v>
                </c:pt>
                <c:pt idx="13" formatCode="General">
                  <c:v>49</c:v>
                </c:pt>
                <c:pt idx="14" formatCode="General">
                  <c:v>59</c:v>
                </c:pt>
                <c:pt idx="15" formatCode="General">
                  <c:v>70</c:v>
                </c:pt>
                <c:pt idx="16" formatCode="General">
                  <c:v>77.5</c:v>
                </c:pt>
                <c:pt idx="17" formatCode="General">
                  <c:v>85</c:v>
                </c:pt>
                <c:pt idx="18" formatCode="General">
                  <c:v>92.5</c:v>
                </c:pt>
                <c:pt idx="19" formatCode="General">
                  <c:v>97.5</c:v>
                </c:pt>
                <c:pt idx="20" formatCode="General">
                  <c:v>102.5</c:v>
                </c:pt>
                <c:pt idx="21" formatCode="General">
                  <c:v>107.5</c:v>
                </c:pt>
                <c:pt idx="22" formatCode="General">
                  <c:v>112.5</c:v>
                </c:pt>
                <c:pt idx="23" formatCode="General">
                  <c:v>117.5</c:v>
                </c:pt>
                <c:pt idx="24" formatCode="General">
                  <c:v>122.5</c:v>
                </c:pt>
                <c:pt idx="25" formatCode="General">
                  <c:v>137.5</c:v>
                </c:pt>
                <c:pt idx="26" formatCode="General">
                  <c:v>225</c:v>
                </c:pt>
                <c:pt idx="27" formatCode="General">
                  <c:v>350</c:v>
                </c:pt>
                <c:pt idx="28" formatCode="General">
                  <c:v>450</c:v>
                </c:pt>
                <c:pt idx="29" formatCode="General">
                  <c:v>750</c:v>
                </c:pt>
                <c:pt idx="30" formatCode="General">
                  <c:v>1500</c:v>
                </c:pt>
                <c:pt idx="31" formatCode="General">
                  <c:v>3000</c:v>
                </c:pt>
                <c:pt idx="32" formatCode="0">
                  <c:v>5350</c:v>
                </c:pt>
              </c:numCache>
            </c:numRef>
          </c:xVal>
          <c:yVal>
            <c:numRef>
              <c:f>'6. Grain Size Distribution'!$B$119:$B$151</c:f>
              <c:numCache>
                <c:formatCode>0%</c:formatCode>
                <c:ptCount val="33"/>
                <c:pt idx="0">
                  <c:v>0</c:v>
                </c:pt>
                <c:pt idx="1">
                  <c:v>0</c:v>
                </c:pt>
                <c:pt idx="2">
                  <c:v>0</c:v>
                </c:pt>
                <c:pt idx="3">
                  <c:v>1.2584633890436724E-2</c:v>
                </c:pt>
                <c:pt idx="4">
                  <c:v>2.4303410207615624E-2</c:v>
                </c:pt>
                <c:pt idx="5">
                  <c:v>5.902309231061046E-2</c:v>
                </c:pt>
                <c:pt idx="6">
                  <c:v>6.8618487412811929E-2</c:v>
                </c:pt>
                <c:pt idx="7">
                  <c:v>8.1863174246174217E-2</c:v>
                </c:pt>
                <c:pt idx="8">
                  <c:v>0.20477586905722511</c:v>
                </c:pt>
                <c:pt idx="9">
                  <c:v>0.21268660927587574</c:v>
                </c:pt>
                <c:pt idx="10">
                  <c:v>0.25009939315761937</c:v>
                </c:pt>
                <c:pt idx="11">
                  <c:v>0.32521496097152042</c:v>
                </c:pt>
                <c:pt idx="12">
                  <c:v>0.42119470351781796</c:v>
                </c:pt>
                <c:pt idx="13">
                  <c:v>0.48414651298339983</c:v>
                </c:pt>
                <c:pt idx="14">
                  <c:v>0.59088427748752614</c:v>
                </c:pt>
                <c:pt idx="15">
                  <c:v>0.66455080615735318</c:v>
                </c:pt>
                <c:pt idx="16">
                  <c:v>0.6980432060612568</c:v>
                </c:pt>
                <c:pt idx="17">
                  <c:v>0.76017505271758234</c:v>
                </c:pt>
                <c:pt idx="18">
                  <c:v>0.78616653955488125</c:v>
                </c:pt>
                <c:pt idx="19">
                  <c:v>0.80282034877286856</c:v>
                </c:pt>
                <c:pt idx="20">
                  <c:v>0.83358418613848395</c:v>
                </c:pt>
                <c:pt idx="21">
                  <c:v>0.84640517760564449</c:v>
                </c:pt>
                <c:pt idx="22">
                  <c:v>0.85714769936845325</c:v>
                </c:pt>
                <c:pt idx="23">
                  <c:v>0.86956948427359726</c:v>
                </c:pt>
                <c:pt idx="24">
                  <c:v>0.87884181311832932</c:v>
                </c:pt>
                <c:pt idx="25">
                  <c:v>0.95993856439556291</c:v>
                </c:pt>
                <c:pt idx="26">
                  <c:v>1</c:v>
                </c:pt>
                <c:pt idx="27">
                  <c:v>1</c:v>
                </c:pt>
                <c:pt idx="28">
                  <c:v>1</c:v>
                </c:pt>
                <c:pt idx="29">
                  <c:v>1</c:v>
                </c:pt>
                <c:pt idx="30">
                  <c:v>1</c:v>
                </c:pt>
                <c:pt idx="31">
                  <c:v>1</c:v>
                </c:pt>
                <c:pt idx="32">
                  <c:v>1</c:v>
                </c:pt>
              </c:numCache>
            </c:numRef>
          </c:yVal>
          <c:smooth val="1"/>
          <c:extLst>
            <c:ext xmlns:c16="http://schemas.microsoft.com/office/drawing/2014/chart" uri="{C3380CC4-5D6E-409C-BE32-E72D297353CC}">
              <c16:uniqueId val="{00000000-CC3E-0743-9E34-E0DC91735B71}"/>
            </c:ext>
          </c:extLst>
        </c:ser>
        <c:ser>
          <c:idx val="1"/>
          <c:order val="1"/>
          <c:tx>
            <c:strRef>
              <c:f>'6. Grain Size Distribution'!$D$3</c:f>
              <c:strCache>
                <c:ptCount val="1"/>
                <c:pt idx="0">
                  <c:v>-6700/+2000</c:v>
                </c:pt>
              </c:strCache>
            </c:strRef>
          </c:tx>
          <c:spPr>
            <a:ln w="22225" cap="rnd">
              <a:solidFill>
                <a:schemeClr val="accent2"/>
              </a:solidFill>
              <a:round/>
            </a:ln>
            <a:effectLst/>
          </c:spPr>
          <c:marker>
            <c:symbol val="diamond"/>
            <c:size val="6"/>
            <c:spPr>
              <a:solidFill>
                <a:schemeClr val="accent2"/>
              </a:solidFill>
              <a:ln w="9525">
                <a:solidFill>
                  <a:schemeClr val="accent2"/>
                </a:solidFill>
                <a:round/>
              </a:ln>
              <a:effectLst/>
            </c:spPr>
          </c:marker>
          <c:xVal>
            <c:numRef>
              <c:f>'6. Grain Size Distribution'!$C$119:$C$151</c:f>
              <c:numCache>
                <c:formatCode>General</c:formatCode>
                <c:ptCount val="33"/>
                <c:pt idx="0">
                  <c:v>0.5</c:v>
                </c:pt>
                <c:pt idx="1">
                  <c:v>2</c:v>
                </c:pt>
                <c:pt idx="2">
                  <c:v>4</c:v>
                </c:pt>
                <c:pt idx="3">
                  <c:v>6</c:v>
                </c:pt>
                <c:pt idx="4">
                  <c:v>8.5</c:v>
                </c:pt>
                <c:pt idx="5">
                  <c:v>12.5</c:v>
                </c:pt>
                <c:pt idx="6">
                  <c:v>17.5</c:v>
                </c:pt>
                <c:pt idx="7">
                  <c:v>21</c:v>
                </c:pt>
                <c:pt idx="8">
                  <c:v>22.5</c:v>
                </c:pt>
                <c:pt idx="9">
                  <c:v>24</c:v>
                </c:pt>
                <c:pt idx="10">
                  <c:v>27.5</c:v>
                </c:pt>
                <c:pt idx="11">
                  <c:v>34</c:v>
                </c:pt>
                <c:pt idx="12">
                  <c:v>41.5</c:v>
                </c:pt>
                <c:pt idx="13">
                  <c:v>49</c:v>
                </c:pt>
                <c:pt idx="14">
                  <c:v>59</c:v>
                </c:pt>
                <c:pt idx="15">
                  <c:v>70</c:v>
                </c:pt>
                <c:pt idx="16">
                  <c:v>77.5</c:v>
                </c:pt>
                <c:pt idx="17">
                  <c:v>85</c:v>
                </c:pt>
                <c:pt idx="18">
                  <c:v>92.5</c:v>
                </c:pt>
                <c:pt idx="19">
                  <c:v>97.5</c:v>
                </c:pt>
                <c:pt idx="20">
                  <c:v>102.5</c:v>
                </c:pt>
                <c:pt idx="21">
                  <c:v>107.5</c:v>
                </c:pt>
                <c:pt idx="22">
                  <c:v>112.5</c:v>
                </c:pt>
                <c:pt idx="23">
                  <c:v>117.5</c:v>
                </c:pt>
                <c:pt idx="24">
                  <c:v>122.5</c:v>
                </c:pt>
                <c:pt idx="25">
                  <c:v>137.5</c:v>
                </c:pt>
                <c:pt idx="26">
                  <c:v>225</c:v>
                </c:pt>
                <c:pt idx="27">
                  <c:v>350</c:v>
                </c:pt>
                <c:pt idx="28">
                  <c:v>450</c:v>
                </c:pt>
                <c:pt idx="29">
                  <c:v>750</c:v>
                </c:pt>
                <c:pt idx="30">
                  <c:v>1500</c:v>
                </c:pt>
                <c:pt idx="31">
                  <c:v>3000</c:v>
                </c:pt>
                <c:pt idx="32">
                  <c:v>5350</c:v>
                </c:pt>
              </c:numCache>
            </c:numRef>
          </c:xVal>
          <c:yVal>
            <c:numRef>
              <c:f>'6. Grain Size Distribution'!$D$119:$D$151</c:f>
              <c:numCache>
                <c:formatCode>0%</c:formatCode>
                <c:ptCount val="33"/>
                <c:pt idx="0">
                  <c:v>0</c:v>
                </c:pt>
                <c:pt idx="1">
                  <c:v>0</c:v>
                </c:pt>
                <c:pt idx="2">
                  <c:v>0</c:v>
                </c:pt>
                <c:pt idx="3">
                  <c:v>0</c:v>
                </c:pt>
                <c:pt idx="4">
                  <c:v>0</c:v>
                </c:pt>
                <c:pt idx="5">
                  <c:v>0</c:v>
                </c:pt>
                <c:pt idx="6">
                  <c:v>0</c:v>
                </c:pt>
                <c:pt idx="7">
                  <c:v>0</c:v>
                </c:pt>
                <c:pt idx="8">
                  <c:v>0.14818379300601253</c:v>
                </c:pt>
                <c:pt idx="9">
                  <c:v>0.14819733803383023</c:v>
                </c:pt>
                <c:pt idx="10">
                  <c:v>0.16874004322459607</c:v>
                </c:pt>
                <c:pt idx="11">
                  <c:v>0.23904414778534475</c:v>
                </c:pt>
                <c:pt idx="12">
                  <c:v>0.3415217290400856</c:v>
                </c:pt>
                <c:pt idx="13">
                  <c:v>0.40129296755936417</c:v>
                </c:pt>
                <c:pt idx="14">
                  <c:v>0.50033688670771204</c:v>
                </c:pt>
                <c:pt idx="15">
                  <c:v>0.5766986466452183</c:v>
                </c:pt>
                <c:pt idx="16">
                  <c:v>0.61236008295648858</c:v>
                </c:pt>
                <c:pt idx="17">
                  <c:v>0.68198492075908235</c:v>
                </c:pt>
                <c:pt idx="18">
                  <c:v>0.70726107264295635</c:v>
                </c:pt>
                <c:pt idx="19">
                  <c:v>0.72899144050576736</c:v>
                </c:pt>
                <c:pt idx="20">
                  <c:v>0.77850115378991602</c:v>
                </c:pt>
                <c:pt idx="21">
                  <c:v>0.79544372853161305</c:v>
                </c:pt>
                <c:pt idx="22">
                  <c:v>0.80543582071055175</c:v>
                </c:pt>
                <c:pt idx="23">
                  <c:v>0.81340067372604363</c:v>
                </c:pt>
                <c:pt idx="24">
                  <c:v>0.82972280890534189</c:v>
                </c:pt>
                <c:pt idx="25">
                  <c:v>0.94820193033107181</c:v>
                </c:pt>
                <c:pt idx="26">
                  <c:v>1</c:v>
                </c:pt>
                <c:pt idx="27">
                  <c:v>1</c:v>
                </c:pt>
                <c:pt idx="28">
                  <c:v>1</c:v>
                </c:pt>
                <c:pt idx="29">
                  <c:v>1</c:v>
                </c:pt>
                <c:pt idx="30">
                  <c:v>1</c:v>
                </c:pt>
                <c:pt idx="31">
                  <c:v>1</c:v>
                </c:pt>
                <c:pt idx="32">
                  <c:v>1</c:v>
                </c:pt>
              </c:numCache>
            </c:numRef>
          </c:yVal>
          <c:smooth val="1"/>
          <c:extLst>
            <c:ext xmlns:c16="http://schemas.microsoft.com/office/drawing/2014/chart" uri="{C3380CC4-5D6E-409C-BE32-E72D297353CC}">
              <c16:uniqueId val="{00000001-CC3E-0743-9E34-E0DC91735B71}"/>
            </c:ext>
          </c:extLst>
        </c:ser>
        <c:ser>
          <c:idx val="2"/>
          <c:order val="2"/>
          <c:tx>
            <c:strRef>
              <c:f>'6. Grain Size Distribution'!$E$3</c:f>
              <c:strCache>
                <c:ptCount val="1"/>
                <c:pt idx="0">
                  <c:v>-2000/+1000</c:v>
                </c:pt>
              </c:strCache>
            </c:strRef>
          </c:tx>
          <c:spPr>
            <a:ln w="22225" cap="rnd">
              <a:solidFill>
                <a:schemeClr val="accent3"/>
              </a:solidFill>
              <a:round/>
            </a:ln>
            <a:effectLst/>
          </c:spPr>
          <c:marker>
            <c:symbol val="triangle"/>
            <c:size val="6"/>
            <c:spPr>
              <a:solidFill>
                <a:schemeClr val="accent3"/>
              </a:solidFill>
              <a:ln w="9525">
                <a:solidFill>
                  <a:schemeClr val="accent3"/>
                </a:solidFill>
                <a:round/>
              </a:ln>
              <a:effectLst/>
            </c:spPr>
          </c:marker>
          <c:xVal>
            <c:numRef>
              <c:f>'6. Grain Size Distribution'!$C$119:$C$151</c:f>
              <c:numCache>
                <c:formatCode>General</c:formatCode>
                <c:ptCount val="33"/>
                <c:pt idx="0">
                  <c:v>0.5</c:v>
                </c:pt>
                <c:pt idx="1">
                  <c:v>2</c:v>
                </c:pt>
                <c:pt idx="2">
                  <c:v>4</c:v>
                </c:pt>
                <c:pt idx="3">
                  <c:v>6</c:v>
                </c:pt>
                <c:pt idx="4">
                  <c:v>8.5</c:v>
                </c:pt>
                <c:pt idx="5">
                  <c:v>12.5</c:v>
                </c:pt>
                <c:pt idx="6">
                  <c:v>17.5</c:v>
                </c:pt>
                <c:pt idx="7">
                  <c:v>21</c:v>
                </c:pt>
                <c:pt idx="8">
                  <c:v>22.5</c:v>
                </c:pt>
                <c:pt idx="9">
                  <c:v>24</c:v>
                </c:pt>
                <c:pt idx="10">
                  <c:v>27.5</c:v>
                </c:pt>
                <c:pt idx="11">
                  <c:v>34</c:v>
                </c:pt>
                <c:pt idx="12">
                  <c:v>41.5</c:v>
                </c:pt>
                <c:pt idx="13">
                  <c:v>49</c:v>
                </c:pt>
                <c:pt idx="14">
                  <c:v>59</c:v>
                </c:pt>
                <c:pt idx="15">
                  <c:v>70</c:v>
                </c:pt>
                <c:pt idx="16">
                  <c:v>77.5</c:v>
                </c:pt>
                <c:pt idx="17">
                  <c:v>85</c:v>
                </c:pt>
                <c:pt idx="18">
                  <c:v>92.5</c:v>
                </c:pt>
                <c:pt idx="19">
                  <c:v>97.5</c:v>
                </c:pt>
                <c:pt idx="20">
                  <c:v>102.5</c:v>
                </c:pt>
                <c:pt idx="21">
                  <c:v>107.5</c:v>
                </c:pt>
                <c:pt idx="22">
                  <c:v>112.5</c:v>
                </c:pt>
                <c:pt idx="23">
                  <c:v>117.5</c:v>
                </c:pt>
                <c:pt idx="24">
                  <c:v>122.5</c:v>
                </c:pt>
                <c:pt idx="25">
                  <c:v>137.5</c:v>
                </c:pt>
                <c:pt idx="26">
                  <c:v>225</c:v>
                </c:pt>
                <c:pt idx="27">
                  <c:v>350</c:v>
                </c:pt>
                <c:pt idx="28">
                  <c:v>450</c:v>
                </c:pt>
                <c:pt idx="29">
                  <c:v>750</c:v>
                </c:pt>
                <c:pt idx="30">
                  <c:v>1500</c:v>
                </c:pt>
                <c:pt idx="31">
                  <c:v>3000</c:v>
                </c:pt>
                <c:pt idx="32">
                  <c:v>5350</c:v>
                </c:pt>
              </c:numCache>
            </c:numRef>
          </c:xVal>
          <c:yVal>
            <c:numRef>
              <c:f>'6. Grain Size Distribution'!$E$119:$E$151</c:f>
              <c:numCache>
                <c:formatCode>0%</c:formatCode>
                <c:ptCount val="33"/>
                <c:pt idx="0">
                  <c:v>0</c:v>
                </c:pt>
                <c:pt idx="1">
                  <c:v>0</c:v>
                </c:pt>
                <c:pt idx="2">
                  <c:v>0</c:v>
                </c:pt>
                <c:pt idx="3">
                  <c:v>0</c:v>
                </c:pt>
                <c:pt idx="4">
                  <c:v>0</c:v>
                </c:pt>
                <c:pt idx="5">
                  <c:v>0</c:v>
                </c:pt>
                <c:pt idx="6">
                  <c:v>0</c:v>
                </c:pt>
                <c:pt idx="7">
                  <c:v>0</c:v>
                </c:pt>
                <c:pt idx="8">
                  <c:v>0.16389207158073377</c:v>
                </c:pt>
                <c:pt idx="9">
                  <c:v>0.16389207158073377</c:v>
                </c:pt>
                <c:pt idx="10">
                  <c:v>0.18081398217600353</c:v>
                </c:pt>
                <c:pt idx="11">
                  <c:v>0.23852368866100523</c:v>
                </c:pt>
                <c:pt idx="12">
                  <c:v>0.32986435029319644</c:v>
                </c:pt>
                <c:pt idx="13">
                  <c:v>0.38472620460584905</c:v>
                </c:pt>
                <c:pt idx="14">
                  <c:v>0.48981278877256385</c:v>
                </c:pt>
                <c:pt idx="15">
                  <c:v>0.57761588110897233</c:v>
                </c:pt>
                <c:pt idx="16">
                  <c:v>0.62053373886673779</c:v>
                </c:pt>
                <c:pt idx="17">
                  <c:v>0.68947292903124902</c:v>
                </c:pt>
                <c:pt idx="18">
                  <c:v>0.73163765289878879</c:v>
                </c:pt>
                <c:pt idx="19">
                  <c:v>0.75844719584215425</c:v>
                </c:pt>
                <c:pt idx="20">
                  <c:v>0.788463458303716</c:v>
                </c:pt>
                <c:pt idx="21">
                  <c:v>0.80726147822212346</c:v>
                </c:pt>
                <c:pt idx="22">
                  <c:v>0.81117284866899508</c:v>
                </c:pt>
                <c:pt idx="23">
                  <c:v>0.83207969019477424</c:v>
                </c:pt>
                <c:pt idx="24">
                  <c:v>0.84020185981372963</c:v>
                </c:pt>
                <c:pt idx="25">
                  <c:v>0.94228560723631893</c:v>
                </c:pt>
                <c:pt idx="26">
                  <c:v>1</c:v>
                </c:pt>
                <c:pt idx="27">
                  <c:v>1</c:v>
                </c:pt>
                <c:pt idx="28">
                  <c:v>1</c:v>
                </c:pt>
                <c:pt idx="29">
                  <c:v>1</c:v>
                </c:pt>
                <c:pt idx="30">
                  <c:v>1</c:v>
                </c:pt>
                <c:pt idx="31">
                  <c:v>1</c:v>
                </c:pt>
                <c:pt idx="32">
                  <c:v>1</c:v>
                </c:pt>
              </c:numCache>
            </c:numRef>
          </c:yVal>
          <c:smooth val="1"/>
          <c:extLst>
            <c:ext xmlns:c16="http://schemas.microsoft.com/office/drawing/2014/chart" uri="{C3380CC4-5D6E-409C-BE32-E72D297353CC}">
              <c16:uniqueId val="{00000002-CC3E-0743-9E34-E0DC91735B71}"/>
            </c:ext>
          </c:extLst>
        </c:ser>
        <c:ser>
          <c:idx val="3"/>
          <c:order val="3"/>
          <c:tx>
            <c:strRef>
              <c:f>'6. Grain Size Distribution'!$F$3</c:f>
              <c:strCache>
                <c:ptCount val="1"/>
                <c:pt idx="0">
                  <c:v>-1000/+425</c:v>
                </c:pt>
              </c:strCache>
            </c:strRef>
          </c:tx>
          <c:spPr>
            <a:ln w="22225" cap="rnd">
              <a:solidFill>
                <a:schemeClr val="accent4"/>
              </a:solidFill>
              <a:round/>
            </a:ln>
            <a:effectLst/>
          </c:spPr>
          <c:marker>
            <c:symbol val="square"/>
            <c:size val="6"/>
            <c:spPr>
              <a:solidFill>
                <a:schemeClr val="accent4"/>
              </a:solidFill>
              <a:ln w="9525">
                <a:solidFill>
                  <a:schemeClr val="accent4"/>
                </a:solidFill>
                <a:round/>
              </a:ln>
              <a:effectLst/>
            </c:spPr>
          </c:marker>
          <c:xVal>
            <c:numRef>
              <c:f>'6. Grain Size Distribution'!$C$119:$C$151</c:f>
              <c:numCache>
                <c:formatCode>General</c:formatCode>
                <c:ptCount val="33"/>
                <c:pt idx="0">
                  <c:v>0.5</c:v>
                </c:pt>
                <c:pt idx="1">
                  <c:v>2</c:v>
                </c:pt>
                <c:pt idx="2">
                  <c:v>4</c:v>
                </c:pt>
                <c:pt idx="3">
                  <c:v>6</c:v>
                </c:pt>
                <c:pt idx="4">
                  <c:v>8.5</c:v>
                </c:pt>
                <c:pt idx="5">
                  <c:v>12.5</c:v>
                </c:pt>
                <c:pt idx="6">
                  <c:v>17.5</c:v>
                </c:pt>
                <c:pt idx="7">
                  <c:v>21</c:v>
                </c:pt>
                <c:pt idx="8">
                  <c:v>22.5</c:v>
                </c:pt>
                <c:pt idx="9">
                  <c:v>24</c:v>
                </c:pt>
                <c:pt idx="10">
                  <c:v>27.5</c:v>
                </c:pt>
                <c:pt idx="11">
                  <c:v>34</c:v>
                </c:pt>
                <c:pt idx="12">
                  <c:v>41.5</c:v>
                </c:pt>
                <c:pt idx="13">
                  <c:v>49</c:v>
                </c:pt>
                <c:pt idx="14">
                  <c:v>59</c:v>
                </c:pt>
                <c:pt idx="15">
                  <c:v>70</c:v>
                </c:pt>
                <c:pt idx="16">
                  <c:v>77.5</c:v>
                </c:pt>
                <c:pt idx="17">
                  <c:v>85</c:v>
                </c:pt>
                <c:pt idx="18">
                  <c:v>92.5</c:v>
                </c:pt>
                <c:pt idx="19">
                  <c:v>97.5</c:v>
                </c:pt>
                <c:pt idx="20">
                  <c:v>102.5</c:v>
                </c:pt>
                <c:pt idx="21">
                  <c:v>107.5</c:v>
                </c:pt>
                <c:pt idx="22">
                  <c:v>112.5</c:v>
                </c:pt>
                <c:pt idx="23">
                  <c:v>117.5</c:v>
                </c:pt>
                <c:pt idx="24">
                  <c:v>122.5</c:v>
                </c:pt>
                <c:pt idx="25">
                  <c:v>137.5</c:v>
                </c:pt>
                <c:pt idx="26">
                  <c:v>225</c:v>
                </c:pt>
                <c:pt idx="27">
                  <c:v>350</c:v>
                </c:pt>
                <c:pt idx="28">
                  <c:v>450</c:v>
                </c:pt>
                <c:pt idx="29">
                  <c:v>750</c:v>
                </c:pt>
                <c:pt idx="30">
                  <c:v>1500</c:v>
                </c:pt>
                <c:pt idx="31">
                  <c:v>3000</c:v>
                </c:pt>
                <c:pt idx="32">
                  <c:v>5350</c:v>
                </c:pt>
              </c:numCache>
            </c:numRef>
          </c:xVal>
          <c:yVal>
            <c:numRef>
              <c:f>'6. Grain Size Distribution'!$F$119:$F$151</c:f>
              <c:numCache>
                <c:formatCode>0%</c:formatCode>
                <c:ptCount val="33"/>
                <c:pt idx="0">
                  <c:v>0</c:v>
                </c:pt>
                <c:pt idx="1">
                  <c:v>0</c:v>
                </c:pt>
                <c:pt idx="2">
                  <c:v>0</c:v>
                </c:pt>
                <c:pt idx="3">
                  <c:v>0</c:v>
                </c:pt>
                <c:pt idx="4">
                  <c:v>0</c:v>
                </c:pt>
                <c:pt idx="5">
                  <c:v>8.8334489460685228E-2</c:v>
                </c:pt>
                <c:pt idx="6">
                  <c:v>8.8334489460685228E-2</c:v>
                </c:pt>
                <c:pt idx="7">
                  <c:v>0.10368836739312422</c:v>
                </c:pt>
                <c:pt idx="8">
                  <c:v>0.1338430931515881</c:v>
                </c:pt>
                <c:pt idx="9">
                  <c:v>0.14753302436765978</c:v>
                </c:pt>
                <c:pt idx="10">
                  <c:v>0.22785587764855664</c:v>
                </c:pt>
                <c:pt idx="11">
                  <c:v>0.30777602838861751</c:v>
                </c:pt>
                <c:pt idx="12">
                  <c:v>0.40696491231004589</c:v>
                </c:pt>
                <c:pt idx="13">
                  <c:v>0.50716282310693706</c:v>
                </c:pt>
                <c:pt idx="14">
                  <c:v>0.71558970646899767</c:v>
                </c:pt>
                <c:pt idx="15">
                  <c:v>0.80017663410121087</c:v>
                </c:pt>
                <c:pt idx="16">
                  <c:v>0.83379504320164588</c:v>
                </c:pt>
                <c:pt idx="17">
                  <c:v>0.93613714793448521</c:v>
                </c:pt>
                <c:pt idx="18">
                  <c:v>0.96204467059138732</c:v>
                </c:pt>
                <c:pt idx="19">
                  <c:v>0.96236484591615312</c:v>
                </c:pt>
                <c:pt idx="20">
                  <c:v>0.96702194154911325</c:v>
                </c:pt>
                <c:pt idx="21">
                  <c:v>0.9708931522940123</c:v>
                </c:pt>
                <c:pt idx="22">
                  <c:v>0.9937711345909177</c:v>
                </c:pt>
                <c:pt idx="23">
                  <c:v>1</c:v>
                </c:pt>
                <c:pt idx="24">
                  <c:v>1</c:v>
                </c:pt>
                <c:pt idx="25">
                  <c:v>1</c:v>
                </c:pt>
                <c:pt idx="26">
                  <c:v>1</c:v>
                </c:pt>
                <c:pt idx="27">
                  <c:v>1</c:v>
                </c:pt>
                <c:pt idx="28">
                  <c:v>1</c:v>
                </c:pt>
                <c:pt idx="29">
                  <c:v>1</c:v>
                </c:pt>
                <c:pt idx="30">
                  <c:v>1</c:v>
                </c:pt>
                <c:pt idx="31">
                  <c:v>1</c:v>
                </c:pt>
                <c:pt idx="32">
                  <c:v>1</c:v>
                </c:pt>
              </c:numCache>
            </c:numRef>
          </c:yVal>
          <c:smooth val="1"/>
          <c:extLst>
            <c:ext xmlns:c16="http://schemas.microsoft.com/office/drawing/2014/chart" uri="{C3380CC4-5D6E-409C-BE32-E72D297353CC}">
              <c16:uniqueId val="{00000003-CC3E-0743-9E34-E0DC91735B71}"/>
            </c:ext>
          </c:extLst>
        </c:ser>
        <c:ser>
          <c:idx val="4"/>
          <c:order val="4"/>
          <c:tx>
            <c:strRef>
              <c:f>'6. Grain Size Distribution'!$G$3</c:f>
              <c:strCache>
                <c:ptCount val="1"/>
                <c:pt idx="0">
                  <c:v>-425/+150</c:v>
                </c:pt>
              </c:strCache>
            </c:strRef>
          </c:tx>
          <c:spPr>
            <a:ln w="22225" cap="rnd">
              <a:solidFill>
                <a:schemeClr val="accent5"/>
              </a:solidFill>
              <a:round/>
            </a:ln>
            <a:effectLst/>
          </c:spPr>
          <c:marker>
            <c:symbol val="star"/>
            <c:size val="6"/>
            <c:spPr>
              <a:noFill/>
              <a:ln w="9525">
                <a:solidFill>
                  <a:schemeClr val="accent5"/>
                </a:solidFill>
                <a:round/>
              </a:ln>
              <a:effectLst/>
            </c:spPr>
          </c:marker>
          <c:xVal>
            <c:numRef>
              <c:f>'6. Grain Size Distribution'!$C$119:$C$151</c:f>
              <c:numCache>
                <c:formatCode>General</c:formatCode>
                <c:ptCount val="33"/>
                <c:pt idx="0">
                  <c:v>0.5</c:v>
                </c:pt>
                <c:pt idx="1">
                  <c:v>2</c:v>
                </c:pt>
                <c:pt idx="2">
                  <c:v>4</c:v>
                </c:pt>
                <c:pt idx="3">
                  <c:v>6</c:v>
                </c:pt>
                <c:pt idx="4">
                  <c:v>8.5</c:v>
                </c:pt>
                <c:pt idx="5">
                  <c:v>12.5</c:v>
                </c:pt>
                <c:pt idx="6">
                  <c:v>17.5</c:v>
                </c:pt>
                <c:pt idx="7">
                  <c:v>21</c:v>
                </c:pt>
                <c:pt idx="8">
                  <c:v>22.5</c:v>
                </c:pt>
                <c:pt idx="9">
                  <c:v>24</c:v>
                </c:pt>
                <c:pt idx="10">
                  <c:v>27.5</c:v>
                </c:pt>
                <c:pt idx="11">
                  <c:v>34</c:v>
                </c:pt>
                <c:pt idx="12">
                  <c:v>41.5</c:v>
                </c:pt>
                <c:pt idx="13">
                  <c:v>49</c:v>
                </c:pt>
                <c:pt idx="14">
                  <c:v>59</c:v>
                </c:pt>
                <c:pt idx="15">
                  <c:v>70</c:v>
                </c:pt>
                <c:pt idx="16">
                  <c:v>77.5</c:v>
                </c:pt>
                <c:pt idx="17">
                  <c:v>85</c:v>
                </c:pt>
                <c:pt idx="18">
                  <c:v>92.5</c:v>
                </c:pt>
                <c:pt idx="19">
                  <c:v>97.5</c:v>
                </c:pt>
                <c:pt idx="20">
                  <c:v>102.5</c:v>
                </c:pt>
                <c:pt idx="21">
                  <c:v>107.5</c:v>
                </c:pt>
                <c:pt idx="22">
                  <c:v>112.5</c:v>
                </c:pt>
                <c:pt idx="23">
                  <c:v>117.5</c:v>
                </c:pt>
                <c:pt idx="24">
                  <c:v>122.5</c:v>
                </c:pt>
                <c:pt idx="25">
                  <c:v>137.5</c:v>
                </c:pt>
                <c:pt idx="26">
                  <c:v>225</c:v>
                </c:pt>
                <c:pt idx="27">
                  <c:v>350</c:v>
                </c:pt>
                <c:pt idx="28">
                  <c:v>450</c:v>
                </c:pt>
                <c:pt idx="29">
                  <c:v>750</c:v>
                </c:pt>
                <c:pt idx="30">
                  <c:v>1500</c:v>
                </c:pt>
                <c:pt idx="31">
                  <c:v>3000</c:v>
                </c:pt>
                <c:pt idx="32">
                  <c:v>5350</c:v>
                </c:pt>
              </c:numCache>
            </c:numRef>
          </c:xVal>
          <c:yVal>
            <c:numRef>
              <c:f>'6. Grain Size Distribution'!$G$119:$G$151</c:f>
              <c:numCache>
                <c:formatCode>0%</c:formatCode>
                <c:ptCount val="33"/>
                <c:pt idx="0">
                  <c:v>0</c:v>
                </c:pt>
                <c:pt idx="1">
                  <c:v>0</c:v>
                </c:pt>
                <c:pt idx="2">
                  <c:v>0</c:v>
                </c:pt>
                <c:pt idx="3">
                  <c:v>0</c:v>
                </c:pt>
                <c:pt idx="4">
                  <c:v>2.4858054573687664E-2</c:v>
                </c:pt>
                <c:pt idx="5">
                  <c:v>7.4197731880803461E-2</c:v>
                </c:pt>
                <c:pt idx="6">
                  <c:v>9.3840379892827133E-2</c:v>
                </c:pt>
                <c:pt idx="7">
                  <c:v>0.13360882574857511</c:v>
                </c:pt>
                <c:pt idx="8">
                  <c:v>0.1779042344630308</c:v>
                </c:pt>
                <c:pt idx="9">
                  <c:v>0.20469311314421731</c:v>
                </c:pt>
                <c:pt idx="10">
                  <c:v>0.28045795400749318</c:v>
                </c:pt>
                <c:pt idx="11">
                  <c:v>0.41300932940900786</c:v>
                </c:pt>
                <c:pt idx="12">
                  <c:v>0.52311891147784007</c:v>
                </c:pt>
                <c:pt idx="13">
                  <c:v>0.62380170349703323</c:v>
                </c:pt>
                <c:pt idx="14">
                  <c:v>0.73555373895239029</c:v>
                </c:pt>
                <c:pt idx="15">
                  <c:v>0.78811265698762911</c:v>
                </c:pt>
                <c:pt idx="16">
                  <c:v>0.83219534663469441</c:v>
                </c:pt>
                <c:pt idx="17">
                  <c:v>0.85579907221235052</c:v>
                </c:pt>
                <c:pt idx="18">
                  <c:v>0.86953749443259609</c:v>
                </c:pt>
                <c:pt idx="19">
                  <c:v>0.86953749443259609</c:v>
                </c:pt>
                <c:pt idx="20">
                  <c:v>0.88034678772615338</c:v>
                </c:pt>
                <c:pt idx="21">
                  <c:v>0.88034678772615338</c:v>
                </c:pt>
                <c:pt idx="22">
                  <c:v>0.92480891343076987</c:v>
                </c:pt>
                <c:pt idx="23">
                  <c:v>0.96697474175295972</c:v>
                </c:pt>
                <c:pt idx="24">
                  <c:v>0.96697474175295972</c:v>
                </c:pt>
                <c:pt idx="25">
                  <c:v>0.96697474175295972</c:v>
                </c:pt>
                <c:pt idx="26">
                  <c:v>1</c:v>
                </c:pt>
                <c:pt idx="27">
                  <c:v>1</c:v>
                </c:pt>
                <c:pt idx="28">
                  <c:v>1</c:v>
                </c:pt>
                <c:pt idx="29">
                  <c:v>1</c:v>
                </c:pt>
                <c:pt idx="30">
                  <c:v>1</c:v>
                </c:pt>
                <c:pt idx="31">
                  <c:v>1</c:v>
                </c:pt>
                <c:pt idx="32">
                  <c:v>1</c:v>
                </c:pt>
              </c:numCache>
            </c:numRef>
          </c:yVal>
          <c:smooth val="1"/>
          <c:extLst>
            <c:ext xmlns:c16="http://schemas.microsoft.com/office/drawing/2014/chart" uri="{C3380CC4-5D6E-409C-BE32-E72D297353CC}">
              <c16:uniqueId val="{00000004-CC3E-0743-9E34-E0DC91735B71}"/>
            </c:ext>
          </c:extLst>
        </c:ser>
        <c:ser>
          <c:idx val="5"/>
          <c:order val="5"/>
          <c:tx>
            <c:strRef>
              <c:f>'6. Grain Size Distribution'!$I$3</c:f>
              <c:strCache>
                <c:ptCount val="1"/>
                <c:pt idx="0">
                  <c:v>-150/+0</c:v>
                </c:pt>
              </c:strCache>
            </c:strRef>
          </c:tx>
          <c:spPr>
            <a:ln w="22225" cap="rnd">
              <a:solidFill>
                <a:schemeClr val="accent6"/>
              </a:solidFill>
              <a:round/>
            </a:ln>
            <a:effectLst/>
          </c:spPr>
          <c:marker>
            <c:symbol val="circle"/>
            <c:size val="6"/>
            <c:spPr>
              <a:solidFill>
                <a:schemeClr val="accent6"/>
              </a:solidFill>
              <a:ln w="9525">
                <a:solidFill>
                  <a:schemeClr val="accent6"/>
                </a:solidFill>
                <a:round/>
              </a:ln>
              <a:effectLst/>
            </c:spPr>
          </c:marker>
          <c:xVal>
            <c:numRef>
              <c:f>'6. Grain Size Distribution'!$H$119:$H$143</c:f>
              <c:numCache>
                <c:formatCode>General</c:formatCode>
                <c:ptCount val="25"/>
                <c:pt idx="0">
                  <c:v>0.5</c:v>
                </c:pt>
                <c:pt idx="1">
                  <c:v>2</c:v>
                </c:pt>
                <c:pt idx="2">
                  <c:v>4</c:v>
                </c:pt>
                <c:pt idx="3">
                  <c:v>6</c:v>
                </c:pt>
                <c:pt idx="4">
                  <c:v>8.5</c:v>
                </c:pt>
                <c:pt idx="5">
                  <c:v>12.5</c:v>
                </c:pt>
                <c:pt idx="6">
                  <c:v>17.5</c:v>
                </c:pt>
                <c:pt idx="7">
                  <c:v>22.5</c:v>
                </c:pt>
                <c:pt idx="8">
                  <c:v>27.5</c:v>
                </c:pt>
                <c:pt idx="9">
                  <c:v>34</c:v>
                </c:pt>
                <c:pt idx="10">
                  <c:v>41.5</c:v>
                </c:pt>
                <c:pt idx="11">
                  <c:v>49</c:v>
                </c:pt>
                <c:pt idx="12">
                  <c:v>64</c:v>
                </c:pt>
                <c:pt idx="13">
                  <c:v>77.5</c:v>
                </c:pt>
                <c:pt idx="14">
                  <c:v>85</c:v>
                </c:pt>
                <c:pt idx="15">
                  <c:v>92.5</c:v>
                </c:pt>
                <c:pt idx="16">
                  <c:v>97.5</c:v>
                </c:pt>
                <c:pt idx="17">
                  <c:v>102.5</c:v>
                </c:pt>
                <c:pt idx="18">
                  <c:v>107.5</c:v>
                </c:pt>
                <c:pt idx="19">
                  <c:v>112.5</c:v>
                </c:pt>
                <c:pt idx="20">
                  <c:v>117.5</c:v>
                </c:pt>
                <c:pt idx="21">
                  <c:v>122.5</c:v>
                </c:pt>
                <c:pt idx="22">
                  <c:v>137.5</c:v>
                </c:pt>
                <c:pt idx="23">
                  <c:v>225</c:v>
                </c:pt>
                <c:pt idx="24">
                  <c:v>300</c:v>
                </c:pt>
              </c:numCache>
            </c:numRef>
          </c:xVal>
          <c:yVal>
            <c:numRef>
              <c:f>'6. Grain Size Distribution'!$I$119:$I$143</c:f>
              <c:numCache>
                <c:formatCode>0%</c:formatCode>
                <c:ptCount val="25"/>
                <c:pt idx="0">
                  <c:v>0</c:v>
                </c:pt>
                <c:pt idx="1">
                  <c:v>0</c:v>
                </c:pt>
                <c:pt idx="2">
                  <c:v>0</c:v>
                </c:pt>
                <c:pt idx="3">
                  <c:v>0.10155973324983737</c:v>
                </c:pt>
                <c:pt idx="4">
                  <c:v>0.1833615624886471</c:v>
                </c:pt>
                <c:pt idx="5">
                  <c:v>0.35970767567314954</c:v>
                </c:pt>
                <c:pt idx="6">
                  <c:v>0.4998646967286276</c:v>
                </c:pt>
                <c:pt idx="7">
                  <c:v>0.60636042661422251</c:v>
                </c:pt>
                <c:pt idx="8">
                  <c:v>0.68936074259954361</c:v>
                </c:pt>
                <c:pt idx="9">
                  <c:v>0.78512646404579234</c:v>
                </c:pt>
                <c:pt idx="10">
                  <c:v>0.8581808052895481</c:v>
                </c:pt>
                <c:pt idx="11">
                  <c:v>0.89726231316944416</c:v>
                </c:pt>
                <c:pt idx="12">
                  <c:v>0.97649455637515825</c:v>
                </c:pt>
                <c:pt idx="13">
                  <c:v>0.97649455637515825</c:v>
                </c:pt>
                <c:pt idx="14">
                  <c:v>0.98169621003171315</c:v>
                </c:pt>
                <c:pt idx="15">
                  <c:v>0.98169621003171315</c:v>
                </c:pt>
                <c:pt idx="16">
                  <c:v>0.98169621003171315</c:v>
                </c:pt>
                <c:pt idx="17">
                  <c:v>0.98169621003171315</c:v>
                </c:pt>
                <c:pt idx="18">
                  <c:v>0.98169621003171315</c:v>
                </c:pt>
                <c:pt idx="19">
                  <c:v>0.98169621003171315</c:v>
                </c:pt>
                <c:pt idx="20">
                  <c:v>0.98169621003171315</c:v>
                </c:pt>
                <c:pt idx="21">
                  <c:v>0.98169621003171315</c:v>
                </c:pt>
                <c:pt idx="22">
                  <c:v>1</c:v>
                </c:pt>
                <c:pt idx="23">
                  <c:v>1</c:v>
                </c:pt>
                <c:pt idx="24">
                  <c:v>1</c:v>
                </c:pt>
              </c:numCache>
            </c:numRef>
          </c:yVal>
          <c:smooth val="1"/>
          <c:extLst>
            <c:ext xmlns:c16="http://schemas.microsoft.com/office/drawing/2014/chart" uri="{C3380CC4-5D6E-409C-BE32-E72D297353CC}">
              <c16:uniqueId val="{00000005-CC3E-0743-9E34-E0DC91735B71}"/>
            </c:ext>
          </c:extLst>
        </c:ser>
        <c:ser>
          <c:idx val="12"/>
          <c:order val="6"/>
          <c:tx>
            <c:strRef>
              <c:f>'6. Grain Size Distribution'!$K$117</c:f>
              <c:strCache>
                <c:ptCount val="1"/>
                <c:pt idx="0">
                  <c:v>SCT</c:v>
                </c:pt>
              </c:strCache>
            </c:strRef>
          </c:tx>
          <c:spPr>
            <a:ln w="22225" cap="rnd">
              <a:solidFill>
                <a:schemeClr val="accent2"/>
              </a:solidFill>
              <a:round/>
            </a:ln>
            <a:effectLst/>
          </c:spPr>
          <c:marker>
            <c:symbol val="plus"/>
            <c:size val="10"/>
            <c:spPr>
              <a:noFill/>
              <a:ln w="9525">
                <a:solidFill>
                  <a:schemeClr val="accent2"/>
                </a:solidFill>
                <a:round/>
              </a:ln>
              <a:effectLst/>
            </c:spPr>
          </c:marker>
          <c:xVal>
            <c:numRef>
              <c:f>'6. Grain Size Distribution'!$J$119:$J$143</c:f>
              <c:numCache>
                <c:formatCode>General</c:formatCode>
                <c:ptCount val="25"/>
                <c:pt idx="0">
                  <c:v>0.5</c:v>
                </c:pt>
                <c:pt idx="1">
                  <c:v>2</c:v>
                </c:pt>
                <c:pt idx="2">
                  <c:v>4</c:v>
                </c:pt>
                <c:pt idx="3">
                  <c:v>6</c:v>
                </c:pt>
                <c:pt idx="4">
                  <c:v>8.5</c:v>
                </c:pt>
                <c:pt idx="5">
                  <c:v>12.5</c:v>
                </c:pt>
                <c:pt idx="6">
                  <c:v>17.5</c:v>
                </c:pt>
                <c:pt idx="7">
                  <c:v>22.5</c:v>
                </c:pt>
                <c:pt idx="8">
                  <c:v>27.5</c:v>
                </c:pt>
                <c:pt idx="9">
                  <c:v>34</c:v>
                </c:pt>
                <c:pt idx="10">
                  <c:v>41.5</c:v>
                </c:pt>
                <c:pt idx="11">
                  <c:v>49</c:v>
                </c:pt>
                <c:pt idx="12">
                  <c:v>64</c:v>
                </c:pt>
                <c:pt idx="13">
                  <c:v>77.5</c:v>
                </c:pt>
                <c:pt idx="14">
                  <c:v>85</c:v>
                </c:pt>
                <c:pt idx="15">
                  <c:v>92.5</c:v>
                </c:pt>
                <c:pt idx="16">
                  <c:v>97.5</c:v>
                </c:pt>
                <c:pt idx="17">
                  <c:v>102.5</c:v>
                </c:pt>
                <c:pt idx="18">
                  <c:v>107.5</c:v>
                </c:pt>
                <c:pt idx="19">
                  <c:v>112.5</c:v>
                </c:pt>
                <c:pt idx="20">
                  <c:v>117.5</c:v>
                </c:pt>
                <c:pt idx="21">
                  <c:v>122.5</c:v>
                </c:pt>
                <c:pt idx="22">
                  <c:v>137.5</c:v>
                </c:pt>
                <c:pt idx="23">
                  <c:v>225</c:v>
                </c:pt>
                <c:pt idx="24">
                  <c:v>300</c:v>
                </c:pt>
              </c:numCache>
            </c:numRef>
          </c:xVal>
          <c:yVal>
            <c:numRef>
              <c:f>'6. Grain Size Distribution'!$K$119:$K$143</c:f>
              <c:numCache>
                <c:formatCode>0%</c:formatCode>
                <c:ptCount val="25"/>
                <c:pt idx="0">
                  <c:v>0</c:v>
                </c:pt>
                <c:pt idx="1">
                  <c:v>0</c:v>
                </c:pt>
                <c:pt idx="2">
                  <c:v>0.18472801331074917</c:v>
                </c:pt>
                <c:pt idx="3">
                  <c:v>0.25479708678937402</c:v>
                </c:pt>
                <c:pt idx="4">
                  <c:v>0.42081441413917675</c:v>
                </c:pt>
                <c:pt idx="5">
                  <c:v>0.61278088545951404</c:v>
                </c:pt>
                <c:pt idx="6">
                  <c:v>0.76611078565373614</c:v>
                </c:pt>
                <c:pt idx="7">
                  <c:v>0.8594870844399628</c:v>
                </c:pt>
                <c:pt idx="8">
                  <c:v>0.92017477435055872</c:v>
                </c:pt>
                <c:pt idx="9">
                  <c:v>0.95213253260240049</c:v>
                </c:pt>
                <c:pt idx="10">
                  <c:v>0.97140193254387053</c:v>
                </c:pt>
                <c:pt idx="11">
                  <c:v>0.98800505566210939</c:v>
                </c:pt>
                <c:pt idx="12">
                  <c:v>1</c:v>
                </c:pt>
                <c:pt idx="13">
                  <c:v>1</c:v>
                </c:pt>
                <c:pt idx="14">
                  <c:v>1</c:v>
                </c:pt>
                <c:pt idx="15">
                  <c:v>1</c:v>
                </c:pt>
                <c:pt idx="16">
                  <c:v>1</c:v>
                </c:pt>
                <c:pt idx="17">
                  <c:v>1</c:v>
                </c:pt>
                <c:pt idx="18">
                  <c:v>1</c:v>
                </c:pt>
                <c:pt idx="19">
                  <c:v>1</c:v>
                </c:pt>
                <c:pt idx="20">
                  <c:v>1</c:v>
                </c:pt>
                <c:pt idx="21">
                  <c:v>1</c:v>
                </c:pt>
                <c:pt idx="22">
                  <c:v>1</c:v>
                </c:pt>
                <c:pt idx="23">
                  <c:v>1</c:v>
                </c:pt>
                <c:pt idx="24">
                  <c:v>1</c:v>
                </c:pt>
              </c:numCache>
            </c:numRef>
          </c:yVal>
          <c:smooth val="1"/>
          <c:extLst>
            <c:ext xmlns:c16="http://schemas.microsoft.com/office/drawing/2014/chart" uri="{C3380CC4-5D6E-409C-BE32-E72D297353CC}">
              <c16:uniqueId val="{00000000-223C-8845-B862-FB876C7EBA13}"/>
            </c:ext>
          </c:extLst>
        </c:ser>
        <c:ser>
          <c:idx val="6"/>
          <c:order val="7"/>
          <c:tx>
            <c:strRef>
              <c:f>'6. Grain Size Distribution'!$Q$144</c:f>
              <c:strCache>
                <c:ptCount val="1"/>
                <c:pt idx="0">
                  <c:v>HCT L85</c:v>
                </c:pt>
              </c:strCache>
            </c:strRef>
          </c:tx>
          <c:spPr>
            <a:ln w="22225" cap="rnd">
              <a:noFill/>
              <a:round/>
            </a:ln>
            <a:effectLst/>
          </c:spPr>
          <c:marker>
            <c:symbol val="diamond"/>
            <c:size val="10"/>
            <c:spPr>
              <a:solidFill>
                <a:schemeClr val="accent1"/>
              </a:solidFill>
              <a:ln w="9525">
                <a:noFill/>
                <a:round/>
              </a:ln>
              <a:effectLst/>
            </c:spPr>
          </c:marker>
          <c:xVal>
            <c:numRef>
              <c:f>'6. Grain Size Distribution'!$R$144</c:f>
              <c:numCache>
                <c:formatCode>General</c:formatCode>
                <c:ptCount val="1"/>
                <c:pt idx="0">
                  <c:v>110</c:v>
                </c:pt>
              </c:numCache>
            </c:numRef>
          </c:xVal>
          <c:yVal>
            <c:numRef>
              <c:f>'6. Grain Size Distribution'!$S$144</c:f>
              <c:numCache>
                <c:formatCode>0%</c:formatCode>
                <c:ptCount val="1"/>
                <c:pt idx="0">
                  <c:v>0.85</c:v>
                </c:pt>
              </c:numCache>
            </c:numRef>
          </c:yVal>
          <c:smooth val="1"/>
          <c:extLst>
            <c:ext xmlns:c16="http://schemas.microsoft.com/office/drawing/2014/chart" uri="{C3380CC4-5D6E-409C-BE32-E72D297353CC}">
              <c16:uniqueId val="{00000006-CC3E-0743-9E34-E0DC91735B71}"/>
            </c:ext>
          </c:extLst>
        </c:ser>
        <c:ser>
          <c:idx val="7"/>
          <c:order val="8"/>
          <c:tx>
            <c:strRef>
              <c:f>'6. Grain Size Distribution'!$Q$145</c:f>
              <c:strCache>
                <c:ptCount val="1"/>
                <c:pt idx="0">
                  <c:v>-6700/+2000 L85</c:v>
                </c:pt>
              </c:strCache>
            </c:strRef>
          </c:tx>
          <c:spPr>
            <a:ln w="22225" cap="rnd">
              <a:noFill/>
              <a:round/>
            </a:ln>
            <a:effectLst/>
          </c:spPr>
          <c:marker>
            <c:symbol val="diamond"/>
            <c:size val="10"/>
            <c:spPr>
              <a:solidFill>
                <a:schemeClr val="accent2"/>
              </a:solidFill>
              <a:ln w="9525">
                <a:noFill/>
                <a:round/>
              </a:ln>
              <a:effectLst/>
            </c:spPr>
          </c:marker>
          <c:xVal>
            <c:numRef>
              <c:f>'6. Grain Size Distribution'!$R$145</c:f>
              <c:numCache>
                <c:formatCode>General</c:formatCode>
                <c:ptCount val="1"/>
                <c:pt idx="0">
                  <c:v>120</c:v>
                </c:pt>
              </c:numCache>
            </c:numRef>
          </c:xVal>
          <c:yVal>
            <c:numRef>
              <c:f>'6. Grain Size Distribution'!$S$145</c:f>
              <c:numCache>
                <c:formatCode>0%</c:formatCode>
                <c:ptCount val="1"/>
                <c:pt idx="0">
                  <c:v>0.85</c:v>
                </c:pt>
              </c:numCache>
            </c:numRef>
          </c:yVal>
          <c:smooth val="1"/>
          <c:extLst>
            <c:ext xmlns:c16="http://schemas.microsoft.com/office/drawing/2014/chart" uri="{C3380CC4-5D6E-409C-BE32-E72D297353CC}">
              <c16:uniqueId val="{00000007-CC3E-0743-9E34-E0DC91735B71}"/>
            </c:ext>
          </c:extLst>
        </c:ser>
        <c:ser>
          <c:idx val="8"/>
          <c:order val="9"/>
          <c:tx>
            <c:strRef>
              <c:f>'6. Grain Size Distribution'!$Q$146</c:f>
              <c:strCache>
                <c:ptCount val="1"/>
                <c:pt idx="0">
                  <c:v>-2000/+1000 L85</c:v>
                </c:pt>
              </c:strCache>
            </c:strRef>
          </c:tx>
          <c:spPr>
            <a:ln w="22225" cap="rnd">
              <a:noFill/>
              <a:round/>
            </a:ln>
            <a:effectLst/>
          </c:spPr>
          <c:marker>
            <c:symbol val="triangle"/>
            <c:size val="10"/>
            <c:spPr>
              <a:solidFill>
                <a:schemeClr val="accent3"/>
              </a:solidFill>
              <a:ln w="9525">
                <a:noFill/>
                <a:round/>
              </a:ln>
              <a:effectLst/>
            </c:spPr>
          </c:marker>
          <c:xVal>
            <c:numRef>
              <c:f>'6. Grain Size Distribution'!$R$146</c:f>
              <c:numCache>
                <c:formatCode>General</c:formatCode>
                <c:ptCount val="1"/>
                <c:pt idx="0">
                  <c:v>120</c:v>
                </c:pt>
              </c:numCache>
            </c:numRef>
          </c:xVal>
          <c:yVal>
            <c:numRef>
              <c:f>'6. Grain Size Distribution'!$S$146</c:f>
              <c:numCache>
                <c:formatCode>0%</c:formatCode>
                <c:ptCount val="1"/>
                <c:pt idx="0">
                  <c:v>0.85</c:v>
                </c:pt>
              </c:numCache>
            </c:numRef>
          </c:yVal>
          <c:smooth val="1"/>
          <c:extLst>
            <c:ext xmlns:c16="http://schemas.microsoft.com/office/drawing/2014/chart" uri="{C3380CC4-5D6E-409C-BE32-E72D297353CC}">
              <c16:uniqueId val="{00000008-CC3E-0743-9E34-E0DC91735B71}"/>
            </c:ext>
          </c:extLst>
        </c:ser>
        <c:ser>
          <c:idx val="9"/>
          <c:order val="10"/>
          <c:tx>
            <c:strRef>
              <c:f>'6. Grain Size Distribution'!$Q$147</c:f>
              <c:strCache>
                <c:ptCount val="1"/>
                <c:pt idx="0">
                  <c:v>-1000/+425 L85</c:v>
                </c:pt>
              </c:strCache>
            </c:strRef>
          </c:tx>
          <c:spPr>
            <a:ln w="22225" cap="rnd">
              <a:noFill/>
              <a:round/>
            </a:ln>
            <a:effectLst/>
          </c:spPr>
          <c:marker>
            <c:symbol val="square"/>
            <c:size val="10"/>
            <c:spPr>
              <a:solidFill>
                <a:schemeClr val="accent4"/>
              </a:solidFill>
              <a:ln w="9525">
                <a:noFill/>
                <a:round/>
              </a:ln>
              <a:effectLst/>
            </c:spPr>
          </c:marker>
          <c:xVal>
            <c:numRef>
              <c:f>'6. Grain Size Distribution'!$R$147</c:f>
              <c:numCache>
                <c:formatCode>General</c:formatCode>
                <c:ptCount val="1"/>
                <c:pt idx="0">
                  <c:v>80</c:v>
                </c:pt>
              </c:numCache>
            </c:numRef>
          </c:xVal>
          <c:yVal>
            <c:numRef>
              <c:f>'6. Grain Size Distribution'!$S$147</c:f>
              <c:numCache>
                <c:formatCode>0%</c:formatCode>
                <c:ptCount val="1"/>
                <c:pt idx="0">
                  <c:v>0.85</c:v>
                </c:pt>
              </c:numCache>
            </c:numRef>
          </c:yVal>
          <c:smooth val="1"/>
          <c:extLst>
            <c:ext xmlns:c16="http://schemas.microsoft.com/office/drawing/2014/chart" uri="{C3380CC4-5D6E-409C-BE32-E72D297353CC}">
              <c16:uniqueId val="{00000009-CC3E-0743-9E34-E0DC91735B71}"/>
            </c:ext>
          </c:extLst>
        </c:ser>
        <c:ser>
          <c:idx val="10"/>
          <c:order val="11"/>
          <c:tx>
            <c:strRef>
              <c:f>'6. Grain Size Distribution'!$Q$148</c:f>
              <c:strCache>
                <c:ptCount val="1"/>
                <c:pt idx="0">
                  <c:v>-425/+150 L85</c:v>
                </c:pt>
              </c:strCache>
            </c:strRef>
          </c:tx>
          <c:spPr>
            <a:ln w="22225" cap="rnd">
              <a:noFill/>
              <a:round/>
            </a:ln>
            <a:effectLst/>
          </c:spPr>
          <c:marker>
            <c:symbol val="star"/>
            <c:size val="10"/>
            <c:spPr>
              <a:noFill/>
              <a:ln w="9525">
                <a:solidFill>
                  <a:schemeClr val="accent5"/>
                </a:solidFill>
                <a:round/>
              </a:ln>
              <a:effectLst/>
            </c:spPr>
          </c:marker>
          <c:xVal>
            <c:numRef>
              <c:f>'6. Grain Size Distribution'!$R$148</c:f>
              <c:numCache>
                <c:formatCode>General</c:formatCode>
                <c:ptCount val="1"/>
                <c:pt idx="0">
                  <c:v>80</c:v>
                </c:pt>
              </c:numCache>
            </c:numRef>
          </c:xVal>
          <c:yVal>
            <c:numRef>
              <c:f>'6. Grain Size Distribution'!$S$148</c:f>
              <c:numCache>
                <c:formatCode>0%</c:formatCode>
                <c:ptCount val="1"/>
                <c:pt idx="0">
                  <c:v>0.85</c:v>
                </c:pt>
              </c:numCache>
            </c:numRef>
          </c:yVal>
          <c:smooth val="1"/>
          <c:extLst>
            <c:ext xmlns:c16="http://schemas.microsoft.com/office/drawing/2014/chart" uri="{C3380CC4-5D6E-409C-BE32-E72D297353CC}">
              <c16:uniqueId val="{0000000A-CC3E-0743-9E34-E0DC91735B71}"/>
            </c:ext>
          </c:extLst>
        </c:ser>
        <c:ser>
          <c:idx val="11"/>
          <c:order val="12"/>
          <c:tx>
            <c:strRef>
              <c:f>'6. Grain Size Distribution'!$Q$149</c:f>
              <c:strCache>
                <c:ptCount val="1"/>
                <c:pt idx="0">
                  <c:v>-150/+0 L85</c:v>
                </c:pt>
              </c:strCache>
            </c:strRef>
          </c:tx>
          <c:spPr>
            <a:ln w="22225" cap="rnd">
              <a:noFill/>
              <a:round/>
            </a:ln>
            <a:effectLst/>
          </c:spPr>
          <c:marker>
            <c:symbol val="circle"/>
            <c:size val="10"/>
            <c:spPr>
              <a:solidFill>
                <a:schemeClr val="accent6"/>
              </a:solidFill>
              <a:ln w="9525">
                <a:noFill/>
                <a:round/>
              </a:ln>
              <a:effectLst/>
            </c:spPr>
          </c:marker>
          <c:xVal>
            <c:numRef>
              <c:f>'6. Grain Size Distribution'!$R$149</c:f>
              <c:numCache>
                <c:formatCode>General</c:formatCode>
                <c:ptCount val="1"/>
                <c:pt idx="0">
                  <c:v>42</c:v>
                </c:pt>
              </c:numCache>
            </c:numRef>
          </c:xVal>
          <c:yVal>
            <c:numRef>
              <c:f>'6. Grain Size Distribution'!$S$149</c:f>
              <c:numCache>
                <c:formatCode>0%</c:formatCode>
                <c:ptCount val="1"/>
                <c:pt idx="0">
                  <c:v>0.85</c:v>
                </c:pt>
              </c:numCache>
            </c:numRef>
          </c:yVal>
          <c:smooth val="1"/>
          <c:extLst>
            <c:ext xmlns:c16="http://schemas.microsoft.com/office/drawing/2014/chart" uri="{C3380CC4-5D6E-409C-BE32-E72D297353CC}">
              <c16:uniqueId val="{0000000B-CC3E-0743-9E34-E0DC91735B71}"/>
            </c:ext>
          </c:extLst>
        </c:ser>
        <c:ser>
          <c:idx val="13"/>
          <c:order val="13"/>
          <c:tx>
            <c:strRef>
              <c:f>'6. Grain Size Distribution'!$Q$150</c:f>
              <c:strCache>
                <c:ptCount val="1"/>
                <c:pt idx="0">
                  <c:v>SCT L85</c:v>
                </c:pt>
              </c:strCache>
            </c:strRef>
          </c:tx>
          <c:spPr>
            <a:ln w="22225" cap="rnd">
              <a:noFill/>
              <a:round/>
            </a:ln>
            <a:effectLst/>
          </c:spPr>
          <c:marker>
            <c:symbol val="plus"/>
            <c:size val="10"/>
            <c:spPr>
              <a:noFill/>
              <a:ln w="9525">
                <a:solidFill>
                  <a:schemeClr val="accent2"/>
                </a:solidFill>
                <a:round/>
              </a:ln>
              <a:effectLst/>
            </c:spPr>
          </c:marker>
          <c:xVal>
            <c:numRef>
              <c:f>'6. Grain Size Distribution'!$R$150</c:f>
              <c:numCache>
                <c:formatCode>General</c:formatCode>
                <c:ptCount val="1"/>
                <c:pt idx="0">
                  <c:v>22</c:v>
                </c:pt>
              </c:numCache>
            </c:numRef>
          </c:xVal>
          <c:yVal>
            <c:numRef>
              <c:f>'6. Grain Size Distribution'!$S$150</c:f>
              <c:numCache>
                <c:formatCode>0%</c:formatCode>
                <c:ptCount val="1"/>
                <c:pt idx="0">
                  <c:v>0.85</c:v>
                </c:pt>
              </c:numCache>
            </c:numRef>
          </c:yVal>
          <c:smooth val="1"/>
          <c:extLst>
            <c:ext xmlns:c16="http://schemas.microsoft.com/office/drawing/2014/chart" uri="{C3380CC4-5D6E-409C-BE32-E72D297353CC}">
              <c16:uniqueId val="{00000001-223C-8845-B862-FB876C7EBA13}"/>
            </c:ext>
          </c:extLst>
        </c:ser>
        <c:dLbls>
          <c:showLegendKey val="0"/>
          <c:showVal val="0"/>
          <c:showCatName val="0"/>
          <c:showSerName val="0"/>
          <c:showPercent val="0"/>
          <c:showBubbleSize val="0"/>
        </c:dLbls>
        <c:axId val="269554336"/>
        <c:axId val="269554728"/>
      </c:scatterChart>
      <c:valAx>
        <c:axId val="269554336"/>
        <c:scaling>
          <c:logBase val="10"/>
          <c:orientation val="minMax"/>
          <c:min val="0.5"/>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r>
                  <a:rPr lang="en-GB"/>
                  <a:t>Aperture size [µm]</a:t>
                </a:r>
              </a:p>
            </c:rich>
          </c:tx>
          <c:overlay val="0"/>
          <c:spPr>
            <a:noFill/>
            <a:ln>
              <a:noFill/>
            </a:ln>
            <a:effectLst/>
          </c:spPr>
          <c:txPr>
            <a:bodyPr rot="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269554728"/>
        <c:crosses val="autoZero"/>
        <c:crossBetween val="midCat"/>
      </c:valAx>
      <c:valAx>
        <c:axId val="269554728"/>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r>
                  <a:rPr lang="en-GB"/>
                  <a:t>Cumulative % passing</a:t>
                </a:r>
              </a:p>
            </c:rich>
          </c:tx>
          <c:overlay val="0"/>
          <c:spPr>
            <a:noFill/>
            <a:ln>
              <a:noFill/>
            </a:ln>
            <a:effectLst/>
          </c:spPr>
          <c:txPr>
            <a:bodyPr rot="-540000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 sourceLinked="1"/>
        <c:majorTickMark val="none"/>
        <c:minorTickMark val="none"/>
        <c:tickLblPos val="low"/>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269554336"/>
        <c:crosses val="autoZero"/>
        <c:crossBetween val="midCat"/>
      </c:valAx>
      <c:spPr>
        <a:noFill/>
        <a:ln>
          <a:noFill/>
        </a:ln>
        <a:effectLst/>
      </c:spPr>
    </c:plotArea>
    <c:legend>
      <c:legendPos val="t"/>
      <c:layout>
        <c:manualLayout>
          <c:xMode val="edge"/>
          <c:yMode val="edge"/>
          <c:x val="0.79172080706278403"/>
          <c:y val="8.918741222198287E-2"/>
          <c:w val="0.20143744550555576"/>
          <c:h val="0.87810293532056671"/>
        </c:manualLayout>
      </c:layout>
      <c:overlay val="0"/>
      <c:spPr>
        <a:noFill/>
        <a:ln>
          <a:noFill/>
        </a:ln>
        <a:effectLst/>
      </c:spPr>
      <c:txPr>
        <a:bodyPr rot="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lt1"/>
    </a:solidFill>
    <a:ln w="9525" cap="flat" cmpd="sng" algn="ctr">
      <a:noFill/>
      <a:round/>
    </a:ln>
    <a:effectLst/>
  </c:spPr>
  <c:txPr>
    <a:bodyPr/>
    <a:lstStyle/>
    <a:p>
      <a:pPr>
        <a:defRPr sz="1200" cap="none" baseline="0">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6415983268155735E-2"/>
          <c:y val="3.723927113862778E-2"/>
          <c:w val="0.87590541518655551"/>
          <c:h val="0.79081161795703803"/>
        </c:manualLayout>
      </c:layout>
      <c:scatterChart>
        <c:scatterStyle val="smoothMarker"/>
        <c:varyColors val="0"/>
        <c:ser>
          <c:idx val="0"/>
          <c:order val="0"/>
          <c:tx>
            <c:strRef>
              <c:f>'7. Sample A Conf. Intervals'!$A$33:$A$44</c:f>
              <c:strCache>
                <c:ptCount val="12"/>
                <c:pt idx="0">
                  <c:v>-6700/+2000</c:v>
                </c:pt>
              </c:strCache>
            </c:strRef>
          </c:tx>
          <c:spPr>
            <a:ln w="9525" cap="rnd">
              <a:solidFill>
                <a:schemeClr val="accent5"/>
              </a:solidFill>
              <a:round/>
            </a:ln>
            <a:effectLst/>
          </c:spPr>
          <c:marker>
            <c:symbol val="square"/>
            <c:size val="1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c:spPr>
          </c:marker>
          <c:xVal>
            <c:numRef>
              <c:f>'7. Sample A Conf. Intervals'!$B$33:$B$44</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'7. Sample A Conf. Intervals'!$F$33:$F$44</c:f>
              <c:numCache>
                <c:formatCode>0.00</c:formatCode>
                <c:ptCount val="12"/>
                <c:pt idx="0">
                  <c:v>0</c:v>
                </c:pt>
                <c:pt idx="1">
                  <c:v>37.961810717123498</c:v>
                </c:pt>
                <c:pt idx="2">
                  <c:v>63.084974526509896</c:v>
                </c:pt>
                <c:pt idx="3">
                  <c:v>73.445392370437389</c:v>
                </c:pt>
                <c:pt idx="4">
                  <c:v>83.009411135301733</c:v>
                </c:pt>
                <c:pt idx="5">
                  <c:v>86.959740716891247</c:v>
                </c:pt>
                <c:pt idx="6">
                  <c:v>99.999999999999943</c:v>
                </c:pt>
                <c:pt idx="7">
                  <c:v>99.999999999999943</c:v>
                </c:pt>
                <c:pt idx="8">
                  <c:v>99.999999999999943</c:v>
                </c:pt>
                <c:pt idx="9">
                  <c:v>99.999999999999943</c:v>
                </c:pt>
                <c:pt idx="10">
                  <c:v>99.999999999999943</c:v>
                </c:pt>
                <c:pt idx="11">
                  <c:v>99.999999999999943</c:v>
                </c:pt>
              </c:numCache>
            </c:numRef>
          </c:yVal>
          <c:smooth val="1"/>
          <c:extLst>
            <c:ext xmlns:c16="http://schemas.microsoft.com/office/drawing/2014/chart" uri="{C3380CC4-5D6E-409C-BE32-E72D297353CC}">
              <c16:uniqueId val="{00000000-0ADA-1D47-BBA2-812FDD70FF63}"/>
            </c:ext>
          </c:extLst>
        </c:ser>
        <c:ser>
          <c:idx val="1"/>
          <c:order val="1"/>
          <c:tx>
            <c:v>-6700/+2000 CLU</c:v>
          </c:tx>
          <c:spPr>
            <a:ln w="9525" cap="rnd">
              <a:solidFill>
                <a:schemeClr val="accent5"/>
              </a:solidFill>
              <a:prstDash val="dash"/>
              <a:round/>
            </a:ln>
            <a:effectLst/>
          </c:spPr>
          <c:marker>
            <c:symbol val="none"/>
          </c:marker>
          <c:xVal>
            <c:numRef>
              <c:f>'7. Sample A Conf. Intervals'!$B$33:$B$44</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'7. Sample A Conf. Intervals'!$L$33:$L$44</c:f>
              <c:numCache>
                <c:formatCode>0.00</c:formatCode>
                <c:ptCount val="12"/>
                <c:pt idx="0">
                  <c:v>0</c:v>
                </c:pt>
                <c:pt idx="1">
                  <c:v>49.638284150118878</c:v>
                </c:pt>
                <c:pt idx="2">
                  <c:v>71.410861870318598</c:v>
                </c:pt>
                <c:pt idx="3">
                  <c:v>83.115027939322005</c:v>
                </c:pt>
                <c:pt idx="4">
                  <c:v>92.503094614220331</c:v>
                </c:pt>
                <c:pt idx="5">
                  <c:v>97.207104531107873</c:v>
                </c:pt>
                <c:pt idx="6">
                  <c:v>100</c:v>
                </c:pt>
                <c:pt idx="7">
                  <c:v>99.999999999999943</c:v>
                </c:pt>
                <c:pt idx="8">
                  <c:v>99.999999999999943</c:v>
                </c:pt>
                <c:pt idx="9">
                  <c:v>99.999999999999943</c:v>
                </c:pt>
                <c:pt idx="10">
                  <c:v>99.999999999999943</c:v>
                </c:pt>
                <c:pt idx="11">
                  <c:v>99.999999999999943</c:v>
                </c:pt>
              </c:numCache>
            </c:numRef>
          </c:yVal>
          <c:smooth val="1"/>
          <c:extLst>
            <c:ext xmlns:c16="http://schemas.microsoft.com/office/drawing/2014/chart" uri="{C3380CC4-5D6E-409C-BE32-E72D297353CC}">
              <c16:uniqueId val="{00000001-0ADA-1D47-BBA2-812FDD70FF63}"/>
            </c:ext>
          </c:extLst>
        </c:ser>
        <c:ser>
          <c:idx val="2"/>
          <c:order val="2"/>
          <c:tx>
            <c:v>-6700/+2000 CLL</c:v>
          </c:tx>
          <c:spPr>
            <a:ln w="9525" cap="rnd">
              <a:solidFill>
                <a:schemeClr val="accent5"/>
              </a:solidFill>
              <a:prstDash val="dash"/>
              <a:round/>
            </a:ln>
            <a:effectLst/>
          </c:spPr>
          <c:marker>
            <c:symbol val="none"/>
          </c:marker>
          <c:xVal>
            <c:numRef>
              <c:f>'7. Sample A Conf. Intervals'!$B$33:$B$44</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'7. Sample A Conf. Intervals'!$K$33:$K$44</c:f>
              <c:numCache>
                <c:formatCode>0.00</c:formatCode>
                <c:ptCount val="12"/>
                <c:pt idx="0">
                  <c:v>0</c:v>
                </c:pt>
                <c:pt idx="1">
                  <c:v>26.285337284128119</c:v>
                </c:pt>
                <c:pt idx="2">
                  <c:v>54.759087182701194</c:v>
                </c:pt>
                <c:pt idx="3">
                  <c:v>63.775756801552774</c:v>
                </c:pt>
                <c:pt idx="4">
                  <c:v>73.515727656383135</c:v>
                </c:pt>
                <c:pt idx="5">
                  <c:v>76.71237690267462</c:v>
                </c:pt>
                <c:pt idx="6">
                  <c:v>99.999999999999886</c:v>
                </c:pt>
                <c:pt idx="7">
                  <c:v>99.999999999999943</c:v>
                </c:pt>
                <c:pt idx="8">
                  <c:v>99.999999999999943</c:v>
                </c:pt>
                <c:pt idx="9">
                  <c:v>99.999999999999943</c:v>
                </c:pt>
                <c:pt idx="10">
                  <c:v>99.999999999999943</c:v>
                </c:pt>
                <c:pt idx="11">
                  <c:v>99.999999999999943</c:v>
                </c:pt>
              </c:numCache>
            </c:numRef>
          </c:yVal>
          <c:smooth val="1"/>
          <c:extLst>
            <c:ext xmlns:c16="http://schemas.microsoft.com/office/drawing/2014/chart" uri="{C3380CC4-5D6E-409C-BE32-E72D297353CC}">
              <c16:uniqueId val="{00000002-0ADA-1D47-BBA2-812FDD70FF63}"/>
            </c:ext>
          </c:extLst>
        </c:ser>
        <c:ser>
          <c:idx val="3"/>
          <c:order val="3"/>
          <c:tx>
            <c:strRef>
              <c:f>'7. Sample A Conf. Intervals'!$A$45:$A$56</c:f>
              <c:strCache>
                <c:ptCount val="12"/>
                <c:pt idx="0">
                  <c:v>-2000/+1000</c:v>
                </c:pt>
              </c:strCache>
            </c:strRef>
          </c:tx>
          <c:spPr>
            <a:ln w="9525" cap="rnd">
              <a:solidFill>
                <a:schemeClr val="accent4"/>
              </a:solidFill>
              <a:round/>
            </a:ln>
            <a:effectLst/>
          </c:spPr>
          <c:marker>
            <c:symbol val="diamond"/>
            <c:size val="10"/>
            <c:spPr>
              <a:solidFill>
                <a:schemeClr val="accent4"/>
              </a:solidFill>
              <a:ln w="9525">
                <a:solidFill>
                  <a:schemeClr val="accent4"/>
                </a:solidFill>
                <a:round/>
              </a:ln>
              <a:effectLst/>
            </c:spPr>
          </c:marker>
          <c:xVal>
            <c:numRef>
              <c:f>'7. Sample A Conf. Intervals'!$B$45:$B$56</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'7. Sample A Conf. Intervals'!$F$45:$F$56</c:f>
              <c:numCache>
                <c:formatCode>0.00</c:formatCode>
                <c:ptCount val="12"/>
                <c:pt idx="0">
                  <c:v>0</c:v>
                </c:pt>
                <c:pt idx="1">
                  <c:v>26.732881396399499</c:v>
                </c:pt>
                <c:pt idx="2">
                  <c:v>44.591918206324898</c:v>
                </c:pt>
                <c:pt idx="3">
                  <c:v>55.675049408115598</c:v>
                </c:pt>
                <c:pt idx="4">
                  <c:v>65.527550721232203</c:v>
                </c:pt>
                <c:pt idx="5">
                  <c:v>74.944201489403525</c:v>
                </c:pt>
                <c:pt idx="6">
                  <c:v>80.012583637684301</c:v>
                </c:pt>
                <c:pt idx="7">
                  <c:v>83.686412572732493</c:v>
                </c:pt>
                <c:pt idx="8">
                  <c:v>89.986124455464676</c:v>
                </c:pt>
                <c:pt idx="9">
                  <c:v>94.453327004328372</c:v>
                </c:pt>
                <c:pt idx="10">
                  <c:v>100.00000000000011</c:v>
                </c:pt>
                <c:pt idx="11">
                  <c:v>100.00000000000011</c:v>
                </c:pt>
              </c:numCache>
            </c:numRef>
          </c:yVal>
          <c:smooth val="1"/>
          <c:extLst>
            <c:ext xmlns:c16="http://schemas.microsoft.com/office/drawing/2014/chart" uri="{C3380CC4-5D6E-409C-BE32-E72D297353CC}">
              <c16:uniqueId val="{00000003-0ADA-1D47-BBA2-812FDD70FF63}"/>
            </c:ext>
          </c:extLst>
        </c:ser>
        <c:ser>
          <c:idx val="4"/>
          <c:order val="4"/>
          <c:tx>
            <c:v>-2000/+1000 CLU</c:v>
          </c:tx>
          <c:spPr>
            <a:ln w="9525" cap="rnd">
              <a:solidFill>
                <a:schemeClr val="accent4"/>
              </a:solidFill>
              <a:prstDash val="dash"/>
              <a:round/>
            </a:ln>
            <a:effectLst/>
          </c:spPr>
          <c:marker>
            <c:symbol val="none"/>
          </c:marker>
          <c:xVal>
            <c:numRef>
              <c:f>'7. Sample A Conf. Intervals'!$B$45:$B$56</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'7. Sample A Conf. Intervals'!$L$45:$L$56</c:f>
              <c:numCache>
                <c:formatCode>0.00</c:formatCode>
                <c:ptCount val="12"/>
                <c:pt idx="0">
                  <c:v>0</c:v>
                </c:pt>
                <c:pt idx="1">
                  <c:v>29.810878395536665</c:v>
                </c:pt>
                <c:pt idx="2">
                  <c:v>49.527948919078916</c:v>
                </c:pt>
                <c:pt idx="3">
                  <c:v>62.262475817263017</c:v>
                </c:pt>
                <c:pt idx="4">
                  <c:v>72.979909885732994</c:v>
                </c:pt>
                <c:pt idx="5">
                  <c:v>82.559131863071002</c:v>
                </c:pt>
                <c:pt idx="6">
                  <c:v>87.55834725395529</c:v>
                </c:pt>
                <c:pt idx="7">
                  <c:v>91.219378456794161</c:v>
                </c:pt>
                <c:pt idx="8">
                  <c:v>95.494721525495805</c:v>
                </c:pt>
                <c:pt idx="9">
                  <c:v>98.295560996461901</c:v>
                </c:pt>
                <c:pt idx="10">
                  <c:v>100.00000000000011</c:v>
                </c:pt>
                <c:pt idx="11">
                  <c:v>100.00000000000011</c:v>
                </c:pt>
              </c:numCache>
            </c:numRef>
          </c:yVal>
          <c:smooth val="1"/>
          <c:extLst>
            <c:ext xmlns:c16="http://schemas.microsoft.com/office/drawing/2014/chart" uri="{C3380CC4-5D6E-409C-BE32-E72D297353CC}">
              <c16:uniqueId val="{00000004-0ADA-1D47-BBA2-812FDD70FF63}"/>
            </c:ext>
          </c:extLst>
        </c:ser>
        <c:ser>
          <c:idx val="5"/>
          <c:order val="5"/>
          <c:tx>
            <c:v>-2000/+1000 CLL</c:v>
          </c:tx>
          <c:spPr>
            <a:ln w="9525" cap="rnd">
              <a:solidFill>
                <a:schemeClr val="accent4"/>
              </a:solidFill>
              <a:prstDash val="dash"/>
              <a:round/>
            </a:ln>
            <a:effectLst/>
          </c:spPr>
          <c:marker>
            <c:symbol val="none"/>
          </c:marker>
          <c:xVal>
            <c:numRef>
              <c:f>'7. Sample A Conf. Intervals'!$B$45:$B$56</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'7. Sample A Conf. Intervals'!$K$45:$K$56</c:f>
              <c:numCache>
                <c:formatCode>0.00</c:formatCode>
                <c:ptCount val="12"/>
                <c:pt idx="0">
                  <c:v>0</c:v>
                </c:pt>
                <c:pt idx="1">
                  <c:v>23.654884397262332</c:v>
                </c:pt>
                <c:pt idx="2">
                  <c:v>39.65588749357088</c:v>
                </c:pt>
                <c:pt idx="3">
                  <c:v>49.087622998968179</c:v>
                </c:pt>
                <c:pt idx="4">
                  <c:v>58.075191556731411</c:v>
                </c:pt>
                <c:pt idx="5">
                  <c:v>67.329271115736049</c:v>
                </c:pt>
                <c:pt idx="6">
                  <c:v>72.466820021413312</c:v>
                </c:pt>
                <c:pt idx="7">
                  <c:v>76.153446688670826</c:v>
                </c:pt>
                <c:pt idx="8">
                  <c:v>84.477527385433547</c:v>
                </c:pt>
                <c:pt idx="9">
                  <c:v>90.611093012194843</c:v>
                </c:pt>
                <c:pt idx="10">
                  <c:v>100.00000000000011</c:v>
                </c:pt>
                <c:pt idx="11">
                  <c:v>100.00000000000011</c:v>
                </c:pt>
              </c:numCache>
            </c:numRef>
          </c:yVal>
          <c:smooth val="1"/>
          <c:extLst>
            <c:ext xmlns:c16="http://schemas.microsoft.com/office/drawing/2014/chart" uri="{C3380CC4-5D6E-409C-BE32-E72D297353CC}">
              <c16:uniqueId val="{00000005-0ADA-1D47-BBA2-812FDD70FF63}"/>
            </c:ext>
          </c:extLst>
        </c:ser>
        <c:ser>
          <c:idx val="9"/>
          <c:order val="6"/>
          <c:tx>
            <c:strRef>
              <c:f>'7. Sample A Conf. Intervals'!$A$57:$A$68</c:f>
              <c:strCache>
                <c:ptCount val="12"/>
                <c:pt idx="0">
                  <c:v>-1000/+425</c:v>
                </c:pt>
              </c:strCache>
            </c:strRef>
          </c:tx>
          <c:spPr>
            <a:ln w="9525" cap="rnd">
              <a:solidFill>
                <a:schemeClr val="accent6"/>
              </a:solidFill>
              <a:round/>
            </a:ln>
            <a:effectLst/>
          </c:spPr>
          <c:marker>
            <c:symbol val="circle"/>
            <c:size val="10"/>
            <c:spPr>
              <a:solidFill>
                <a:schemeClr val="accent6"/>
              </a:solidFill>
              <a:ln w="9525">
                <a:noFill/>
                <a:round/>
              </a:ln>
              <a:effectLst/>
            </c:spPr>
          </c:marker>
          <c:xVal>
            <c:numRef>
              <c:f>'7. Sample A Conf. Intervals'!$B$57:$B$68</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'7. Sample A Conf. Intervals'!$F$57:$F$68</c:f>
              <c:numCache>
                <c:formatCode>0.00</c:formatCode>
                <c:ptCount val="12"/>
                <c:pt idx="0">
                  <c:v>0</c:v>
                </c:pt>
                <c:pt idx="1">
                  <c:v>17.1984071080368</c:v>
                </c:pt>
                <c:pt idx="2">
                  <c:v>29.941856847553503</c:v>
                </c:pt>
                <c:pt idx="3">
                  <c:v>39.879792284151321</c:v>
                </c:pt>
                <c:pt idx="4">
                  <c:v>49.414931198163373</c:v>
                </c:pt>
                <c:pt idx="5">
                  <c:v>57.600587590257845</c:v>
                </c:pt>
                <c:pt idx="6">
                  <c:v>63.484130537951195</c:v>
                </c:pt>
                <c:pt idx="7">
                  <c:v>68.935164040040291</c:v>
                </c:pt>
                <c:pt idx="8">
                  <c:v>73.632717369249889</c:v>
                </c:pt>
                <c:pt idx="9">
                  <c:v>83.126911648169227</c:v>
                </c:pt>
                <c:pt idx="10">
                  <c:v>100.00000000000023</c:v>
                </c:pt>
                <c:pt idx="11">
                  <c:v>100.00000000000023</c:v>
                </c:pt>
              </c:numCache>
            </c:numRef>
          </c:yVal>
          <c:smooth val="1"/>
          <c:extLst>
            <c:ext xmlns:c16="http://schemas.microsoft.com/office/drawing/2014/chart" uri="{C3380CC4-5D6E-409C-BE32-E72D297353CC}">
              <c16:uniqueId val="{00000006-0ADA-1D47-BBA2-812FDD70FF63}"/>
            </c:ext>
          </c:extLst>
        </c:ser>
        <c:ser>
          <c:idx val="10"/>
          <c:order val="7"/>
          <c:tx>
            <c:v>-1000/+425 CLU</c:v>
          </c:tx>
          <c:spPr>
            <a:ln w="9525" cap="rnd">
              <a:solidFill>
                <a:schemeClr val="accent6"/>
              </a:solidFill>
              <a:prstDash val="dash"/>
              <a:round/>
            </a:ln>
            <a:effectLst/>
          </c:spPr>
          <c:marker>
            <c:symbol val="none"/>
          </c:marker>
          <c:xVal>
            <c:numRef>
              <c:f>'7. Sample A Conf. Intervals'!$B$57:$B$68</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'7. Sample A Conf. Intervals'!$L$57:$L$68</c:f>
              <c:numCache>
                <c:formatCode>0.00</c:formatCode>
                <c:ptCount val="12"/>
                <c:pt idx="0">
                  <c:v>0</c:v>
                </c:pt>
                <c:pt idx="1">
                  <c:v>19.458029844682642</c:v>
                </c:pt>
                <c:pt idx="2">
                  <c:v>35.404075770124443</c:v>
                </c:pt>
                <c:pt idx="3">
                  <c:v>47.790972298132083</c:v>
                </c:pt>
                <c:pt idx="4">
                  <c:v>59.618245673412382</c:v>
                </c:pt>
                <c:pt idx="5">
                  <c:v>69.443226800174571</c:v>
                </c:pt>
                <c:pt idx="6">
                  <c:v>76.73131977364541</c:v>
                </c:pt>
                <c:pt idx="7">
                  <c:v>82.062630489367308</c:v>
                </c:pt>
                <c:pt idx="8">
                  <c:v>87.175629519075031</c:v>
                </c:pt>
                <c:pt idx="9">
                  <c:v>94.797685547795737</c:v>
                </c:pt>
                <c:pt idx="10">
                  <c:v>100.00000000000047</c:v>
                </c:pt>
                <c:pt idx="11">
                  <c:v>100.00000000000023</c:v>
                </c:pt>
              </c:numCache>
            </c:numRef>
          </c:yVal>
          <c:smooth val="1"/>
          <c:extLst>
            <c:ext xmlns:c16="http://schemas.microsoft.com/office/drawing/2014/chart" uri="{C3380CC4-5D6E-409C-BE32-E72D297353CC}">
              <c16:uniqueId val="{00000007-0ADA-1D47-BBA2-812FDD70FF63}"/>
            </c:ext>
          </c:extLst>
        </c:ser>
        <c:ser>
          <c:idx val="11"/>
          <c:order val="8"/>
          <c:tx>
            <c:v>-1000/+425 CLL</c:v>
          </c:tx>
          <c:spPr>
            <a:ln w="9525" cap="rnd">
              <a:solidFill>
                <a:schemeClr val="accent6"/>
              </a:solidFill>
              <a:prstDash val="dash"/>
              <a:round/>
            </a:ln>
            <a:effectLst/>
          </c:spPr>
          <c:marker>
            <c:symbol val="none"/>
          </c:marker>
          <c:xVal>
            <c:numRef>
              <c:f>'7. Sample A Conf. Intervals'!$B$57:$B$68</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'7. Sample A Conf. Intervals'!$K$57:$K$68</c:f>
              <c:numCache>
                <c:formatCode>0.00</c:formatCode>
                <c:ptCount val="12"/>
                <c:pt idx="0">
                  <c:v>0</c:v>
                </c:pt>
                <c:pt idx="1">
                  <c:v>14.938784371390959</c:v>
                </c:pt>
                <c:pt idx="2">
                  <c:v>24.479637924982562</c:v>
                </c:pt>
                <c:pt idx="3">
                  <c:v>31.96861227017056</c:v>
                </c:pt>
                <c:pt idx="4">
                  <c:v>39.211616722914364</c:v>
                </c:pt>
                <c:pt idx="5">
                  <c:v>45.757948380341119</c:v>
                </c:pt>
                <c:pt idx="6">
                  <c:v>50.236941302256973</c:v>
                </c:pt>
                <c:pt idx="7">
                  <c:v>55.807697590713268</c:v>
                </c:pt>
                <c:pt idx="8">
                  <c:v>60.089805219424747</c:v>
                </c:pt>
                <c:pt idx="9">
                  <c:v>71.456137748542716</c:v>
                </c:pt>
                <c:pt idx="10">
                  <c:v>99.999999999999986</c:v>
                </c:pt>
                <c:pt idx="11">
                  <c:v>100</c:v>
                </c:pt>
              </c:numCache>
            </c:numRef>
          </c:yVal>
          <c:smooth val="1"/>
          <c:extLst>
            <c:ext xmlns:c16="http://schemas.microsoft.com/office/drawing/2014/chart" uri="{C3380CC4-5D6E-409C-BE32-E72D297353CC}">
              <c16:uniqueId val="{00000008-0ADA-1D47-BBA2-812FDD70FF63}"/>
            </c:ext>
          </c:extLst>
        </c:ser>
        <c:ser>
          <c:idx val="12"/>
          <c:order val="9"/>
          <c:tx>
            <c:strRef>
              <c:f>'7. Sample A Conf. Intervals'!$A$69:$A$80</c:f>
              <c:strCache>
                <c:ptCount val="12"/>
                <c:pt idx="0">
                  <c:v>-425/+150</c:v>
                </c:pt>
              </c:strCache>
            </c:strRef>
          </c:tx>
          <c:spPr>
            <a:ln w="9525" cap="rnd">
              <a:solidFill>
                <a:schemeClr val="accent2"/>
              </a:solidFill>
              <a:round/>
            </a:ln>
            <a:effectLst/>
          </c:spPr>
          <c:marker>
            <c:symbol val="triangle"/>
            <c:size val="10"/>
            <c:spPr>
              <a:solidFill>
                <a:schemeClr val="accent2"/>
              </a:solidFill>
              <a:ln w="9525">
                <a:solidFill>
                  <a:schemeClr val="accent2"/>
                </a:solidFill>
                <a:round/>
              </a:ln>
              <a:effectLst/>
            </c:spPr>
          </c:marker>
          <c:xVal>
            <c:numRef>
              <c:f>'7. Sample A Conf. Intervals'!$B$69:$B$80</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'7. Sample A Conf. Intervals'!$F$69:$F$80</c:f>
              <c:numCache>
                <c:formatCode>0.00</c:formatCode>
                <c:ptCount val="12"/>
                <c:pt idx="0">
                  <c:v>0</c:v>
                </c:pt>
                <c:pt idx="1">
                  <c:v>10.5708946827112</c:v>
                </c:pt>
                <c:pt idx="2">
                  <c:v>20.063859428567639</c:v>
                </c:pt>
                <c:pt idx="3">
                  <c:v>27.450586680754519</c:v>
                </c:pt>
                <c:pt idx="4">
                  <c:v>33.539100204365148</c:v>
                </c:pt>
                <c:pt idx="5">
                  <c:v>38.258287282893427</c:v>
                </c:pt>
                <c:pt idx="6">
                  <c:v>42.489443652710179</c:v>
                </c:pt>
                <c:pt idx="7">
                  <c:v>49.584100409630942</c:v>
                </c:pt>
                <c:pt idx="8">
                  <c:v>53.698040380998961</c:v>
                </c:pt>
                <c:pt idx="9">
                  <c:v>65.089859709833959</c:v>
                </c:pt>
                <c:pt idx="10">
                  <c:v>99.413197806391253</c:v>
                </c:pt>
                <c:pt idx="11">
                  <c:v>99.999999999999801</c:v>
                </c:pt>
              </c:numCache>
            </c:numRef>
          </c:yVal>
          <c:smooth val="1"/>
          <c:extLst>
            <c:ext xmlns:c16="http://schemas.microsoft.com/office/drawing/2014/chart" uri="{C3380CC4-5D6E-409C-BE32-E72D297353CC}">
              <c16:uniqueId val="{00000009-0ADA-1D47-BBA2-812FDD70FF63}"/>
            </c:ext>
          </c:extLst>
        </c:ser>
        <c:ser>
          <c:idx val="13"/>
          <c:order val="10"/>
          <c:tx>
            <c:v>-425/+150 CLU</c:v>
          </c:tx>
          <c:spPr>
            <a:ln w="9525" cap="rnd">
              <a:solidFill>
                <a:schemeClr val="accent2"/>
              </a:solidFill>
              <a:prstDash val="dash"/>
              <a:round/>
            </a:ln>
            <a:effectLst/>
          </c:spPr>
          <c:marker>
            <c:symbol val="none"/>
          </c:marker>
          <c:xVal>
            <c:numRef>
              <c:f>'7. Sample A Conf. Intervals'!$B$69:$B$80</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'7. Sample A Conf. Intervals'!$L$69:$L$80</c:f>
              <c:numCache>
                <c:formatCode>0.00</c:formatCode>
                <c:ptCount val="12"/>
                <c:pt idx="0">
                  <c:v>0</c:v>
                </c:pt>
                <c:pt idx="1">
                  <c:v>11.223019695067864</c:v>
                </c:pt>
                <c:pt idx="2">
                  <c:v>21.822451829155636</c:v>
                </c:pt>
                <c:pt idx="3">
                  <c:v>30.068441888781237</c:v>
                </c:pt>
                <c:pt idx="4">
                  <c:v>36.840352120148786</c:v>
                </c:pt>
                <c:pt idx="5">
                  <c:v>42.068345667245779</c:v>
                </c:pt>
                <c:pt idx="6">
                  <c:v>46.763155125863761</c:v>
                </c:pt>
                <c:pt idx="7">
                  <c:v>54.209828613364877</c:v>
                </c:pt>
                <c:pt idx="8">
                  <c:v>58.720351514190398</c:v>
                </c:pt>
                <c:pt idx="9">
                  <c:v>65.089859709833974</c:v>
                </c:pt>
                <c:pt idx="10">
                  <c:v>99.413197806391267</c:v>
                </c:pt>
                <c:pt idx="11">
                  <c:v>99.999999999999815</c:v>
                </c:pt>
              </c:numCache>
            </c:numRef>
          </c:yVal>
          <c:smooth val="1"/>
          <c:extLst>
            <c:ext xmlns:c16="http://schemas.microsoft.com/office/drawing/2014/chart" uri="{C3380CC4-5D6E-409C-BE32-E72D297353CC}">
              <c16:uniqueId val="{0000000A-0ADA-1D47-BBA2-812FDD70FF63}"/>
            </c:ext>
          </c:extLst>
        </c:ser>
        <c:ser>
          <c:idx val="14"/>
          <c:order val="11"/>
          <c:tx>
            <c:v>-425/+150 CLL</c:v>
          </c:tx>
          <c:spPr>
            <a:ln w="9525" cap="rnd">
              <a:solidFill>
                <a:schemeClr val="accent2"/>
              </a:solidFill>
              <a:prstDash val="dash"/>
              <a:round/>
            </a:ln>
            <a:effectLst/>
          </c:spPr>
          <c:marker>
            <c:symbol val="none"/>
          </c:marker>
          <c:xVal>
            <c:numRef>
              <c:f>'7. Sample A Conf. Intervals'!$B$69:$B$80</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'7. Sample A Conf. Intervals'!$K$69:$K$80</c:f>
              <c:numCache>
                <c:formatCode>0.00</c:formatCode>
                <c:ptCount val="12"/>
                <c:pt idx="0">
                  <c:v>0</c:v>
                </c:pt>
                <c:pt idx="1">
                  <c:v>9.9187696703545374</c:v>
                </c:pt>
                <c:pt idx="2">
                  <c:v>18.305267027979642</c:v>
                </c:pt>
                <c:pt idx="3">
                  <c:v>24.832731472727801</c:v>
                </c:pt>
                <c:pt idx="4">
                  <c:v>30.237848288581514</c:v>
                </c:pt>
                <c:pt idx="5">
                  <c:v>34.448228898541075</c:v>
                </c:pt>
                <c:pt idx="6">
                  <c:v>38.215732179556596</c:v>
                </c:pt>
                <c:pt idx="7">
                  <c:v>44.958372205897007</c:v>
                </c:pt>
                <c:pt idx="8">
                  <c:v>48.675729247807524</c:v>
                </c:pt>
                <c:pt idx="9">
                  <c:v>65.089859709833945</c:v>
                </c:pt>
                <c:pt idx="10">
                  <c:v>99.413197806391238</c:v>
                </c:pt>
                <c:pt idx="11">
                  <c:v>99.999999999999787</c:v>
                </c:pt>
              </c:numCache>
            </c:numRef>
          </c:yVal>
          <c:smooth val="1"/>
          <c:extLst>
            <c:ext xmlns:c16="http://schemas.microsoft.com/office/drawing/2014/chart" uri="{C3380CC4-5D6E-409C-BE32-E72D297353CC}">
              <c16:uniqueId val="{0000000B-0ADA-1D47-BBA2-812FDD70FF63}"/>
            </c:ext>
          </c:extLst>
        </c:ser>
        <c:ser>
          <c:idx val="15"/>
          <c:order val="12"/>
          <c:tx>
            <c:strRef>
              <c:f>'7. Sample A Conf. Intervals'!$A$81:$A$92</c:f>
              <c:strCache>
                <c:ptCount val="12"/>
                <c:pt idx="0">
                  <c:v>-150/+0</c:v>
                </c:pt>
              </c:strCache>
            </c:strRef>
          </c:tx>
          <c:spPr>
            <a:ln w="9525" cap="rnd">
              <a:solidFill>
                <a:schemeClr val="tx1"/>
              </a:solidFill>
              <a:round/>
            </a:ln>
            <a:effectLst/>
          </c:spPr>
          <c:marker>
            <c:symbol val="x"/>
            <c:size val="10"/>
            <c:spPr>
              <a:noFill/>
              <a:ln w="19050">
                <a:solidFill>
                  <a:schemeClr val="tx1"/>
                </a:solidFill>
                <a:round/>
              </a:ln>
              <a:effectLst/>
            </c:spPr>
          </c:marker>
          <c:xVal>
            <c:numRef>
              <c:f>'7. Sample A Conf. Intervals'!$B$81:$B$92</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'7. Sample A Conf. Intervals'!$F$81:$F$92</c:f>
              <c:numCache>
                <c:formatCode>0.00</c:formatCode>
                <c:ptCount val="12"/>
                <c:pt idx="0">
                  <c:v>0</c:v>
                </c:pt>
                <c:pt idx="1">
                  <c:v>3.4085562553528299</c:v>
                </c:pt>
                <c:pt idx="2">
                  <c:v>7.1407439182847501</c:v>
                </c:pt>
                <c:pt idx="3">
                  <c:v>10.23119063086838</c:v>
                </c:pt>
                <c:pt idx="4">
                  <c:v>13.25709861798623</c:v>
                </c:pt>
                <c:pt idx="5">
                  <c:v>16.528617430219441</c:v>
                </c:pt>
                <c:pt idx="6">
                  <c:v>19.937856766326881</c:v>
                </c:pt>
                <c:pt idx="7">
                  <c:v>24.94278236594484</c:v>
                </c:pt>
                <c:pt idx="8">
                  <c:v>32.231546693669827</c:v>
                </c:pt>
                <c:pt idx="9">
                  <c:v>48.074075586020427</c:v>
                </c:pt>
                <c:pt idx="10">
                  <c:v>87.945454670002022</c:v>
                </c:pt>
                <c:pt idx="11">
                  <c:v>99.999999999980119</c:v>
                </c:pt>
              </c:numCache>
            </c:numRef>
          </c:yVal>
          <c:smooth val="1"/>
          <c:extLst>
            <c:ext xmlns:c16="http://schemas.microsoft.com/office/drawing/2014/chart" uri="{C3380CC4-5D6E-409C-BE32-E72D297353CC}">
              <c16:uniqueId val="{0000000C-0ADA-1D47-BBA2-812FDD70FF63}"/>
            </c:ext>
          </c:extLst>
        </c:ser>
        <c:ser>
          <c:idx val="16"/>
          <c:order val="13"/>
          <c:tx>
            <c:v>-150/+0 CLU</c:v>
          </c:tx>
          <c:spPr>
            <a:ln w="9525" cap="rnd">
              <a:solidFill>
                <a:schemeClr val="tx1">
                  <a:alpha val="88000"/>
                </a:schemeClr>
              </a:solidFill>
              <a:prstDash val="dash"/>
              <a:round/>
            </a:ln>
            <a:effectLst/>
          </c:spPr>
          <c:marker>
            <c:symbol val="none"/>
          </c:marker>
          <c:xVal>
            <c:numRef>
              <c:f>'7. Sample A Conf. Intervals'!$B$81:$B$92</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'7. Sample A Conf. Intervals'!$L$81:$L$92</c:f>
              <c:numCache>
                <c:formatCode>0.00</c:formatCode>
                <c:ptCount val="12"/>
                <c:pt idx="0">
                  <c:v>0</c:v>
                </c:pt>
                <c:pt idx="1">
                  <c:v>3.4628711591344645</c:v>
                </c:pt>
                <c:pt idx="2">
                  <c:v>7.2570817632550115</c:v>
                </c:pt>
                <c:pt idx="3">
                  <c:v>10.400481823440835</c:v>
                </c:pt>
                <c:pt idx="4">
                  <c:v>13.475415968223883</c:v>
                </c:pt>
                <c:pt idx="5">
                  <c:v>16.80118967599417</c:v>
                </c:pt>
                <c:pt idx="6">
                  <c:v>20.257843209754501</c:v>
                </c:pt>
                <c:pt idx="7">
                  <c:v>25.323143465372311</c:v>
                </c:pt>
                <c:pt idx="8">
                  <c:v>32.691606951604278</c:v>
                </c:pt>
                <c:pt idx="9">
                  <c:v>48.074075586020442</c:v>
                </c:pt>
                <c:pt idx="10">
                  <c:v>87.945454670002036</c:v>
                </c:pt>
                <c:pt idx="11">
                  <c:v>99.999999999980133</c:v>
                </c:pt>
              </c:numCache>
            </c:numRef>
          </c:yVal>
          <c:smooth val="1"/>
          <c:extLst>
            <c:ext xmlns:c16="http://schemas.microsoft.com/office/drawing/2014/chart" uri="{C3380CC4-5D6E-409C-BE32-E72D297353CC}">
              <c16:uniqueId val="{0000000D-0ADA-1D47-BBA2-812FDD70FF63}"/>
            </c:ext>
          </c:extLst>
        </c:ser>
        <c:ser>
          <c:idx val="17"/>
          <c:order val="14"/>
          <c:tx>
            <c:v>-150/+0 CLL</c:v>
          </c:tx>
          <c:spPr>
            <a:ln w="9525" cap="rnd">
              <a:solidFill>
                <a:schemeClr val="tx1"/>
              </a:solidFill>
              <a:prstDash val="dash"/>
              <a:round/>
            </a:ln>
            <a:effectLst/>
          </c:spPr>
          <c:marker>
            <c:symbol val="none"/>
          </c:marker>
          <c:xVal>
            <c:numRef>
              <c:f>'7. Sample A Conf. Intervals'!$B$81:$B$92</c:f>
              <c:numCache>
                <c:formatCode>0.00</c:formatCode>
                <c:ptCount val="12"/>
                <c:pt idx="0">
                  <c:v>0</c:v>
                </c:pt>
                <c:pt idx="1">
                  <c:v>5</c:v>
                </c:pt>
                <c:pt idx="2">
                  <c:v>15</c:v>
                </c:pt>
                <c:pt idx="3">
                  <c:v>25</c:v>
                </c:pt>
                <c:pt idx="4">
                  <c:v>35</c:v>
                </c:pt>
                <c:pt idx="5">
                  <c:v>45</c:v>
                </c:pt>
                <c:pt idx="6">
                  <c:v>55</c:v>
                </c:pt>
                <c:pt idx="7">
                  <c:v>65</c:v>
                </c:pt>
                <c:pt idx="8">
                  <c:v>75</c:v>
                </c:pt>
                <c:pt idx="9">
                  <c:v>85</c:v>
                </c:pt>
                <c:pt idx="10">
                  <c:v>95</c:v>
                </c:pt>
                <c:pt idx="11">
                  <c:v>100</c:v>
                </c:pt>
              </c:numCache>
            </c:numRef>
          </c:xVal>
          <c:yVal>
            <c:numRef>
              <c:f>'7. Sample A Conf. Intervals'!$K$81:$K$92</c:f>
              <c:numCache>
                <c:formatCode>0.00</c:formatCode>
                <c:ptCount val="12"/>
                <c:pt idx="0">
                  <c:v>0</c:v>
                </c:pt>
                <c:pt idx="1">
                  <c:v>3.3542413515711953</c:v>
                </c:pt>
                <c:pt idx="2">
                  <c:v>7.0244060733144886</c:v>
                </c:pt>
                <c:pt idx="3">
                  <c:v>10.061899438295924</c:v>
                </c:pt>
                <c:pt idx="4">
                  <c:v>13.038781267748577</c:v>
                </c:pt>
                <c:pt idx="5">
                  <c:v>16.256045184444712</c:v>
                </c:pt>
                <c:pt idx="6">
                  <c:v>19.617870322899261</c:v>
                </c:pt>
                <c:pt idx="7">
                  <c:v>24.562421266517369</c:v>
                </c:pt>
                <c:pt idx="8">
                  <c:v>31.771486435735376</c:v>
                </c:pt>
                <c:pt idx="9">
                  <c:v>48.074075586020413</c:v>
                </c:pt>
                <c:pt idx="10">
                  <c:v>87.945454670002007</c:v>
                </c:pt>
                <c:pt idx="11">
                  <c:v>99.999999999980105</c:v>
                </c:pt>
              </c:numCache>
            </c:numRef>
          </c:yVal>
          <c:smooth val="1"/>
          <c:extLst>
            <c:ext xmlns:c16="http://schemas.microsoft.com/office/drawing/2014/chart" uri="{C3380CC4-5D6E-409C-BE32-E72D297353CC}">
              <c16:uniqueId val="{0000000E-0ADA-1D47-BBA2-812FDD70FF63}"/>
            </c:ext>
          </c:extLst>
        </c:ser>
        <c:dLbls>
          <c:showLegendKey val="0"/>
          <c:showVal val="0"/>
          <c:showCatName val="0"/>
          <c:showSerName val="0"/>
          <c:showPercent val="0"/>
          <c:showBubbleSize val="0"/>
        </c:dLbls>
        <c:axId val="182050152"/>
        <c:axId val="130788960"/>
      </c:scatterChart>
      <c:valAx>
        <c:axId val="182050152"/>
        <c:scaling>
          <c:orientation val="minMax"/>
          <c:max val="100"/>
        </c:scaling>
        <c:delete val="0"/>
        <c:axPos val="b"/>
        <c:title>
          <c:tx>
            <c:rich>
              <a:bodyPr rot="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Lberation class (% liberation)</a:t>
                </a:r>
              </a:p>
            </c:rich>
          </c:tx>
          <c:overlay val="0"/>
          <c:spPr>
            <a:noFill/>
            <a:ln>
              <a:noFill/>
            </a:ln>
            <a:effectLst/>
          </c:spPr>
          <c:txPr>
            <a:bodyPr rot="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 sourceLinked="0"/>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30788960"/>
        <c:crosses val="autoZero"/>
        <c:crossBetween val="midCat"/>
      </c:valAx>
      <c:valAx>
        <c:axId val="130788960"/>
        <c:scaling>
          <c:orientation val="minMax"/>
          <c:max val="100"/>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ZA"/>
                  <a:t>Cumulative Fe-sulfide content %</a:t>
                </a:r>
              </a:p>
            </c:rich>
          </c:tx>
          <c:layout>
            <c:manualLayout>
              <c:xMode val="edge"/>
              <c:yMode val="edge"/>
              <c:x val="4.3356936055683783E-3"/>
              <c:y val="0.18218059416271981"/>
            </c:manualLayout>
          </c:layout>
          <c:overlay val="0"/>
          <c:spPr>
            <a:noFill/>
            <a:ln>
              <a:noFill/>
            </a:ln>
            <a:effectLst/>
          </c:spPr>
          <c:txPr>
            <a:bodyPr rot="-54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 sourceLinked="0"/>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82050152"/>
        <c:crosses val="autoZero"/>
        <c:crossBetween val="midCat"/>
      </c:valAx>
      <c:spPr>
        <a:noFill/>
        <a:ln>
          <a:noFill/>
        </a:ln>
        <a:effectLst/>
      </c:spPr>
    </c:plotArea>
    <c:legend>
      <c:legendPos val="b"/>
      <c:legendEntry>
        <c:idx val="1"/>
        <c:delete val="1"/>
      </c:legendEntry>
      <c:legendEntry>
        <c:idx val="2"/>
        <c:delete val="1"/>
      </c:legendEntry>
      <c:legendEntry>
        <c:idx val="4"/>
        <c:delete val="1"/>
      </c:legendEntry>
      <c:legendEntry>
        <c:idx val="5"/>
        <c:delete val="1"/>
      </c:legendEntry>
      <c:legendEntry>
        <c:idx val="7"/>
        <c:delete val="1"/>
      </c:legendEntry>
      <c:legendEntry>
        <c:idx val="8"/>
        <c:delete val="1"/>
      </c:legendEntry>
      <c:legendEntry>
        <c:idx val="10"/>
        <c:delete val="1"/>
      </c:legendEntry>
      <c:legendEntry>
        <c:idx val="11"/>
        <c:delete val="1"/>
      </c:legendEntry>
      <c:legendEntry>
        <c:idx val="13"/>
        <c:delete val="1"/>
      </c:legendEntry>
      <c:legendEntry>
        <c:idx val="14"/>
        <c:delete val="1"/>
      </c:legendEntry>
      <c:layout>
        <c:manualLayout>
          <c:xMode val="edge"/>
          <c:yMode val="edge"/>
          <c:x val="1.9173564235624621E-2"/>
          <c:y val="0.93402409341525094"/>
          <c:w val="0.96165287152875079"/>
          <c:h val="6.5975906584749069E-2"/>
        </c:manualLayout>
      </c:layout>
      <c:overlay val="0"/>
      <c:spPr>
        <a:noFill/>
        <a:ln>
          <a:noFill/>
        </a:ln>
        <a:effectLst/>
      </c:spPr>
      <c:txPr>
        <a:bodyPr rot="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600" b="0">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42">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9525" cap="rnd">
        <a:solidFill>
          <a:schemeClr val="phClr"/>
        </a:solidFill>
        <a:round/>
      </a:ln>
    </cs:spPr>
  </cs:dataPointLine>
  <cs:dataPointMarker>
    <cs:lnRef idx="0">
      <cs:styleClr val="auto"/>
    </cs:lnRef>
    <cs:fillRef idx="3">
      <cs:styleClr val="auto"/>
    </cs:fillRef>
    <cs:effectRef idx="2"/>
    <cs:fontRef idx="minor">
      <a:schemeClr val="tx2"/>
    </cs:fontRef>
    <cs:spPr>
      <a:ln w="9525">
        <a:solidFill>
          <a:schemeClr val="phClr"/>
        </a:solidFill>
        <a:round/>
      </a:ln>
    </cs:spPr>
  </cs:dataPointMarker>
  <cs:dataPointMarkerLayout symbol="circle" size="5"/>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9525" cap="rnd">
        <a:solidFill>
          <a:schemeClr val="phClr"/>
        </a:solidFill>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spPr>
      <a:ln>
        <a:solidFill>
          <a:schemeClr val="tx2">
            <a:lumMod val="40000"/>
            <a:lumOff val="60000"/>
          </a:schemeClr>
        </a:solidFill>
      </a:ln>
    </cs:spPr>
    <cs:defRPr sz="900" kern="1200"/>
  </cs:valueAxis>
  <cs:wall>
    <cs:lnRef idx="0"/>
    <cs:fillRef idx="0"/>
    <cs:effectRef idx="0"/>
    <cs:fontRef idx="minor">
      <a:schemeClr val="tx2"/>
    </cs:fontRef>
  </cs:wall>
</cs:chartStyle>
</file>

<file path=xl/charts/style11.xml><?xml version="1.0" encoding="utf-8"?>
<cs:chartStyle xmlns:cs="http://schemas.microsoft.com/office/drawing/2012/chartStyle" xmlns:a="http://schemas.openxmlformats.org/drawingml/2006/main" id="242">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9525" cap="rnd">
        <a:solidFill>
          <a:schemeClr val="phClr"/>
        </a:solidFill>
        <a:round/>
      </a:ln>
    </cs:spPr>
  </cs:dataPointLine>
  <cs:dataPointMarker>
    <cs:lnRef idx="0">
      <cs:styleClr val="auto"/>
    </cs:lnRef>
    <cs:fillRef idx="3">
      <cs:styleClr val="auto"/>
    </cs:fillRef>
    <cs:effectRef idx="2"/>
    <cs:fontRef idx="minor">
      <a:schemeClr val="tx2"/>
    </cs:fontRef>
    <cs:spPr>
      <a:ln w="9525">
        <a:solidFill>
          <a:schemeClr val="phClr"/>
        </a:solidFill>
        <a:round/>
      </a:ln>
    </cs:spPr>
  </cs:dataPointMarker>
  <cs:dataPointMarkerLayout symbol="circle" size="5"/>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9525" cap="rnd">
        <a:solidFill>
          <a:schemeClr val="phClr"/>
        </a:solidFill>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spPr>
      <a:ln>
        <a:solidFill>
          <a:schemeClr val="tx2">
            <a:lumMod val="40000"/>
            <a:lumOff val="60000"/>
          </a:schemeClr>
        </a:solidFill>
      </a:ln>
    </cs:spPr>
    <cs:defRPr sz="900" kern="1200"/>
  </cs:valueAxis>
  <cs:wall>
    <cs:lnRef idx="0"/>
    <cs:fillRef idx="0"/>
    <cs:effectRef idx="0"/>
    <cs:fontRef idx="minor">
      <a:schemeClr val="tx2"/>
    </cs:fontRef>
  </cs:wall>
</cs:chartStyle>
</file>

<file path=xl/charts/style12.xml><?xml version="1.0" encoding="utf-8"?>
<cs:chartStyle xmlns:cs="http://schemas.microsoft.com/office/drawing/2012/chartStyle" xmlns:a="http://schemas.openxmlformats.org/drawingml/2006/main" id="242">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9525" cap="rnd">
        <a:solidFill>
          <a:schemeClr val="phClr"/>
        </a:solidFill>
        <a:round/>
      </a:ln>
    </cs:spPr>
  </cs:dataPointLine>
  <cs:dataPointMarker>
    <cs:lnRef idx="0">
      <cs:styleClr val="auto"/>
    </cs:lnRef>
    <cs:fillRef idx="3">
      <cs:styleClr val="auto"/>
    </cs:fillRef>
    <cs:effectRef idx="2"/>
    <cs:fontRef idx="minor">
      <a:schemeClr val="tx2"/>
    </cs:fontRef>
    <cs:spPr>
      <a:ln w="9525">
        <a:solidFill>
          <a:schemeClr val="phClr"/>
        </a:solidFill>
        <a:round/>
      </a:ln>
    </cs:spPr>
  </cs:dataPointMarker>
  <cs:dataPointMarkerLayout symbol="circle" size="5"/>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9525" cap="rnd">
        <a:solidFill>
          <a:schemeClr val="phClr"/>
        </a:solidFill>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spPr>
      <a:ln>
        <a:solidFill>
          <a:schemeClr val="tx2">
            <a:lumMod val="40000"/>
            <a:lumOff val="60000"/>
          </a:schemeClr>
        </a:solidFill>
      </a:ln>
    </cs:spPr>
    <cs:defRPr sz="900" kern="1200"/>
  </cs:valueAxis>
  <cs:wall>
    <cs:lnRef idx="0"/>
    <cs:fillRef idx="0"/>
    <cs:effectRef idx="0"/>
    <cs:fontRef idx="minor">
      <a:schemeClr val="tx2"/>
    </cs:fontRef>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1">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8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9525" cap="rnd">
        <a:solidFill>
          <a:schemeClr val="phClr"/>
        </a:solidFill>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41">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8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9525" cap="rnd">
        <a:solidFill>
          <a:schemeClr val="phClr"/>
        </a:solidFill>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41">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8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9525" cap="rnd">
        <a:solidFill>
          <a:schemeClr val="phClr"/>
        </a:solidFill>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41">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8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9525" cap="rnd">
        <a:solidFill>
          <a:schemeClr val="phClr"/>
        </a:solidFill>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9.xml><?xml version="1.0" encoding="utf-8"?>
<cs:chartStyle xmlns:cs="http://schemas.microsoft.com/office/drawing/2012/chartStyle" xmlns:a="http://schemas.openxmlformats.org/drawingml/2006/main" id="242">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9525" cap="rnd">
        <a:solidFill>
          <a:schemeClr val="phClr"/>
        </a:solidFill>
        <a:round/>
      </a:ln>
    </cs:spPr>
  </cs:dataPointLine>
  <cs:dataPointMarker>
    <cs:lnRef idx="0">
      <cs:styleClr val="auto"/>
    </cs:lnRef>
    <cs:fillRef idx="3">
      <cs:styleClr val="auto"/>
    </cs:fillRef>
    <cs:effectRef idx="2"/>
    <cs:fontRef idx="minor">
      <a:schemeClr val="tx2"/>
    </cs:fontRef>
    <cs:spPr>
      <a:ln w="9525">
        <a:solidFill>
          <a:schemeClr val="phClr"/>
        </a:solidFill>
        <a:round/>
      </a:ln>
    </cs:spPr>
  </cs:dataPointMarker>
  <cs:dataPointMarkerLayout symbol="circle" size="5"/>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9525" cap="rnd">
        <a:solidFill>
          <a:schemeClr val="phClr"/>
        </a:solidFill>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spPr>
      <a:ln>
        <a:solidFill>
          <a:schemeClr val="tx2">
            <a:lumMod val="40000"/>
            <a:lumOff val="60000"/>
          </a:schemeClr>
        </a:solidFill>
      </a:ln>
    </cs:spPr>
    <cs:defRPr sz="900" kern="1200"/>
  </cs:valueAxis>
  <cs:wall>
    <cs:lnRef idx="0"/>
    <cs:fillRef idx="0"/>
    <cs:effectRef idx="0"/>
    <cs:fontRef idx="minor">
      <a:schemeClr val="tx2"/>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5.xml.rels><?xml version="1.0" encoding="UTF-8" standalone="yes"?>
<Relationships xmlns="http://schemas.openxmlformats.org/package/2006/relationships"><Relationship Id="rId1" Type="http://schemas.openxmlformats.org/officeDocument/2006/relationships/chart" Target="../charts/chart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oneCellAnchor>
    <xdr:from>
      <xdr:col>5</xdr:col>
      <xdr:colOff>349288</xdr:colOff>
      <xdr:row>36</xdr:row>
      <xdr:rowOff>7754</xdr:rowOff>
    </xdr:from>
    <xdr:ext cx="572849" cy="172227"/>
    <mc:AlternateContent xmlns:mc="http://schemas.openxmlformats.org/markup-compatibility/2006" xmlns:a14="http://schemas.microsoft.com/office/drawing/2010/main">
      <mc:Choice Requires="a14">
        <xdr:sp macro="" textlink="">
          <xdr:nvSpPr>
            <xdr:cNvPr id="2" name="TextBox 1">
              <a:extLst>
                <a:ext uri="{FF2B5EF4-FFF2-40B4-BE49-F238E27FC236}">
                  <a16:creationId xmlns:a16="http://schemas.microsoft.com/office/drawing/2014/main" id="{8995DDCB-A810-3647-894F-0A53C7BCC949}"/>
                </a:ext>
              </a:extLst>
            </xdr:cNvPr>
            <xdr:cNvSpPr txBox="1"/>
          </xdr:nvSpPr>
          <xdr:spPr>
            <a:xfrm>
              <a:off x="7143788" y="8148454"/>
              <a:ext cx="572849"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m:rPr>
                        <m:sty m:val="p"/>
                      </m:rPr>
                      <a:rPr lang="en-ZA" sz="1100" b="0" i="0">
                        <a:latin typeface="Cambria Math" panose="02040503050406030204" pitchFamily="18" charset="0"/>
                      </a:rPr>
                      <m:t>C</m:t>
                    </m:r>
                    <m:r>
                      <a:rPr lang="en-ZA" sz="1100" i="0">
                        <a:latin typeface="Cambria Math" panose="02040503050406030204" pitchFamily="18" charset="0"/>
                      </a:rPr>
                      <m:t>=</m:t>
                    </m:r>
                    <m:r>
                      <a:rPr lang="en-ZA" sz="1100" i="1">
                        <a:latin typeface="Cambria Math" panose="02040503050406030204" pitchFamily="18" charset="0"/>
                      </a:rPr>
                      <m:t>𝑓𝑔</m:t>
                    </m:r>
                    <m:r>
                      <a:rPr lang="en-US" sz="1100" b="0" i="1">
                        <a:latin typeface="Cambria Math" panose="02040503050406030204" pitchFamily="18" charset="0"/>
                      </a:rPr>
                      <m:t>𝑙</m:t>
                    </m:r>
                    <m:r>
                      <a:rPr lang="en-ZA" sz="1100" i="1">
                        <a:latin typeface="Cambria Math" panose="02040503050406030204" pitchFamily="18" charset="0"/>
                      </a:rPr>
                      <m:t>𝑐</m:t>
                    </m:r>
                  </m:oMath>
                </m:oMathPara>
              </a14:m>
              <a:endParaRPr lang="en-ZA" sz="1100"/>
            </a:p>
          </xdr:txBody>
        </xdr:sp>
      </mc:Choice>
      <mc:Fallback xmlns="">
        <xdr:sp macro="" textlink="">
          <xdr:nvSpPr>
            <xdr:cNvPr id="2" name="TextBox 1">
              <a:extLst>
                <a:ext uri="{FF2B5EF4-FFF2-40B4-BE49-F238E27FC236}">
                  <a16:creationId xmlns:a16="http://schemas.microsoft.com/office/drawing/2014/main" id="{8995DDCB-A810-3647-894F-0A53C7BCC949}"/>
                </a:ext>
              </a:extLst>
            </xdr:cNvPr>
            <xdr:cNvSpPr txBox="1"/>
          </xdr:nvSpPr>
          <xdr:spPr>
            <a:xfrm>
              <a:off x="7143788" y="8148454"/>
              <a:ext cx="572849"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ZA" sz="1100" b="0" i="0">
                  <a:latin typeface="Cambria Math" panose="02040503050406030204" pitchFamily="18" charset="0"/>
                </a:rPr>
                <a:t>C</a:t>
              </a:r>
              <a:r>
                <a:rPr lang="en-ZA" sz="1100" i="0">
                  <a:latin typeface="Cambria Math" panose="02040503050406030204" pitchFamily="18" charset="0"/>
                </a:rPr>
                <a:t>=𝑓𝑔</a:t>
              </a:r>
              <a:r>
                <a:rPr lang="en-US" sz="1100" b="0" i="0">
                  <a:latin typeface="Cambria Math" panose="02040503050406030204" pitchFamily="18" charset="0"/>
                </a:rPr>
                <a:t>𝑙</a:t>
              </a:r>
              <a:r>
                <a:rPr lang="en-ZA" sz="1100" i="0">
                  <a:latin typeface="Cambria Math" panose="02040503050406030204" pitchFamily="18" charset="0"/>
                </a:rPr>
                <a:t>𝑐</a:t>
              </a:r>
              <a:endParaRPr lang="en-ZA" sz="1100"/>
            </a:p>
          </xdr:txBody>
        </xdr:sp>
      </mc:Fallback>
    </mc:AlternateContent>
    <xdr:clientData/>
  </xdr:oneCellAnchor>
  <xdr:oneCellAnchor>
    <xdr:from>
      <xdr:col>4</xdr:col>
      <xdr:colOff>820635</xdr:colOff>
      <xdr:row>33</xdr:row>
      <xdr:rowOff>42651</xdr:rowOff>
    </xdr:from>
    <xdr:ext cx="1997265" cy="317972"/>
    <mc:AlternateContent xmlns:mc="http://schemas.openxmlformats.org/markup-compatibility/2006" xmlns:a14="http://schemas.microsoft.com/office/drawing/2010/main">
      <mc:Choice Requires="a14">
        <xdr:sp macro="" textlink="">
          <xdr:nvSpPr>
            <xdr:cNvPr id="3" name="TextBox 2">
              <a:extLst>
                <a:ext uri="{FF2B5EF4-FFF2-40B4-BE49-F238E27FC236}">
                  <a16:creationId xmlns:a16="http://schemas.microsoft.com/office/drawing/2014/main" id="{64AAB907-F868-3144-9379-E0B98CB2EA00}"/>
                </a:ext>
              </a:extLst>
            </xdr:cNvPr>
            <xdr:cNvSpPr txBox="1"/>
          </xdr:nvSpPr>
          <xdr:spPr>
            <a:xfrm>
              <a:off x="6649935" y="7522951"/>
              <a:ext cx="1997265" cy="317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r>
                      <a:rPr lang="en-GB" sz="1100" i="1">
                        <a:solidFill>
                          <a:schemeClr val="tx1"/>
                        </a:solidFill>
                        <a:effectLst/>
                        <a:latin typeface="Cambria Math" panose="02040503050406030204" pitchFamily="18" charset="0"/>
                        <a:ea typeface="+mn-ea"/>
                        <a:cs typeface="+mn-cs"/>
                      </a:rPr>
                      <m:t>𝑐</m:t>
                    </m:r>
                    <m:r>
                      <a:rPr lang="en-GB" sz="1100">
                        <a:solidFill>
                          <a:schemeClr val="tx1"/>
                        </a:solidFill>
                        <a:effectLst/>
                        <a:latin typeface="Cambria Math" panose="02040503050406030204" pitchFamily="18" charset="0"/>
                        <a:ea typeface="+mn-ea"/>
                        <a:cs typeface="+mn-cs"/>
                      </a:rPr>
                      <m:t>=</m:t>
                    </m:r>
                    <m:f>
                      <m:fPr>
                        <m:ctrlPr>
                          <a:rPr lang="en-ZA" sz="1100" i="1">
                            <a:solidFill>
                              <a:schemeClr val="tx1"/>
                            </a:solidFill>
                            <a:effectLst/>
                            <a:latin typeface="Cambria Math" panose="02040503050406030204" pitchFamily="18" charset="0"/>
                            <a:ea typeface="+mn-ea"/>
                            <a:cs typeface="+mn-cs"/>
                          </a:rPr>
                        </m:ctrlPr>
                      </m:fPr>
                      <m:num>
                        <m:r>
                          <a:rPr lang="en-GB" sz="1100">
                            <a:solidFill>
                              <a:schemeClr val="tx1"/>
                            </a:solidFill>
                            <a:effectLst/>
                            <a:latin typeface="Cambria Math" panose="02040503050406030204" pitchFamily="18" charset="0"/>
                            <a:ea typeface="+mn-ea"/>
                            <a:cs typeface="+mn-cs"/>
                          </a:rPr>
                          <m:t>1</m:t>
                        </m:r>
                        <m:r>
                          <a:rPr lang="en-GB" sz="1100" i="1">
                            <a:solidFill>
                              <a:schemeClr val="tx1"/>
                            </a:solidFill>
                            <a:effectLst/>
                            <a:latin typeface="Cambria Math" panose="02040503050406030204" pitchFamily="18" charset="0"/>
                            <a:ea typeface="+mn-ea"/>
                            <a:cs typeface="+mn-cs"/>
                          </a:rPr>
                          <m:t>−</m:t>
                        </m:r>
                        <m:r>
                          <a:rPr lang="en-GB" sz="1100" i="1">
                            <a:solidFill>
                              <a:schemeClr val="tx1"/>
                            </a:solidFill>
                            <a:effectLst/>
                            <a:latin typeface="Cambria Math" panose="02040503050406030204" pitchFamily="18" charset="0"/>
                            <a:ea typeface="+mn-ea"/>
                            <a:cs typeface="+mn-cs"/>
                          </a:rPr>
                          <m:t>𝑎</m:t>
                        </m:r>
                      </m:num>
                      <m:den>
                        <m:r>
                          <a:rPr lang="en-GB" sz="1100" i="1">
                            <a:solidFill>
                              <a:schemeClr val="tx1"/>
                            </a:solidFill>
                            <a:effectLst/>
                            <a:latin typeface="Cambria Math" panose="02040503050406030204" pitchFamily="18" charset="0"/>
                            <a:ea typeface="+mn-ea"/>
                            <a:cs typeface="+mn-cs"/>
                          </a:rPr>
                          <m:t>𝑎</m:t>
                        </m:r>
                      </m:den>
                    </m:f>
                    <m:d>
                      <m:dPr>
                        <m:begChr m:val="["/>
                        <m:endChr m:val="]"/>
                        <m:ctrlPr>
                          <a:rPr lang="en-ZA" sz="1100" i="1">
                            <a:solidFill>
                              <a:schemeClr val="tx1"/>
                            </a:solidFill>
                            <a:effectLst/>
                            <a:latin typeface="Cambria Math" panose="02040503050406030204" pitchFamily="18" charset="0"/>
                            <a:ea typeface="+mn-ea"/>
                            <a:cs typeface="+mn-cs"/>
                          </a:rPr>
                        </m:ctrlPr>
                      </m:dPr>
                      <m:e>
                        <m:d>
                          <m:dPr>
                            <m:ctrlPr>
                              <a:rPr lang="en-ZA" sz="1100" i="1">
                                <a:solidFill>
                                  <a:schemeClr val="tx1"/>
                                </a:solidFill>
                                <a:effectLst/>
                                <a:latin typeface="Cambria Math" panose="02040503050406030204" pitchFamily="18" charset="0"/>
                                <a:ea typeface="+mn-ea"/>
                                <a:cs typeface="+mn-cs"/>
                              </a:rPr>
                            </m:ctrlPr>
                          </m:dPr>
                          <m:e>
                            <m:r>
                              <a:rPr lang="en-GB" sz="1100">
                                <a:solidFill>
                                  <a:schemeClr val="tx1"/>
                                </a:solidFill>
                                <a:effectLst/>
                                <a:latin typeface="Cambria Math" panose="02040503050406030204" pitchFamily="18" charset="0"/>
                                <a:ea typeface="+mn-ea"/>
                                <a:cs typeface="+mn-cs"/>
                              </a:rPr>
                              <m:t>1</m:t>
                            </m:r>
                            <m:r>
                              <a:rPr lang="en-GB" sz="1100" i="1">
                                <a:solidFill>
                                  <a:schemeClr val="tx1"/>
                                </a:solidFill>
                                <a:effectLst/>
                                <a:latin typeface="Cambria Math" panose="02040503050406030204" pitchFamily="18" charset="0"/>
                                <a:ea typeface="+mn-ea"/>
                                <a:cs typeface="+mn-cs"/>
                              </a:rPr>
                              <m:t>−</m:t>
                            </m:r>
                            <m:r>
                              <a:rPr lang="en-GB" sz="1100" i="1">
                                <a:solidFill>
                                  <a:schemeClr val="tx1"/>
                                </a:solidFill>
                                <a:effectLst/>
                                <a:latin typeface="Cambria Math" panose="02040503050406030204" pitchFamily="18" charset="0"/>
                                <a:ea typeface="+mn-ea"/>
                                <a:cs typeface="+mn-cs"/>
                              </a:rPr>
                              <m:t>𝑎</m:t>
                            </m:r>
                          </m:e>
                        </m:d>
                        <m:sSub>
                          <m:sSubPr>
                            <m:ctrlPr>
                              <a:rPr lang="en-ZA" sz="1100" i="1">
                                <a:solidFill>
                                  <a:schemeClr val="tx1"/>
                                </a:solidFill>
                                <a:effectLst/>
                                <a:latin typeface="Cambria Math" panose="02040503050406030204" pitchFamily="18" charset="0"/>
                                <a:ea typeface="+mn-ea"/>
                                <a:cs typeface="+mn-cs"/>
                              </a:rPr>
                            </m:ctrlPr>
                          </m:sSubPr>
                          <m:e>
                            <m:r>
                              <a:rPr lang="en-GB" sz="1100" i="1">
                                <a:solidFill>
                                  <a:schemeClr val="tx1"/>
                                </a:solidFill>
                                <a:effectLst/>
                                <a:latin typeface="Cambria Math" panose="02040503050406030204" pitchFamily="18" charset="0"/>
                                <a:ea typeface="+mn-ea"/>
                                <a:cs typeface="+mn-cs"/>
                              </a:rPr>
                              <m:t>𝜌</m:t>
                            </m:r>
                          </m:e>
                          <m:sub>
                            <m:r>
                              <a:rPr lang="en-GB" sz="1100" i="1">
                                <a:solidFill>
                                  <a:schemeClr val="tx1"/>
                                </a:solidFill>
                                <a:effectLst/>
                                <a:latin typeface="Cambria Math" panose="02040503050406030204" pitchFamily="18" charset="0"/>
                                <a:ea typeface="+mn-ea"/>
                                <a:cs typeface="+mn-cs"/>
                              </a:rPr>
                              <m:t>𝑚</m:t>
                            </m:r>
                          </m:sub>
                        </m:sSub>
                        <m:r>
                          <a:rPr lang="en-GB" sz="1100">
                            <a:solidFill>
                              <a:schemeClr val="tx1"/>
                            </a:solidFill>
                            <a:effectLst/>
                            <a:latin typeface="Cambria Math" panose="02040503050406030204" pitchFamily="18" charset="0"/>
                            <a:ea typeface="+mn-ea"/>
                            <a:cs typeface="+mn-cs"/>
                          </a:rPr>
                          <m:t>+</m:t>
                        </m:r>
                        <m:r>
                          <a:rPr lang="en-GB" sz="1100" i="1">
                            <a:solidFill>
                              <a:schemeClr val="tx1"/>
                            </a:solidFill>
                            <a:effectLst/>
                            <a:latin typeface="Cambria Math" panose="02040503050406030204" pitchFamily="18" charset="0"/>
                            <a:ea typeface="+mn-ea"/>
                            <a:cs typeface="+mn-cs"/>
                          </a:rPr>
                          <m:t>𝑎</m:t>
                        </m:r>
                        <m:sSub>
                          <m:sSubPr>
                            <m:ctrlPr>
                              <a:rPr lang="en-ZA" sz="1100" i="1">
                                <a:solidFill>
                                  <a:schemeClr val="tx1"/>
                                </a:solidFill>
                                <a:effectLst/>
                                <a:latin typeface="Cambria Math" panose="02040503050406030204" pitchFamily="18" charset="0"/>
                                <a:ea typeface="+mn-ea"/>
                                <a:cs typeface="+mn-cs"/>
                              </a:rPr>
                            </m:ctrlPr>
                          </m:sSubPr>
                          <m:e>
                            <m:r>
                              <a:rPr lang="en-GB" sz="1100" i="1">
                                <a:solidFill>
                                  <a:schemeClr val="tx1"/>
                                </a:solidFill>
                                <a:effectLst/>
                                <a:latin typeface="Cambria Math" panose="02040503050406030204" pitchFamily="18" charset="0"/>
                                <a:ea typeface="+mn-ea"/>
                                <a:cs typeface="+mn-cs"/>
                              </a:rPr>
                              <m:t>𝜌</m:t>
                            </m:r>
                          </m:e>
                          <m:sub>
                            <m:r>
                              <a:rPr lang="en-GB" sz="1100" i="1">
                                <a:solidFill>
                                  <a:schemeClr val="tx1"/>
                                </a:solidFill>
                                <a:effectLst/>
                                <a:latin typeface="Cambria Math" panose="02040503050406030204" pitchFamily="18" charset="0"/>
                                <a:ea typeface="+mn-ea"/>
                                <a:cs typeface="+mn-cs"/>
                              </a:rPr>
                              <m:t>𝑔</m:t>
                            </m:r>
                          </m:sub>
                        </m:sSub>
                      </m:e>
                    </m:d>
                    <m:r>
                      <m:rPr>
                        <m:nor/>
                      </m:rPr>
                      <a:rPr lang="en-ZA" sz="1100">
                        <a:effectLst/>
                      </a:rPr>
                      <m:t> </m:t>
                    </m:r>
                  </m:oMath>
                </m:oMathPara>
              </a14:m>
              <a:endParaRPr lang="en-ZA" sz="1100"/>
            </a:p>
          </xdr:txBody>
        </xdr:sp>
      </mc:Choice>
      <mc:Fallback xmlns="">
        <xdr:sp macro="" textlink="">
          <xdr:nvSpPr>
            <xdr:cNvPr id="3" name="TextBox 2">
              <a:extLst>
                <a:ext uri="{FF2B5EF4-FFF2-40B4-BE49-F238E27FC236}">
                  <a16:creationId xmlns:a16="http://schemas.microsoft.com/office/drawing/2014/main" id="{64AAB907-F868-3144-9379-E0B98CB2EA00}"/>
                </a:ext>
              </a:extLst>
            </xdr:cNvPr>
            <xdr:cNvSpPr txBox="1"/>
          </xdr:nvSpPr>
          <xdr:spPr>
            <a:xfrm>
              <a:off x="6649935" y="7522951"/>
              <a:ext cx="1997265" cy="317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GB" sz="1100" i="0">
                  <a:solidFill>
                    <a:schemeClr val="tx1"/>
                  </a:solidFill>
                  <a:effectLst/>
                  <a:latin typeface="Cambria Math" panose="02040503050406030204" pitchFamily="18" charset="0"/>
                  <a:ea typeface="+mn-ea"/>
                  <a:cs typeface="+mn-cs"/>
                </a:rPr>
                <a:t>𝑐=</a:t>
              </a:r>
              <a:r>
                <a:rPr lang="en-ZA" sz="1100" i="0">
                  <a:solidFill>
                    <a:schemeClr val="tx1"/>
                  </a:solidFill>
                  <a:effectLst/>
                  <a:latin typeface="Cambria Math" panose="02040503050406030204" pitchFamily="18" charset="0"/>
                  <a:ea typeface="+mn-ea"/>
                  <a:cs typeface="+mn-cs"/>
                </a:rPr>
                <a:t>(</a:t>
              </a:r>
              <a:r>
                <a:rPr lang="en-GB" sz="1100" i="0">
                  <a:solidFill>
                    <a:schemeClr val="tx1"/>
                  </a:solidFill>
                  <a:effectLst/>
                  <a:latin typeface="Cambria Math" panose="02040503050406030204" pitchFamily="18" charset="0"/>
                  <a:ea typeface="+mn-ea"/>
                  <a:cs typeface="+mn-cs"/>
                </a:rPr>
                <a:t>1−𝑎</a:t>
              </a:r>
              <a:r>
                <a:rPr lang="en-ZA" sz="1100" i="0">
                  <a:solidFill>
                    <a:schemeClr val="tx1"/>
                  </a:solidFill>
                  <a:effectLst/>
                  <a:latin typeface="Cambria Math" panose="02040503050406030204" pitchFamily="18" charset="0"/>
                  <a:ea typeface="+mn-ea"/>
                  <a:cs typeface="+mn-cs"/>
                </a:rPr>
                <a:t>)/</a:t>
              </a:r>
              <a:r>
                <a:rPr lang="en-GB" sz="1100" i="0">
                  <a:solidFill>
                    <a:schemeClr val="tx1"/>
                  </a:solidFill>
                  <a:effectLst/>
                  <a:latin typeface="Cambria Math" panose="02040503050406030204" pitchFamily="18" charset="0"/>
                  <a:ea typeface="+mn-ea"/>
                  <a:cs typeface="+mn-cs"/>
                </a:rPr>
                <a:t>𝑎</a:t>
              </a:r>
              <a:r>
                <a:rPr lang="en-ZA" sz="1100" i="0">
                  <a:solidFill>
                    <a:schemeClr val="tx1"/>
                  </a:solidFill>
                  <a:effectLst/>
                  <a:latin typeface="Cambria Math" panose="02040503050406030204" pitchFamily="18" charset="0"/>
                  <a:ea typeface="+mn-ea"/>
                  <a:cs typeface="+mn-cs"/>
                </a:rPr>
                <a:t> [(</a:t>
              </a:r>
              <a:r>
                <a:rPr lang="en-GB" sz="1100" i="0">
                  <a:solidFill>
                    <a:schemeClr val="tx1"/>
                  </a:solidFill>
                  <a:effectLst/>
                  <a:latin typeface="Cambria Math" panose="02040503050406030204" pitchFamily="18" charset="0"/>
                  <a:ea typeface="+mn-ea"/>
                  <a:cs typeface="+mn-cs"/>
                </a:rPr>
                <a:t>1−𝑎)</a:t>
              </a:r>
              <a:r>
                <a:rPr lang="en-ZA" sz="1100" i="0">
                  <a:solidFill>
                    <a:schemeClr val="tx1"/>
                  </a:solidFill>
                  <a:effectLst/>
                  <a:latin typeface="Cambria Math" panose="02040503050406030204" pitchFamily="18" charset="0"/>
                  <a:ea typeface="+mn-ea"/>
                  <a:cs typeface="+mn-cs"/>
                </a:rPr>
                <a:t> </a:t>
              </a:r>
              <a:r>
                <a:rPr lang="en-GB" sz="1100" i="0">
                  <a:solidFill>
                    <a:schemeClr val="tx1"/>
                  </a:solidFill>
                  <a:effectLst/>
                  <a:latin typeface="Cambria Math" panose="02040503050406030204" pitchFamily="18" charset="0"/>
                  <a:ea typeface="+mn-ea"/>
                  <a:cs typeface="+mn-cs"/>
                </a:rPr>
                <a:t>𝜌</a:t>
              </a:r>
              <a:r>
                <a:rPr lang="en-ZA" sz="1100" i="0">
                  <a:solidFill>
                    <a:schemeClr val="tx1"/>
                  </a:solidFill>
                  <a:effectLst/>
                  <a:latin typeface="Cambria Math" panose="02040503050406030204" pitchFamily="18" charset="0"/>
                  <a:ea typeface="+mn-ea"/>
                  <a:cs typeface="+mn-cs"/>
                </a:rPr>
                <a:t>_</a:t>
              </a:r>
              <a:r>
                <a:rPr lang="en-GB" sz="1100" i="0">
                  <a:solidFill>
                    <a:schemeClr val="tx1"/>
                  </a:solidFill>
                  <a:effectLst/>
                  <a:latin typeface="Cambria Math" panose="02040503050406030204" pitchFamily="18" charset="0"/>
                  <a:ea typeface="+mn-ea"/>
                  <a:cs typeface="+mn-cs"/>
                </a:rPr>
                <a:t>𝑚+𝑎𝜌</a:t>
              </a:r>
              <a:r>
                <a:rPr lang="en-ZA" sz="1100" i="0">
                  <a:solidFill>
                    <a:schemeClr val="tx1"/>
                  </a:solidFill>
                  <a:effectLst/>
                  <a:latin typeface="Cambria Math" panose="02040503050406030204" pitchFamily="18" charset="0"/>
                  <a:ea typeface="+mn-ea"/>
                  <a:cs typeface="+mn-cs"/>
                </a:rPr>
                <a:t>_</a:t>
              </a:r>
              <a:r>
                <a:rPr lang="en-GB" sz="1100" i="0">
                  <a:solidFill>
                    <a:schemeClr val="tx1"/>
                  </a:solidFill>
                  <a:effectLst/>
                  <a:latin typeface="Cambria Math" panose="02040503050406030204" pitchFamily="18" charset="0"/>
                  <a:ea typeface="+mn-ea"/>
                  <a:cs typeface="+mn-cs"/>
                </a:rPr>
                <a:t>𝑔 ]</a:t>
              </a:r>
              <a:r>
                <a:rPr lang="en-ZA" sz="1100" i="0">
                  <a:solidFill>
                    <a:schemeClr val="tx1"/>
                  </a:solidFill>
                  <a:effectLst/>
                  <a:latin typeface="Cambria Math" panose="02040503050406030204" pitchFamily="18" charset="0"/>
                  <a:ea typeface="+mn-ea"/>
                  <a:cs typeface="+mn-cs"/>
                </a:rPr>
                <a:t>"</a:t>
              </a:r>
              <a:r>
                <a:rPr lang="en-ZA" sz="1100" i="0">
                  <a:effectLst/>
                  <a:latin typeface="Cambria Math" panose="02040503050406030204" pitchFamily="18" charset="0"/>
                </a:rPr>
                <a:t> </a:t>
              </a:r>
              <a:r>
                <a:rPr lang="en-GB" sz="1100" i="0">
                  <a:effectLst/>
                </a:rPr>
                <a:t>"</a:t>
              </a:r>
              <a:endParaRPr lang="en-ZA" sz="1100"/>
            </a:p>
          </xdr:txBody>
        </xdr:sp>
      </mc:Fallback>
    </mc:AlternateContent>
    <xdr:clientData/>
  </xdr:oneCellAnchor>
  <xdr:oneCellAnchor>
    <xdr:from>
      <xdr:col>5</xdr:col>
      <xdr:colOff>239641</xdr:colOff>
      <xdr:row>53</xdr:row>
      <xdr:rowOff>98321</xdr:rowOff>
    </xdr:from>
    <xdr:ext cx="1358641" cy="346826"/>
    <mc:AlternateContent xmlns:mc="http://schemas.openxmlformats.org/markup-compatibility/2006" xmlns:a14="http://schemas.microsoft.com/office/drawing/2010/main">
      <mc:Choice Requires="a14">
        <xdr:sp macro="" textlink="">
          <xdr:nvSpPr>
            <xdr:cNvPr id="4" name="TextBox 3">
              <a:extLst>
                <a:ext uri="{FF2B5EF4-FFF2-40B4-BE49-F238E27FC236}">
                  <a16:creationId xmlns:a16="http://schemas.microsoft.com/office/drawing/2014/main" id="{CB5ED735-1C98-6F4A-85EE-63DE4D987D01}"/>
                </a:ext>
              </a:extLst>
            </xdr:cNvPr>
            <xdr:cNvSpPr txBox="1"/>
          </xdr:nvSpPr>
          <xdr:spPr>
            <a:xfrm>
              <a:off x="7034141" y="11756921"/>
              <a:ext cx="1358641" cy="34682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Sup>
                      <m:sSubSupPr>
                        <m:ctrlPr>
                          <a:rPr lang="en-ZA" sz="1100" b="0" i="1">
                            <a:latin typeface="Cambria Math" panose="02040503050406030204" pitchFamily="18" charset="0"/>
                          </a:rPr>
                        </m:ctrlPr>
                      </m:sSubSupPr>
                      <m:e>
                        <m:r>
                          <m:rPr>
                            <m:sty m:val="p"/>
                          </m:rPr>
                          <a:rPr lang="el-GR" sz="1100" b="0" i="1">
                            <a:latin typeface="Cambria Math" panose="02040503050406030204" pitchFamily="18" charset="0"/>
                          </a:rPr>
                          <m:t>σ</m:t>
                        </m:r>
                      </m:e>
                      <m:sub>
                        <m:r>
                          <a:rPr lang="en-US" sz="1100" b="0" i="1">
                            <a:latin typeface="Cambria Math" panose="02040503050406030204" pitchFamily="18" charset="0"/>
                          </a:rPr>
                          <m:t>𝑆𝐸</m:t>
                        </m:r>
                      </m:sub>
                      <m:sup>
                        <m:r>
                          <a:rPr lang="en-ZA" sz="1100" b="0" i="1">
                            <a:latin typeface="Cambria Math" panose="02040503050406030204" pitchFamily="18" charset="0"/>
                          </a:rPr>
                          <m:t>2</m:t>
                        </m:r>
                      </m:sup>
                    </m:sSubSup>
                    <m:r>
                      <a:rPr lang="en-US" sz="1100" b="0" i="1">
                        <a:latin typeface="Cambria Math" panose="02040503050406030204" pitchFamily="18" charset="0"/>
                      </a:rPr>
                      <m:t>=</m:t>
                    </m:r>
                    <m:r>
                      <a:rPr lang="en-US" sz="1100" b="0" i="1">
                        <a:latin typeface="Cambria Math" panose="02040503050406030204" pitchFamily="18" charset="0"/>
                      </a:rPr>
                      <m:t>𝐶</m:t>
                    </m:r>
                    <m:sSubSup>
                      <m:sSubSupPr>
                        <m:ctrlPr>
                          <a:rPr lang="en-US" sz="1100" b="0" i="1">
                            <a:latin typeface="Cambria Math" panose="02040503050406030204" pitchFamily="18" charset="0"/>
                          </a:rPr>
                        </m:ctrlPr>
                      </m:sSubSupPr>
                      <m:e>
                        <m:r>
                          <a:rPr lang="en-US" sz="1100" b="0" i="1">
                            <a:latin typeface="Cambria Math" panose="02040503050406030204" pitchFamily="18" charset="0"/>
                          </a:rPr>
                          <m:t>𝑑</m:t>
                        </m:r>
                      </m:e>
                      <m:sub>
                        <m:r>
                          <a:rPr lang="en-US" sz="1100" b="0" i="1">
                            <a:latin typeface="Cambria Math" panose="02040503050406030204" pitchFamily="18" charset="0"/>
                          </a:rPr>
                          <m:t>𝑖</m:t>
                        </m:r>
                      </m:sub>
                      <m:sup>
                        <m:r>
                          <a:rPr lang="en-US" sz="1100" b="0" i="1">
                            <a:latin typeface="Cambria Math" panose="02040503050406030204" pitchFamily="18" charset="0"/>
                          </a:rPr>
                          <m:t>3</m:t>
                        </m:r>
                      </m:sup>
                    </m:sSubSup>
                    <m:d>
                      <m:dPr>
                        <m:ctrlPr>
                          <a:rPr lang="en-US" sz="1100" b="0" i="1">
                            <a:latin typeface="Cambria Math" panose="02040503050406030204" pitchFamily="18" charset="0"/>
                          </a:rPr>
                        </m:ctrlPr>
                      </m:dPr>
                      <m:e>
                        <m:f>
                          <m:fPr>
                            <m:ctrlPr>
                              <a:rPr lang="en-US" sz="1100" b="0" i="1">
                                <a:latin typeface="Cambria Math" panose="02040503050406030204" pitchFamily="18" charset="0"/>
                              </a:rPr>
                            </m:ctrlPr>
                          </m:fPr>
                          <m:num>
                            <m:r>
                              <a:rPr lang="en-US" sz="1100" b="0" i="1">
                                <a:latin typeface="Cambria Math" panose="02040503050406030204" pitchFamily="18" charset="0"/>
                              </a:rPr>
                              <m:t>1</m:t>
                            </m:r>
                          </m:num>
                          <m:den>
                            <m:sSub>
                              <m:sSubPr>
                                <m:ctrlPr>
                                  <a:rPr lang="en-US" sz="1100" b="0" i="1">
                                    <a:latin typeface="Cambria Math" panose="02040503050406030204" pitchFamily="18" charset="0"/>
                                  </a:rPr>
                                </m:ctrlPr>
                              </m:sSubPr>
                              <m:e>
                                <m:r>
                                  <m:rPr>
                                    <m:sty m:val="p"/>
                                  </m:rPr>
                                  <a:rPr lang="en-US" sz="1100" b="0" i="0">
                                    <a:latin typeface="Cambria Math" panose="02040503050406030204" pitchFamily="18" charset="0"/>
                                  </a:rPr>
                                  <m:t>M</m:t>
                                </m:r>
                              </m:e>
                              <m:sub>
                                <m:r>
                                  <m:rPr>
                                    <m:sty m:val="p"/>
                                  </m:rPr>
                                  <a:rPr lang="en-US" sz="1100" b="0" i="0">
                                    <a:latin typeface="Cambria Math" panose="02040503050406030204" pitchFamily="18" charset="0"/>
                                  </a:rPr>
                                  <m:t>S</m:t>
                                </m:r>
                              </m:sub>
                            </m:sSub>
                          </m:den>
                        </m:f>
                        <m:r>
                          <a:rPr lang="en-US" sz="1100" b="0" i="0">
                            <a:latin typeface="Cambria Math" panose="02040503050406030204" pitchFamily="18" charset="0"/>
                          </a:rPr>
                          <m:t>−</m:t>
                        </m:r>
                        <m:f>
                          <m:fPr>
                            <m:ctrlPr>
                              <a:rPr lang="en-US" sz="1100" b="0" i="1">
                                <a:latin typeface="Cambria Math" panose="02040503050406030204" pitchFamily="18" charset="0"/>
                              </a:rPr>
                            </m:ctrlPr>
                          </m:fPr>
                          <m:num>
                            <m:r>
                              <a:rPr lang="en-US" sz="1100" b="0" i="0">
                                <a:latin typeface="Cambria Math" panose="02040503050406030204" pitchFamily="18" charset="0"/>
                              </a:rPr>
                              <m:t>1</m:t>
                            </m:r>
                          </m:num>
                          <m:den>
                            <m:sSub>
                              <m:sSubPr>
                                <m:ctrlPr>
                                  <a:rPr lang="en-US" sz="1100" b="0" i="1">
                                    <a:latin typeface="Cambria Math" panose="02040503050406030204" pitchFamily="18" charset="0"/>
                                  </a:rPr>
                                </m:ctrlPr>
                              </m:sSubPr>
                              <m:e>
                                <m:r>
                                  <m:rPr>
                                    <m:sty m:val="p"/>
                                  </m:rPr>
                                  <a:rPr lang="en-US" sz="1100" b="0" i="0">
                                    <a:latin typeface="Cambria Math" panose="02040503050406030204" pitchFamily="18" charset="0"/>
                                  </a:rPr>
                                  <m:t>M</m:t>
                                </m:r>
                              </m:e>
                              <m:sub>
                                <m:r>
                                  <m:rPr>
                                    <m:sty m:val="p"/>
                                  </m:rPr>
                                  <a:rPr lang="en-US" sz="1100" b="0" i="0">
                                    <a:latin typeface="Cambria Math" panose="02040503050406030204" pitchFamily="18" charset="0"/>
                                  </a:rPr>
                                  <m:t>L</m:t>
                                </m:r>
                              </m:sub>
                            </m:sSub>
                          </m:den>
                        </m:f>
                      </m:e>
                    </m:d>
                  </m:oMath>
                </m:oMathPara>
              </a14:m>
              <a:endParaRPr lang="en-US" sz="1100"/>
            </a:p>
          </xdr:txBody>
        </xdr:sp>
      </mc:Choice>
      <mc:Fallback xmlns="">
        <xdr:sp macro="" textlink="">
          <xdr:nvSpPr>
            <xdr:cNvPr id="4" name="TextBox 3">
              <a:extLst>
                <a:ext uri="{FF2B5EF4-FFF2-40B4-BE49-F238E27FC236}">
                  <a16:creationId xmlns:a16="http://schemas.microsoft.com/office/drawing/2014/main" id="{CB5ED735-1C98-6F4A-85EE-63DE4D987D01}"/>
                </a:ext>
              </a:extLst>
            </xdr:cNvPr>
            <xdr:cNvSpPr txBox="1"/>
          </xdr:nvSpPr>
          <xdr:spPr>
            <a:xfrm>
              <a:off x="7034141" y="11756921"/>
              <a:ext cx="1358641" cy="34682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l-GR" sz="1100" b="0" i="0">
                  <a:latin typeface="Cambria Math" panose="02040503050406030204" pitchFamily="18" charset="0"/>
                </a:rPr>
                <a:t>σ</a:t>
              </a:r>
              <a:r>
                <a:rPr lang="en-ZA" sz="1100" b="0" i="0">
                  <a:latin typeface="Cambria Math" panose="02040503050406030204" pitchFamily="18" charset="0"/>
                </a:rPr>
                <a:t>_</a:t>
              </a:r>
              <a:r>
                <a:rPr lang="en-US" sz="1100" b="0" i="0">
                  <a:latin typeface="Cambria Math" panose="02040503050406030204" pitchFamily="18" charset="0"/>
                </a:rPr>
                <a:t>𝑆𝐸^</a:t>
              </a:r>
              <a:r>
                <a:rPr lang="en-ZA" sz="1100" b="0" i="0">
                  <a:latin typeface="Cambria Math" panose="02040503050406030204" pitchFamily="18" charset="0"/>
                </a:rPr>
                <a:t>2</a:t>
              </a:r>
              <a:r>
                <a:rPr lang="en-US" sz="1100" b="0" i="0">
                  <a:latin typeface="Cambria Math" panose="02040503050406030204" pitchFamily="18" charset="0"/>
                </a:rPr>
                <a:t>=𝐶𝑑_𝑖^3 (1/M_S −1/M_L )</a:t>
              </a:r>
              <a:endParaRPr lang="en-US" sz="1100"/>
            </a:p>
          </xdr:txBody>
        </xdr:sp>
      </mc:Fallback>
    </mc:AlternateContent>
    <xdr:clientData/>
  </xdr:oneCellAnchor>
  <xdr:oneCellAnchor>
    <xdr:from>
      <xdr:col>2</xdr:col>
      <xdr:colOff>250825</xdr:colOff>
      <xdr:row>6</xdr:row>
      <xdr:rowOff>44831</xdr:rowOff>
    </xdr:from>
    <xdr:ext cx="1960930" cy="905443"/>
    <xdr:pic>
      <xdr:nvPicPr>
        <xdr:cNvPr id="5" name="Picture 4">
          <a:extLst>
            <a:ext uri="{FF2B5EF4-FFF2-40B4-BE49-F238E27FC236}">
              <a16:creationId xmlns:a16="http://schemas.microsoft.com/office/drawing/2014/main" id="{A47C96E1-A5A0-FB4A-8E93-4727702558FB}"/>
            </a:ext>
          </a:extLst>
        </xdr:cNvPr>
        <xdr:cNvPicPr>
          <a:picLocks noChangeAspect="1"/>
        </xdr:cNvPicPr>
      </xdr:nvPicPr>
      <xdr:blipFill rotWithShape="1">
        <a:blip xmlns:r="http://schemas.openxmlformats.org/officeDocument/2006/relationships" r:embed="rId1"/>
        <a:srcRect r="41112"/>
        <a:stretch/>
      </xdr:blipFill>
      <xdr:spPr>
        <a:xfrm>
          <a:off x="3514725" y="1924431"/>
          <a:ext cx="1960930" cy="905443"/>
        </a:xfrm>
        <a:prstGeom prst="rect">
          <a:avLst/>
        </a:prstGeom>
      </xdr:spPr>
    </xdr:pic>
    <xdr:clientData/>
  </xdr:oneCellAnchor>
  <xdr:oneCellAnchor>
    <xdr:from>
      <xdr:col>5</xdr:col>
      <xdr:colOff>155322</xdr:colOff>
      <xdr:row>63</xdr:row>
      <xdr:rowOff>54172</xdr:rowOff>
    </xdr:from>
    <xdr:ext cx="1112805" cy="500137"/>
    <mc:AlternateContent xmlns:mc="http://schemas.openxmlformats.org/markup-compatibility/2006" xmlns:a14="http://schemas.microsoft.com/office/drawing/2010/main">
      <mc:Choice Requires="a14">
        <xdr:sp macro="" textlink="">
          <xdr:nvSpPr>
            <xdr:cNvPr id="6" name="TextBox 5">
              <a:extLst>
                <a:ext uri="{FF2B5EF4-FFF2-40B4-BE49-F238E27FC236}">
                  <a16:creationId xmlns:a16="http://schemas.microsoft.com/office/drawing/2014/main" id="{B1CD7E45-A5F7-F547-98D2-17E341350E28}"/>
                </a:ext>
              </a:extLst>
            </xdr:cNvPr>
            <xdr:cNvSpPr txBox="1"/>
          </xdr:nvSpPr>
          <xdr:spPr>
            <a:xfrm>
              <a:off x="6949822" y="13693972"/>
              <a:ext cx="1112805" cy="5001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100" b="0" i="1">
                            <a:solidFill>
                              <a:schemeClr val="tx1"/>
                            </a:solidFill>
                            <a:effectLst/>
                            <a:latin typeface="Cambria Math" panose="02040503050406030204" pitchFamily="18" charset="0"/>
                            <a:ea typeface="+mn-ea"/>
                            <a:cs typeface="+mn-cs"/>
                          </a:rPr>
                        </m:ctrlPr>
                      </m:sSubPr>
                      <m:e>
                        <m:r>
                          <a:rPr lang="en-GB" sz="1100" i="1">
                            <a:solidFill>
                              <a:schemeClr val="tx1"/>
                            </a:solidFill>
                            <a:effectLst/>
                            <a:latin typeface="Cambria Math" panose="02040503050406030204" pitchFamily="18" charset="0"/>
                            <a:ea typeface="+mn-ea"/>
                            <a:cs typeface="+mn-cs"/>
                          </a:rPr>
                          <m:t>𝜎</m:t>
                        </m:r>
                      </m:e>
                      <m:sub>
                        <m:r>
                          <a:rPr lang="en-US" sz="1100" b="0" i="1">
                            <a:solidFill>
                              <a:schemeClr val="tx1"/>
                            </a:solidFill>
                            <a:effectLst/>
                            <a:latin typeface="Cambria Math" panose="02040503050406030204" pitchFamily="18" charset="0"/>
                            <a:ea typeface="+mn-ea"/>
                            <a:cs typeface="+mn-cs"/>
                          </a:rPr>
                          <m:t>𝐴𝐸</m:t>
                        </m:r>
                      </m:sub>
                    </m:sSub>
                    <m:r>
                      <a:rPr lang="en-GB" sz="1100">
                        <a:solidFill>
                          <a:schemeClr val="tx1"/>
                        </a:solidFill>
                        <a:effectLst/>
                        <a:latin typeface="Cambria Math" panose="02040503050406030204" pitchFamily="18" charset="0"/>
                        <a:ea typeface="+mn-ea"/>
                        <a:cs typeface="+mn-cs"/>
                      </a:rPr>
                      <m:t>=</m:t>
                    </m:r>
                    <m:rad>
                      <m:radPr>
                        <m:degHide m:val="on"/>
                        <m:ctrlPr>
                          <a:rPr lang="en-ZA" sz="1100" i="1">
                            <a:solidFill>
                              <a:schemeClr val="tx1"/>
                            </a:solidFill>
                            <a:effectLst/>
                            <a:latin typeface="Cambria Math" panose="02040503050406030204" pitchFamily="18" charset="0"/>
                            <a:ea typeface="+mn-ea"/>
                            <a:cs typeface="+mn-cs"/>
                          </a:rPr>
                        </m:ctrlPr>
                      </m:radPr>
                      <m:deg/>
                      <m:e>
                        <m:f>
                          <m:fPr>
                            <m:ctrlPr>
                              <a:rPr lang="en-ZA" sz="1100" i="1">
                                <a:solidFill>
                                  <a:schemeClr val="tx1"/>
                                </a:solidFill>
                                <a:effectLst/>
                                <a:latin typeface="Cambria Math" panose="02040503050406030204" pitchFamily="18" charset="0"/>
                                <a:ea typeface="+mn-ea"/>
                                <a:cs typeface="+mn-cs"/>
                              </a:rPr>
                            </m:ctrlPr>
                          </m:fPr>
                          <m:num>
                            <m:r>
                              <a:rPr lang="en-GB" sz="1100" i="1">
                                <a:solidFill>
                                  <a:schemeClr val="tx1"/>
                                </a:solidFill>
                                <a:effectLst/>
                                <a:latin typeface="Cambria Math" panose="02040503050406030204" pitchFamily="18" charset="0"/>
                                <a:ea typeface="+mn-ea"/>
                                <a:cs typeface="+mn-cs"/>
                              </a:rPr>
                              <m:t>𝑝</m:t>
                            </m:r>
                            <m:d>
                              <m:dPr>
                                <m:ctrlPr>
                                  <a:rPr lang="en-ZA" sz="1100" i="1">
                                    <a:solidFill>
                                      <a:schemeClr val="tx1"/>
                                    </a:solidFill>
                                    <a:effectLst/>
                                    <a:latin typeface="Cambria Math" panose="02040503050406030204" pitchFamily="18" charset="0"/>
                                    <a:ea typeface="+mn-ea"/>
                                    <a:cs typeface="+mn-cs"/>
                                  </a:rPr>
                                </m:ctrlPr>
                              </m:dPr>
                              <m:e>
                                <m:r>
                                  <a:rPr lang="en-GB" sz="1100">
                                    <a:solidFill>
                                      <a:schemeClr val="tx1"/>
                                    </a:solidFill>
                                    <a:effectLst/>
                                    <a:latin typeface="Cambria Math" panose="02040503050406030204" pitchFamily="18" charset="0"/>
                                    <a:ea typeface="+mn-ea"/>
                                    <a:cs typeface="+mn-cs"/>
                                  </a:rPr>
                                  <m:t>1</m:t>
                                </m:r>
                                <m:r>
                                  <a:rPr lang="en-GB" sz="1100" i="1">
                                    <a:solidFill>
                                      <a:schemeClr val="tx1"/>
                                    </a:solidFill>
                                    <a:effectLst/>
                                    <a:latin typeface="Cambria Math" panose="02040503050406030204" pitchFamily="18" charset="0"/>
                                    <a:ea typeface="+mn-ea"/>
                                    <a:cs typeface="+mn-cs"/>
                                  </a:rPr>
                                  <m:t>−</m:t>
                                </m:r>
                                <m:r>
                                  <a:rPr lang="en-GB" sz="1100" i="1">
                                    <a:solidFill>
                                      <a:schemeClr val="tx1"/>
                                    </a:solidFill>
                                    <a:effectLst/>
                                    <a:latin typeface="Cambria Math" panose="02040503050406030204" pitchFamily="18" charset="0"/>
                                    <a:ea typeface="+mn-ea"/>
                                    <a:cs typeface="+mn-cs"/>
                                  </a:rPr>
                                  <m:t>𝑝</m:t>
                                </m:r>
                              </m:e>
                            </m:d>
                          </m:num>
                          <m:den>
                            <m:r>
                              <a:rPr lang="en-GB" sz="1100" i="1">
                                <a:solidFill>
                                  <a:schemeClr val="tx1"/>
                                </a:solidFill>
                                <a:effectLst/>
                                <a:latin typeface="Cambria Math" panose="02040503050406030204" pitchFamily="18" charset="0"/>
                                <a:ea typeface="+mn-ea"/>
                                <a:cs typeface="+mn-cs"/>
                              </a:rPr>
                              <m:t>𝑁</m:t>
                            </m:r>
                          </m:den>
                        </m:f>
                      </m:e>
                    </m:rad>
                    <m:r>
                      <m:rPr>
                        <m:nor/>
                      </m:rPr>
                      <a:rPr lang="en-ZA">
                        <a:effectLst/>
                      </a:rPr>
                      <m:t> </m:t>
                    </m:r>
                  </m:oMath>
                </m:oMathPara>
              </a14:m>
              <a:endParaRPr lang="en-GB" sz="1100"/>
            </a:p>
          </xdr:txBody>
        </xdr:sp>
      </mc:Choice>
      <mc:Fallback xmlns="">
        <xdr:sp macro="" textlink="">
          <xdr:nvSpPr>
            <xdr:cNvPr id="6" name="TextBox 5">
              <a:extLst>
                <a:ext uri="{FF2B5EF4-FFF2-40B4-BE49-F238E27FC236}">
                  <a16:creationId xmlns:a16="http://schemas.microsoft.com/office/drawing/2014/main" id="{B1CD7E45-A5F7-F547-98D2-17E341350E28}"/>
                </a:ext>
              </a:extLst>
            </xdr:cNvPr>
            <xdr:cNvSpPr txBox="1"/>
          </xdr:nvSpPr>
          <xdr:spPr>
            <a:xfrm>
              <a:off x="6949822" y="13693972"/>
              <a:ext cx="1112805" cy="5001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GB" sz="1100" i="0">
                  <a:solidFill>
                    <a:schemeClr val="tx1"/>
                  </a:solidFill>
                  <a:effectLst/>
                  <a:latin typeface="Cambria Math" panose="02040503050406030204" pitchFamily="18" charset="0"/>
                  <a:ea typeface="+mn-ea"/>
                  <a:cs typeface="+mn-cs"/>
                </a:rPr>
                <a:t>𝜎</a:t>
              </a:r>
              <a:r>
                <a:rPr lang="en-US" sz="1100" b="0" i="0">
                  <a:solidFill>
                    <a:schemeClr val="tx1"/>
                  </a:solidFill>
                  <a:effectLst/>
                  <a:latin typeface="Cambria Math" panose="02040503050406030204" pitchFamily="18" charset="0"/>
                  <a:ea typeface="+mn-ea"/>
                  <a:cs typeface="+mn-cs"/>
                </a:rPr>
                <a:t>_𝐴𝐸</a:t>
              </a:r>
              <a:r>
                <a:rPr lang="en-GB" sz="1100" i="0">
                  <a:solidFill>
                    <a:schemeClr val="tx1"/>
                  </a:solidFill>
                  <a:effectLst/>
                  <a:latin typeface="Cambria Math" panose="02040503050406030204" pitchFamily="18" charset="0"/>
                  <a:ea typeface="+mn-ea"/>
                  <a:cs typeface="+mn-cs"/>
                </a:rPr>
                <a:t>=</a:t>
              </a:r>
              <a:r>
                <a:rPr lang="en-ZA" sz="1100" i="0">
                  <a:solidFill>
                    <a:schemeClr val="tx1"/>
                  </a:solidFill>
                  <a:effectLst/>
                  <a:latin typeface="Cambria Math" panose="02040503050406030204" pitchFamily="18" charset="0"/>
                  <a:ea typeface="+mn-ea"/>
                  <a:cs typeface="+mn-cs"/>
                </a:rPr>
                <a:t>√(</a:t>
              </a:r>
              <a:r>
                <a:rPr lang="en-GB" sz="1100" i="0">
                  <a:solidFill>
                    <a:schemeClr val="tx1"/>
                  </a:solidFill>
                  <a:effectLst/>
                  <a:latin typeface="Cambria Math" panose="02040503050406030204" pitchFamily="18" charset="0"/>
                  <a:ea typeface="+mn-ea"/>
                  <a:cs typeface="+mn-cs"/>
                </a:rPr>
                <a:t>𝑝</a:t>
              </a:r>
              <a:r>
                <a:rPr lang="en-ZA" sz="1100" i="0">
                  <a:solidFill>
                    <a:schemeClr val="tx1"/>
                  </a:solidFill>
                  <a:effectLst/>
                  <a:latin typeface="Cambria Math" panose="02040503050406030204" pitchFamily="18" charset="0"/>
                  <a:ea typeface="+mn-ea"/>
                  <a:cs typeface="+mn-cs"/>
                </a:rPr>
                <a:t>(</a:t>
              </a:r>
              <a:r>
                <a:rPr lang="en-GB" sz="1100" i="0">
                  <a:solidFill>
                    <a:schemeClr val="tx1"/>
                  </a:solidFill>
                  <a:effectLst/>
                  <a:latin typeface="Cambria Math" panose="02040503050406030204" pitchFamily="18" charset="0"/>
                  <a:ea typeface="+mn-ea"/>
                  <a:cs typeface="+mn-cs"/>
                </a:rPr>
                <a:t>1−𝑝)</a:t>
              </a:r>
              <a:r>
                <a:rPr lang="en-ZA" sz="1100" i="0">
                  <a:solidFill>
                    <a:schemeClr val="tx1"/>
                  </a:solidFill>
                  <a:effectLst/>
                  <a:latin typeface="Cambria Math" panose="02040503050406030204" pitchFamily="18" charset="0"/>
                  <a:ea typeface="+mn-ea"/>
                  <a:cs typeface="+mn-cs"/>
                </a:rPr>
                <a:t>/</a:t>
              </a:r>
              <a:r>
                <a:rPr lang="en-GB" sz="1100" i="0">
                  <a:solidFill>
                    <a:schemeClr val="tx1"/>
                  </a:solidFill>
                  <a:effectLst/>
                  <a:latin typeface="Cambria Math" panose="02040503050406030204" pitchFamily="18" charset="0"/>
                  <a:ea typeface="+mn-ea"/>
                  <a:cs typeface="+mn-cs"/>
                </a:rPr>
                <a:t>𝑁</a:t>
              </a:r>
              <a:r>
                <a:rPr lang="en-ZA" sz="1100" i="0">
                  <a:solidFill>
                    <a:schemeClr val="tx1"/>
                  </a:solidFill>
                  <a:effectLst/>
                  <a:latin typeface="Cambria Math" panose="02040503050406030204" pitchFamily="18" charset="0"/>
                  <a:ea typeface="+mn-ea"/>
                  <a:cs typeface="+mn-cs"/>
                </a:rPr>
                <a:t>) "</a:t>
              </a:r>
              <a:r>
                <a:rPr lang="en-ZA" i="0">
                  <a:effectLst/>
                  <a:latin typeface="Cambria Math" panose="02040503050406030204" pitchFamily="18" charset="0"/>
                </a:rPr>
                <a:t> </a:t>
              </a:r>
              <a:r>
                <a:rPr lang="en-GB" i="0">
                  <a:effectLst/>
                </a:rPr>
                <a:t>"</a:t>
              </a:r>
              <a:endParaRPr lang="en-GB" sz="1100"/>
            </a:p>
          </xdr:txBody>
        </xdr:sp>
      </mc:Fallback>
    </mc:AlternateContent>
    <xdr:clientData/>
  </xdr:oneCellAnchor>
  <xdr:oneCellAnchor>
    <xdr:from>
      <xdr:col>5</xdr:col>
      <xdr:colOff>222756</xdr:colOff>
      <xdr:row>67</xdr:row>
      <xdr:rowOff>76649</xdr:rowOff>
    </xdr:from>
    <xdr:ext cx="1027782" cy="344453"/>
    <mc:AlternateContent xmlns:mc="http://schemas.openxmlformats.org/markup-compatibility/2006" xmlns:a14="http://schemas.microsoft.com/office/drawing/2010/main">
      <mc:Choice Requires="a14">
        <xdr:sp macro="" textlink="">
          <xdr:nvSpPr>
            <xdr:cNvPr id="7" name="TextBox 6">
              <a:extLst>
                <a:ext uri="{FF2B5EF4-FFF2-40B4-BE49-F238E27FC236}">
                  <a16:creationId xmlns:a16="http://schemas.microsoft.com/office/drawing/2014/main" id="{67A0BD1A-F632-1247-8005-CA7EF5F40C16}"/>
                </a:ext>
              </a:extLst>
            </xdr:cNvPr>
            <xdr:cNvSpPr txBox="1"/>
          </xdr:nvSpPr>
          <xdr:spPr>
            <a:xfrm>
              <a:off x="7017256" y="14478449"/>
              <a:ext cx="1027782"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100" b="0" i="1">
                            <a:latin typeface="Cambria Math" panose="02040503050406030204" pitchFamily="18" charset="0"/>
                            <a:ea typeface="Cambria Math" panose="02040503050406030204" pitchFamily="18" charset="0"/>
                          </a:rPr>
                        </m:ctrlPr>
                      </m:sSubPr>
                      <m:e>
                        <m:r>
                          <a:rPr lang="en-GB" sz="1100" i="1">
                            <a:latin typeface="Cambria Math" panose="02040503050406030204" pitchFamily="18" charset="0"/>
                            <a:ea typeface="Cambria Math" panose="02040503050406030204" pitchFamily="18" charset="0"/>
                          </a:rPr>
                          <m:t>𝜎</m:t>
                        </m:r>
                      </m:e>
                      <m:sub>
                        <m:r>
                          <a:rPr lang="en-US" sz="1100" b="0" i="1">
                            <a:latin typeface="Cambria Math" panose="02040503050406030204" pitchFamily="18" charset="0"/>
                            <a:ea typeface="Cambria Math" panose="02040503050406030204" pitchFamily="18" charset="0"/>
                          </a:rPr>
                          <m:t>𝑡</m:t>
                        </m:r>
                      </m:sub>
                    </m:sSub>
                    <m:r>
                      <a:rPr lang="en-US" sz="1100" b="0" i="1">
                        <a:latin typeface="Cambria Math" panose="02040503050406030204" pitchFamily="18" charset="0"/>
                        <a:ea typeface="Cambria Math" panose="02040503050406030204" pitchFamily="18" charset="0"/>
                      </a:rPr>
                      <m:t>=</m:t>
                    </m:r>
                    <m:rad>
                      <m:radPr>
                        <m:degHide m:val="on"/>
                        <m:ctrlPr>
                          <a:rPr lang="en-US" sz="1100" b="0" i="1">
                            <a:latin typeface="Cambria Math" panose="02040503050406030204" pitchFamily="18" charset="0"/>
                            <a:ea typeface="Cambria Math" panose="02040503050406030204" pitchFamily="18" charset="0"/>
                          </a:rPr>
                        </m:ctrlPr>
                      </m:radPr>
                      <m:deg/>
                      <m:e>
                        <m:sSubSup>
                          <m:sSubSupPr>
                            <m:ctrlPr>
                              <a:rPr lang="en-US" sz="1100" b="0" i="1">
                                <a:latin typeface="Cambria Math" panose="02040503050406030204" pitchFamily="18" charset="0"/>
                                <a:ea typeface="Cambria Math" panose="02040503050406030204" pitchFamily="18" charset="0"/>
                              </a:rPr>
                            </m:ctrlPr>
                          </m:sSubSupPr>
                          <m:e>
                            <m:r>
                              <a:rPr lang="en-US" sz="1100" b="0" i="1">
                                <a:latin typeface="Cambria Math" panose="02040503050406030204" pitchFamily="18" charset="0"/>
                                <a:ea typeface="Cambria Math" panose="02040503050406030204" pitchFamily="18" charset="0"/>
                              </a:rPr>
                              <m:t>𝜎</m:t>
                            </m:r>
                          </m:e>
                          <m:sub>
                            <m:r>
                              <a:rPr lang="en-US" sz="1100" b="0" i="1">
                                <a:latin typeface="Cambria Math" panose="02040503050406030204" pitchFamily="18" charset="0"/>
                                <a:ea typeface="Cambria Math" panose="02040503050406030204" pitchFamily="18" charset="0"/>
                              </a:rPr>
                              <m:t>𝐴𝐸</m:t>
                            </m:r>
                          </m:sub>
                          <m:sup>
                            <m:r>
                              <a:rPr lang="en-US" sz="1100" b="0" i="1">
                                <a:latin typeface="Cambria Math" panose="02040503050406030204" pitchFamily="18" charset="0"/>
                                <a:ea typeface="Cambria Math" panose="02040503050406030204" pitchFamily="18" charset="0"/>
                              </a:rPr>
                              <m:t>2</m:t>
                            </m:r>
                          </m:sup>
                        </m:sSubSup>
                        <m:r>
                          <a:rPr lang="en-US" sz="1100" b="0" i="1">
                            <a:latin typeface="Cambria Math" panose="02040503050406030204" pitchFamily="18" charset="0"/>
                            <a:ea typeface="Cambria Math" panose="02040503050406030204" pitchFamily="18" charset="0"/>
                          </a:rPr>
                          <m:t>+</m:t>
                        </m:r>
                        <m:sSubSup>
                          <m:sSubSupPr>
                            <m:ctrlPr>
                              <a:rPr lang="en-US" sz="1100" b="0" i="1">
                                <a:latin typeface="Cambria Math" panose="02040503050406030204" pitchFamily="18" charset="0"/>
                                <a:ea typeface="Cambria Math" panose="02040503050406030204" pitchFamily="18" charset="0"/>
                              </a:rPr>
                            </m:ctrlPr>
                          </m:sSubSupPr>
                          <m:e>
                            <m:r>
                              <a:rPr lang="en-US" sz="1100" b="0" i="1">
                                <a:latin typeface="Cambria Math" panose="02040503050406030204" pitchFamily="18" charset="0"/>
                                <a:ea typeface="Cambria Math" panose="02040503050406030204" pitchFamily="18" charset="0"/>
                              </a:rPr>
                              <m:t>𝜎</m:t>
                            </m:r>
                          </m:e>
                          <m:sub>
                            <m:r>
                              <a:rPr lang="en-US" sz="1100" b="0" i="1">
                                <a:latin typeface="Cambria Math" panose="02040503050406030204" pitchFamily="18" charset="0"/>
                                <a:ea typeface="Cambria Math" panose="02040503050406030204" pitchFamily="18" charset="0"/>
                              </a:rPr>
                              <m:t>𝑆𝐸</m:t>
                            </m:r>
                          </m:sub>
                          <m:sup>
                            <m:r>
                              <a:rPr lang="en-US" sz="1100" b="0" i="1">
                                <a:latin typeface="Cambria Math" panose="02040503050406030204" pitchFamily="18" charset="0"/>
                                <a:ea typeface="Cambria Math" panose="02040503050406030204" pitchFamily="18" charset="0"/>
                              </a:rPr>
                              <m:t>2</m:t>
                            </m:r>
                          </m:sup>
                        </m:sSubSup>
                      </m:e>
                    </m:rad>
                  </m:oMath>
                </m:oMathPara>
              </a14:m>
              <a:endParaRPr lang="en-GB" sz="1100"/>
            </a:p>
          </xdr:txBody>
        </xdr:sp>
      </mc:Choice>
      <mc:Fallback xmlns="">
        <xdr:sp macro="" textlink="">
          <xdr:nvSpPr>
            <xdr:cNvPr id="7" name="TextBox 6">
              <a:extLst>
                <a:ext uri="{FF2B5EF4-FFF2-40B4-BE49-F238E27FC236}">
                  <a16:creationId xmlns:a16="http://schemas.microsoft.com/office/drawing/2014/main" id="{67A0BD1A-F632-1247-8005-CA7EF5F40C16}"/>
                </a:ext>
              </a:extLst>
            </xdr:cNvPr>
            <xdr:cNvSpPr txBox="1"/>
          </xdr:nvSpPr>
          <xdr:spPr>
            <a:xfrm>
              <a:off x="7017256" y="14478449"/>
              <a:ext cx="1027782"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GB" sz="1100" i="0">
                  <a:latin typeface="Cambria Math" panose="02040503050406030204" pitchFamily="18" charset="0"/>
                  <a:ea typeface="Cambria Math" panose="02040503050406030204" pitchFamily="18" charset="0"/>
                </a:rPr>
                <a:t>𝜎</a:t>
              </a:r>
              <a:r>
                <a:rPr lang="en-US" sz="1100" b="0" i="0">
                  <a:latin typeface="Cambria Math" panose="02040503050406030204" pitchFamily="18" charset="0"/>
                  <a:ea typeface="Cambria Math" panose="02040503050406030204" pitchFamily="18" charset="0"/>
                </a:rPr>
                <a:t>_𝑡=√(𝜎_𝐴𝐸^2+𝜎_𝑆𝐸^2 )</a:t>
              </a:r>
              <a:endParaRPr lang="en-GB" sz="1100"/>
            </a:p>
          </xdr:txBody>
        </xdr:sp>
      </mc:Fallback>
    </mc:AlternateContent>
    <xdr:clientData/>
  </xdr:oneCellAnchor>
  <xdr:oneCellAnchor>
    <xdr:from>
      <xdr:col>5</xdr:col>
      <xdr:colOff>552408</xdr:colOff>
      <xdr:row>19</xdr:row>
      <xdr:rowOff>191665</xdr:rowOff>
    </xdr:from>
    <xdr:ext cx="657103" cy="386901"/>
    <mc:AlternateContent xmlns:mc="http://schemas.openxmlformats.org/markup-compatibility/2006" xmlns:a14="http://schemas.microsoft.com/office/drawing/2010/main">
      <mc:Choice Requires="a14">
        <xdr:sp macro="" textlink="">
          <xdr:nvSpPr>
            <xdr:cNvPr id="8" name="TextBox 7">
              <a:extLst>
                <a:ext uri="{FF2B5EF4-FFF2-40B4-BE49-F238E27FC236}">
                  <a16:creationId xmlns:a16="http://schemas.microsoft.com/office/drawing/2014/main" id="{8C5DD161-8E01-E34D-8A23-AE202DDF501F}"/>
                </a:ext>
              </a:extLst>
            </xdr:cNvPr>
            <xdr:cNvSpPr txBox="1"/>
          </xdr:nvSpPr>
          <xdr:spPr>
            <a:xfrm>
              <a:off x="7346908" y="4789065"/>
              <a:ext cx="657103" cy="3869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GB" sz="1100" i="1">
                        <a:solidFill>
                          <a:schemeClr val="tx1"/>
                        </a:solidFill>
                        <a:effectLst/>
                        <a:latin typeface="Cambria Math" panose="02040503050406030204" pitchFamily="18" charset="0"/>
                        <a:ea typeface="+mn-ea"/>
                        <a:cs typeface="+mn-cs"/>
                      </a:rPr>
                      <m:t>𝑙</m:t>
                    </m:r>
                    <m:r>
                      <a:rPr lang="en-GB" sz="1100">
                        <a:solidFill>
                          <a:schemeClr val="tx1"/>
                        </a:solidFill>
                        <a:effectLst/>
                        <a:latin typeface="Cambria Math" panose="02040503050406030204" pitchFamily="18" charset="0"/>
                        <a:ea typeface="+mn-ea"/>
                        <a:cs typeface="+mn-cs"/>
                      </a:rPr>
                      <m:t>=</m:t>
                    </m:r>
                    <m:sSup>
                      <m:sSupPr>
                        <m:ctrlPr>
                          <a:rPr lang="en-ZA" sz="1100" i="1">
                            <a:solidFill>
                              <a:schemeClr val="tx1"/>
                            </a:solidFill>
                            <a:effectLst/>
                            <a:latin typeface="Cambria Math" panose="02040503050406030204" pitchFamily="18" charset="0"/>
                            <a:ea typeface="+mn-ea"/>
                            <a:cs typeface="+mn-cs"/>
                          </a:rPr>
                        </m:ctrlPr>
                      </m:sSupPr>
                      <m:e>
                        <m:d>
                          <m:dPr>
                            <m:ctrlPr>
                              <a:rPr lang="en-ZA" sz="1100" i="1">
                                <a:solidFill>
                                  <a:schemeClr val="tx1"/>
                                </a:solidFill>
                                <a:effectLst/>
                                <a:latin typeface="Cambria Math" panose="02040503050406030204" pitchFamily="18" charset="0"/>
                                <a:ea typeface="+mn-ea"/>
                                <a:cs typeface="+mn-cs"/>
                              </a:rPr>
                            </m:ctrlPr>
                          </m:dPr>
                          <m:e>
                            <m:f>
                              <m:fPr>
                                <m:ctrlPr>
                                  <a:rPr lang="en-ZA" sz="1100" i="1">
                                    <a:solidFill>
                                      <a:schemeClr val="tx1"/>
                                    </a:solidFill>
                                    <a:effectLst/>
                                    <a:latin typeface="Cambria Math" panose="02040503050406030204" pitchFamily="18" charset="0"/>
                                    <a:ea typeface="+mn-ea"/>
                                    <a:cs typeface="+mn-cs"/>
                                  </a:rPr>
                                </m:ctrlPr>
                              </m:fPr>
                              <m:num>
                                <m:sSub>
                                  <m:sSubPr>
                                    <m:ctrlPr>
                                      <a:rPr lang="en-ZA" sz="1100" i="1">
                                        <a:solidFill>
                                          <a:schemeClr val="tx1"/>
                                        </a:solidFill>
                                        <a:effectLst/>
                                        <a:latin typeface="Cambria Math" panose="02040503050406030204" pitchFamily="18" charset="0"/>
                                        <a:ea typeface="+mn-ea"/>
                                        <a:cs typeface="+mn-cs"/>
                                      </a:rPr>
                                    </m:ctrlPr>
                                  </m:sSubPr>
                                  <m:e>
                                    <m:r>
                                      <a:rPr lang="en-GB" sz="1100" i="1">
                                        <a:solidFill>
                                          <a:schemeClr val="tx1"/>
                                        </a:solidFill>
                                        <a:effectLst/>
                                        <a:latin typeface="Cambria Math" panose="02040503050406030204" pitchFamily="18" charset="0"/>
                                        <a:ea typeface="+mn-ea"/>
                                        <a:cs typeface="+mn-cs"/>
                                      </a:rPr>
                                      <m:t>𝑑</m:t>
                                    </m:r>
                                  </m:e>
                                  <m:sub>
                                    <m:r>
                                      <a:rPr lang="en-GB" sz="1100" i="1">
                                        <a:solidFill>
                                          <a:schemeClr val="tx1"/>
                                        </a:solidFill>
                                        <a:effectLst/>
                                        <a:latin typeface="Cambria Math" panose="02040503050406030204" pitchFamily="18" charset="0"/>
                                        <a:ea typeface="+mn-ea"/>
                                        <a:cs typeface="+mn-cs"/>
                                      </a:rPr>
                                      <m:t>𝑙</m:t>
                                    </m:r>
                                  </m:sub>
                                </m:sSub>
                              </m:num>
                              <m:den>
                                <m:sSub>
                                  <m:sSubPr>
                                    <m:ctrlPr>
                                      <a:rPr lang="en-ZA" sz="1100" i="1">
                                        <a:solidFill>
                                          <a:schemeClr val="tx1"/>
                                        </a:solidFill>
                                        <a:effectLst/>
                                        <a:latin typeface="Cambria Math" panose="02040503050406030204" pitchFamily="18" charset="0"/>
                                        <a:ea typeface="+mn-ea"/>
                                        <a:cs typeface="+mn-cs"/>
                                      </a:rPr>
                                    </m:ctrlPr>
                                  </m:sSubPr>
                                  <m:e>
                                    <m:r>
                                      <a:rPr lang="en-GB" sz="1100" i="1">
                                        <a:solidFill>
                                          <a:schemeClr val="tx1"/>
                                        </a:solidFill>
                                        <a:effectLst/>
                                        <a:latin typeface="Cambria Math" panose="02040503050406030204" pitchFamily="18" charset="0"/>
                                        <a:ea typeface="+mn-ea"/>
                                        <a:cs typeface="+mn-cs"/>
                                      </a:rPr>
                                      <m:t>𝑑</m:t>
                                    </m:r>
                                  </m:e>
                                  <m:sub>
                                    <m:r>
                                      <a:rPr lang="en-GB" sz="1100" i="1">
                                        <a:solidFill>
                                          <a:schemeClr val="tx1"/>
                                        </a:solidFill>
                                        <a:effectLst/>
                                        <a:latin typeface="Cambria Math" panose="02040503050406030204" pitchFamily="18" charset="0"/>
                                        <a:ea typeface="+mn-ea"/>
                                        <a:cs typeface="+mn-cs"/>
                                      </a:rPr>
                                      <m:t>𝑖</m:t>
                                    </m:r>
                                  </m:sub>
                                </m:sSub>
                              </m:den>
                            </m:f>
                          </m:e>
                        </m:d>
                      </m:e>
                      <m:sup>
                        <m:r>
                          <a:rPr lang="en-GB" sz="1100" i="1">
                            <a:solidFill>
                              <a:schemeClr val="tx1"/>
                            </a:solidFill>
                            <a:effectLst/>
                            <a:latin typeface="Cambria Math" panose="02040503050406030204" pitchFamily="18" charset="0"/>
                            <a:ea typeface="+mn-ea"/>
                            <a:cs typeface="+mn-cs"/>
                          </a:rPr>
                          <m:t>𝑏</m:t>
                        </m:r>
                      </m:sup>
                    </m:sSup>
                    <m:r>
                      <m:rPr>
                        <m:nor/>
                      </m:rPr>
                      <a:rPr lang="en-ZA">
                        <a:effectLst/>
                      </a:rPr>
                      <m:t> </m:t>
                    </m:r>
                  </m:oMath>
                </m:oMathPara>
              </a14:m>
              <a:endParaRPr lang="en-GB" sz="1100"/>
            </a:p>
          </xdr:txBody>
        </xdr:sp>
      </mc:Choice>
      <mc:Fallback xmlns="">
        <xdr:sp macro="" textlink="">
          <xdr:nvSpPr>
            <xdr:cNvPr id="8" name="TextBox 7">
              <a:extLst>
                <a:ext uri="{FF2B5EF4-FFF2-40B4-BE49-F238E27FC236}">
                  <a16:creationId xmlns:a16="http://schemas.microsoft.com/office/drawing/2014/main" id="{8C5DD161-8E01-E34D-8A23-AE202DDF501F}"/>
                </a:ext>
              </a:extLst>
            </xdr:cNvPr>
            <xdr:cNvSpPr txBox="1"/>
          </xdr:nvSpPr>
          <xdr:spPr>
            <a:xfrm>
              <a:off x="7346908" y="4789065"/>
              <a:ext cx="657103" cy="3869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GB" sz="1100" i="0">
                  <a:solidFill>
                    <a:schemeClr val="tx1"/>
                  </a:solidFill>
                  <a:effectLst/>
                  <a:latin typeface="Cambria Math" panose="02040503050406030204" pitchFamily="18" charset="0"/>
                  <a:ea typeface="+mn-ea"/>
                  <a:cs typeface="+mn-cs"/>
                </a:rPr>
                <a:t>𝑙=</a:t>
              </a:r>
              <a:r>
                <a:rPr lang="en-ZA" sz="1100" i="0">
                  <a:solidFill>
                    <a:schemeClr val="tx1"/>
                  </a:solidFill>
                  <a:effectLst/>
                  <a:latin typeface="Cambria Math" panose="02040503050406030204" pitchFamily="18" charset="0"/>
                  <a:ea typeface="+mn-ea"/>
                  <a:cs typeface="+mn-cs"/>
                </a:rPr>
                <a:t>(</a:t>
              </a:r>
              <a:r>
                <a:rPr lang="en-GB" sz="1100" i="0">
                  <a:solidFill>
                    <a:schemeClr val="tx1"/>
                  </a:solidFill>
                  <a:effectLst/>
                  <a:latin typeface="Cambria Math" panose="02040503050406030204" pitchFamily="18" charset="0"/>
                  <a:ea typeface="+mn-ea"/>
                  <a:cs typeface="+mn-cs"/>
                </a:rPr>
                <a:t>𝑑</a:t>
              </a:r>
              <a:r>
                <a:rPr lang="en-ZA" sz="1100" i="0">
                  <a:solidFill>
                    <a:schemeClr val="tx1"/>
                  </a:solidFill>
                  <a:effectLst/>
                  <a:latin typeface="Cambria Math" panose="02040503050406030204" pitchFamily="18" charset="0"/>
                  <a:ea typeface="+mn-ea"/>
                  <a:cs typeface="+mn-cs"/>
                </a:rPr>
                <a:t>_</a:t>
              </a:r>
              <a:r>
                <a:rPr lang="en-GB" sz="1100" i="0">
                  <a:solidFill>
                    <a:schemeClr val="tx1"/>
                  </a:solidFill>
                  <a:effectLst/>
                  <a:latin typeface="Cambria Math" panose="02040503050406030204" pitchFamily="18" charset="0"/>
                  <a:ea typeface="+mn-ea"/>
                  <a:cs typeface="+mn-cs"/>
                </a:rPr>
                <a:t>𝑙</a:t>
              </a:r>
              <a:r>
                <a:rPr lang="en-ZA" sz="1100" i="0">
                  <a:solidFill>
                    <a:schemeClr val="tx1"/>
                  </a:solidFill>
                  <a:effectLst/>
                  <a:latin typeface="Cambria Math" panose="02040503050406030204" pitchFamily="18" charset="0"/>
                  <a:ea typeface="+mn-ea"/>
                  <a:cs typeface="+mn-cs"/>
                </a:rPr>
                <a:t>/</a:t>
              </a:r>
              <a:r>
                <a:rPr lang="en-GB" sz="1100" i="0">
                  <a:solidFill>
                    <a:schemeClr val="tx1"/>
                  </a:solidFill>
                  <a:effectLst/>
                  <a:latin typeface="Cambria Math" panose="02040503050406030204" pitchFamily="18" charset="0"/>
                  <a:ea typeface="+mn-ea"/>
                  <a:cs typeface="+mn-cs"/>
                </a:rPr>
                <a:t>𝑑</a:t>
              </a:r>
              <a:r>
                <a:rPr lang="en-ZA" sz="1100" i="0">
                  <a:solidFill>
                    <a:schemeClr val="tx1"/>
                  </a:solidFill>
                  <a:effectLst/>
                  <a:latin typeface="Cambria Math" panose="02040503050406030204" pitchFamily="18" charset="0"/>
                  <a:ea typeface="+mn-ea"/>
                  <a:cs typeface="+mn-cs"/>
                </a:rPr>
                <a:t>_</a:t>
              </a:r>
              <a:r>
                <a:rPr lang="en-GB" sz="1100" i="0">
                  <a:solidFill>
                    <a:schemeClr val="tx1"/>
                  </a:solidFill>
                  <a:effectLst/>
                  <a:latin typeface="Cambria Math" panose="02040503050406030204" pitchFamily="18" charset="0"/>
                  <a:ea typeface="+mn-ea"/>
                  <a:cs typeface="+mn-cs"/>
                </a:rPr>
                <a:t>𝑖 )</a:t>
              </a:r>
              <a:r>
                <a:rPr lang="en-ZA" sz="1100" i="0">
                  <a:solidFill>
                    <a:schemeClr val="tx1"/>
                  </a:solidFill>
                  <a:effectLst/>
                  <a:latin typeface="Cambria Math" panose="02040503050406030204" pitchFamily="18" charset="0"/>
                  <a:ea typeface="+mn-ea"/>
                  <a:cs typeface="+mn-cs"/>
                </a:rPr>
                <a:t>^</a:t>
              </a:r>
              <a:r>
                <a:rPr lang="en-GB" sz="1100" i="0">
                  <a:solidFill>
                    <a:schemeClr val="tx1"/>
                  </a:solidFill>
                  <a:effectLst/>
                  <a:latin typeface="Cambria Math" panose="02040503050406030204" pitchFamily="18" charset="0"/>
                  <a:ea typeface="+mn-ea"/>
                  <a:cs typeface="+mn-cs"/>
                </a:rPr>
                <a:t>𝑏</a:t>
              </a:r>
              <a:r>
                <a:rPr lang="en-ZA" sz="1100" i="0">
                  <a:solidFill>
                    <a:schemeClr val="tx1"/>
                  </a:solidFill>
                  <a:effectLst/>
                  <a:latin typeface="Cambria Math" panose="02040503050406030204" pitchFamily="18" charset="0"/>
                  <a:ea typeface="+mn-ea"/>
                  <a:cs typeface="+mn-cs"/>
                </a:rPr>
                <a:t> "</a:t>
              </a:r>
              <a:r>
                <a:rPr lang="en-ZA" i="0">
                  <a:effectLst/>
                  <a:latin typeface="Cambria Math" panose="02040503050406030204" pitchFamily="18" charset="0"/>
                </a:rPr>
                <a:t> </a:t>
              </a:r>
              <a:r>
                <a:rPr lang="en-GB" i="0">
                  <a:effectLst/>
                </a:rPr>
                <a:t>"</a:t>
              </a:r>
              <a:endParaRPr lang="en-GB" sz="1100"/>
            </a:p>
          </xdr:txBody>
        </xdr:sp>
      </mc:Fallback>
    </mc:AlternateContent>
    <xdr:clientData/>
  </xdr:oneCellAnchor>
  <xdr:oneCellAnchor>
    <xdr:from>
      <xdr:col>5</xdr:col>
      <xdr:colOff>584425</xdr:colOff>
      <xdr:row>60</xdr:row>
      <xdr:rowOff>11239</xdr:rowOff>
    </xdr:from>
    <xdr:ext cx="448392" cy="315792"/>
    <mc:AlternateContent xmlns:mc="http://schemas.openxmlformats.org/markup-compatibility/2006" xmlns:a14="http://schemas.microsoft.com/office/drawing/2010/main">
      <mc:Choice Requires="a14">
        <xdr:sp macro="" textlink="">
          <xdr:nvSpPr>
            <xdr:cNvPr id="9" name="TextBox 8">
              <a:extLst>
                <a:ext uri="{FF2B5EF4-FFF2-40B4-BE49-F238E27FC236}">
                  <a16:creationId xmlns:a16="http://schemas.microsoft.com/office/drawing/2014/main" id="{43C50BBB-7C13-7A4C-9C05-CB68ADF8C0E5}"/>
                </a:ext>
              </a:extLst>
            </xdr:cNvPr>
            <xdr:cNvSpPr txBox="1"/>
          </xdr:nvSpPr>
          <xdr:spPr>
            <a:xfrm>
              <a:off x="7378925" y="13079539"/>
              <a:ext cx="448392" cy="31579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100" b="0" i="1">
                        <a:solidFill>
                          <a:schemeClr val="tx1"/>
                        </a:solidFill>
                        <a:effectLst/>
                        <a:latin typeface="Cambria Math" panose="02040503050406030204" pitchFamily="18" charset="0"/>
                        <a:ea typeface="+mn-ea"/>
                        <a:cs typeface="+mn-cs"/>
                      </a:rPr>
                      <m:t>𝑝</m:t>
                    </m:r>
                    <m:r>
                      <a:rPr lang="en-US" sz="1100" b="0" i="1">
                        <a:solidFill>
                          <a:schemeClr val="tx1"/>
                        </a:solidFill>
                        <a:effectLst/>
                        <a:latin typeface="Cambria Math" panose="02040503050406030204" pitchFamily="18" charset="0"/>
                        <a:ea typeface="+mn-ea"/>
                        <a:cs typeface="+mn-cs"/>
                      </a:rPr>
                      <m:t>=</m:t>
                    </m:r>
                    <m:f>
                      <m:fPr>
                        <m:ctrlPr>
                          <a:rPr lang="en-US" sz="1100" b="0" i="1">
                            <a:solidFill>
                              <a:schemeClr val="tx1"/>
                            </a:solidFill>
                            <a:effectLst/>
                            <a:latin typeface="Cambria Math" panose="02040503050406030204" pitchFamily="18" charset="0"/>
                            <a:ea typeface="+mn-ea"/>
                            <a:cs typeface="+mn-cs"/>
                          </a:rPr>
                        </m:ctrlPr>
                      </m:fPr>
                      <m:num>
                        <m:sSub>
                          <m:sSubPr>
                            <m:ctrlPr>
                              <a:rPr lang="en-US" sz="1100" b="0" i="1">
                                <a:solidFill>
                                  <a:schemeClr val="tx1"/>
                                </a:solidFill>
                                <a:effectLst/>
                                <a:latin typeface="Cambria Math" panose="02040503050406030204" pitchFamily="18" charset="0"/>
                                <a:ea typeface="+mn-ea"/>
                                <a:cs typeface="+mn-cs"/>
                              </a:rPr>
                            </m:ctrlPr>
                          </m:sSubPr>
                          <m:e>
                            <m:r>
                              <a:rPr lang="en-US" sz="1100" b="0" i="1">
                                <a:solidFill>
                                  <a:schemeClr val="tx1"/>
                                </a:solidFill>
                                <a:effectLst/>
                                <a:latin typeface="Cambria Math" panose="02040503050406030204" pitchFamily="18" charset="0"/>
                                <a:ea typeface="+mn-ea"/>
                                <a:cs typeface="+mn-cs"/>
                              </a:rPr>
                              <m:t>𝑁</m:t>
                            </m:r>
                          </m:e>
                          <m:sub>
                            <m:r>
                              <a:rPr lang="en-US" sz="1100" b="0" i="1">
                                <a:solidFill>
                                  <a:schemeClr val="tx1"/>
                                </a:solidFill>
                                <a:effectLst/>
                                <a:latin typeface="Cambria Math" panose="02040503050406030204" pitchFamily="18" charset="0"/>
                                <a:ea typeface="+mn-ea"/>
                                <a:cs typeface="+mn-cs"/>
                              </a:rPr>
                              <m:t>𝑆</m:t>
                            </m:r>
                          </m:sub>
                        </m:sSub>
                      </m:num>
                      <m:den>
                        <m:r>
                          <a:rPr lang="en-US" sz="1100" b="0" i="1">
                            <a:solidFill>
                              <a:schemeClr val="tx1"/>
                            </a:solidFill>
                            <a:effectLst/>
                            <a:latin typeface="Cambria Math" panose="02040503050406030204" pitchFamily="18" charset="0"/>
                            <a:ea typeface="+mn-ea"/>
                            <a:cs typeface="+mn-cs"/>
                          </a:rPr>
                          <m:t>𝑁</m:t>
                        </m:r>
                      </m:den>
                    </m:f>
                  </m:oMath>
                </m:oMathPara>
              </a14:m>
              <a:endParaRPr lang="en-GB" sz="1100"/>
            </a:p>
          </xdr:txBody>
        </xdr:sp>
      </mc:Choice>
      <mc:Fallback xmlns="">
        <xdr:sp macro="" textlink="">
          <xdr:nvSpPr>
            <xdr:cNvPr id="9" name="TextBox 8">
              <a:extLst>
                <a:ext uri="{FF2B5EF4-FFF2-40B4-BE49-F238E27FC236}">
                  <a16:creationId xmlns:a16="http://schemas.microsoft.com/office/drawing/2014/main" id="{43C50BBB-7C13-7A4C-9C05-CB68ADF8C0E5}"/>
                </a:ext>
              </a:extLst>
            </xdr:cNvPr>
            <xdr:cNvSpPr txBox="1"/>
          </xdr:nvSpPr>
          <xdr:spPr>
            <a:xfrm>
              <a:off x="7378925" y="13079539"/>
              <a:ext cx="448392" cy="31579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100" b="0" i="0">
                  <a:solidFill>
                    <a:schemeClr val="tx1"/>
                  </a:solidFill>
                  <a:effectLst/>
                  <a:latin typeface="Cambria Math" panose="02040503050406030204" pitchFamily="18" charset="0"/>
                  <a:ea typeface="+mn-ea"/>
                  <a:cs typeface="+mn-cs"/>
                </a:rPr>
                <a:t>𝑝=𝑁_𝑆/𝑁</a:t>
              </a:r>
              <a:endParaRPr lang="en-GB" sz="1100"/>
            </a:p>
          </xdr:txBody>
        </xdr:sp>
      </mc:Fallback>
    </mc:AlternateContent>
    <xdr:clientData/>
  </xdr:oneCellAnchor>
  <xdr:oneCellAnchor>
    <xdr:from>
      <xdr:col>5</xdr:col>
      <xdr:colOff>505752</xdr:colOff>
      <xdr:row>62</xdr:row>
      <xdr:rowOff>0</xdr:rowOff>
    </xdr:from>
    <xdr:ext cx="622542" cy="172098"/>
    <mc:AlternateContent xmlns:mc="http://schemas.openxmlformats.org/markup-compatibility/2006" xmlns:a14="http://schemas.microsoft.com/office/drawing/2010/main">
      <mc:Choice Requires="a14">
        <xdr:sp macro="" textlink="">
          <xdr:nvSpPr>
            <xdr:cNvPr id="10" name="TextBox 9">
              <a:extLst>
                <a:ext uri="{FF2B5EF4-FFF2-40B4-BE49-F238E27FC236}">
                  <a16:creationId xmlns:a16="http://schemas.microsoft.com/office/drawing/2014/main" id="{BFE5DA13-CB9C-8349-ADEE-AA319D767EBD}"/>
                </a:ext>
              </a:extLst>
            </xdr:cNvPr>
            <xdr:cNvSpPr txBox="1"/>
          </xdr:nvSpPr>
          <xdr:spPr>
            <a:xfrm>
              <a:off x="7300252" y="13449300"/>
              <a:ext cx="622542" cy="1720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100" b="0" i="1">
                        <a:solidFill>
                          <a:schemeClr val="tx1"/>
                        </a:solidFill>
                        <a:effectLst/>
                        <a:latin typeface="Cambria Math" panose="02040503050406030204" pitchFamily="18" charset="0"/>
                        <a:ea typeface="+mn-ea"/>
                        <a:cs typeface="+mn-cs"/>
                      </a:rPr>
                      <m:t>𝑞</m:t>
                    </m:r>
                    <m:r>
                      <a:rPr lang="en-US" sz="1100" b="0" i="1">
                        <a:solidFill>
                          <a:schemeClr val="tx1"/>
                        </a:solidFill>
                        <a:effectLst/>
                        <a:latin typeface="Cambria Math" panose="02040503050406030204" pitchFamily="18" charset="0"/>
                        <a:ea typeface="+mn-ea"/>
                        <a:cs typeface="+mn-cs"/>
                      </a:rPr>
                      <m:t>=1−</m:t>
                    </m:r>
                    <m:r>
                      <a:rPr lang="en-US" sz="1100" b="0" i="1">
                        <a:solidFill>
                          <a:schemeClr val="tx1"/>
                        </a:solidFill>
                        <a:effectLst/>
                        <a:latin typeface="Cambria Math" panose="02040503050406030204" pitchFamily="18" charset="0"/>
                        <a:ea typeface="+mn-ea"/>
                        <a:cs typeface="+mn-cs"/>
                      </a:rPr>
                      <m:t>𝑝</m:t>
                    </m:r>
                  </m:oMath>
                </m:oMathPara>
              </a14:m>
              <a:endParaRPr lang="en-US" sz="1100" b="0">
                <a:solidFill>
                  <a:schemeClr val="tx1"/>
                </a:solidFill>
                <a:effectLst/>
                <a:ea typeface="+mn-ea"/>
                <a:cs typeface="+mn-cs"/>
              </a:endParaRPr>
            </a:p>
          </xdr:txBody>
        </xdr:sp>
      </mc:Choice>
      <mc:Fallback xmlns="">
        <xdr:sp macro="" textlink="">
          <xdr:nvSpPr>
            <xdr:cNvPr id="10" name="TextBox 9">
              <a:extLst>
                <a:ext uri="{FF2B5EF4-FFF2-40B4-BE49-F238E27FC236}">
                  <a16:creationId xmlns:a16="http://schemas.microsoft.com/office/drawing/2014/main" id="{BFE5DA13-CB9C-8349-ADEE-AA319D767EBD}"/>
                </a:ext>
              </a:extLst>
            </xdr:cNvPr>
            <xdr:cNvSpPr txBox="1"/>
          </xdr:nvSpPr>
          <xdr:spPr>
            <a:xfrm>
              <a:off x="7300252" y="13449300"/>
              <a:ext cx="622542" cy="1720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100" b="0" i="0">
                  <a:solidFill>
                    <a:schemeClr val="tx1"/>
                  </a:solidFill>
                  <a:effectLst/>
                  <a:latin typeface="Cambria Math" panose="02040503050406030204" pitchFamily="18" charset="0"/>
                  <a:ea typeface="+mn-ea"/>
                  <a:cs typeface="+mn-cs"/>
                </a:rPr>
                <a:t>𝑞=1−𝑝</a:t>
              </a:r>
              <a:endParaRPr lang="en-US" sz="1100" b="0">
                <a:solidFill>
                  <a:schemeClr val="tx1"/>
                </a:solidFill>
                <a:effectLst/>
                <a:ea typeface="+mn-ea"/>
                <a:cs typeface="+mn-cs"/>
              </a:endParaRPr>
            </a:p>
          </xdr:txBody>
        </xdr:sp>
      </mc:Fallback>
    </mc:AlternateContent>
    <xdr:clientData/>
  </xdr:oneCellAnchor>
  <xdr:oneCellAnchor>
    <xdr:from>
      <xdr:col>9</xdr:col>
      <xdr:colOff>342900</xdr:colOff>
      <xdr:row>1</xdr:row>
      <xdr:rowOff>127000</xdr:rowOff>
    </xdr:from>
    <xdr:ext cx="4381500" cy="440955"/>
    <mc:AlternateContent xmlns:mc="http://schemas.openxmlformats.org/markup-compatibility/2006" xmlns:a14="http://schemas.microsoft.com/office/drawing/2010/main">
      <mc:Choice Requires="a14">
        <xdr:sp macro="" textlink="">
          <xdr:nvSpPr>
            <xdr:cNvPr id="11" name="TextBox 10">
              <a:extLst>
                <a:ext uri="{FF2B5EF4-FFF2-40B4-BE49-F238E27FC236}">
                  <a16:creationId xmlns:a16="http://schemas.microsoft.com/office/drawing/2014/main" id="{8E93E895-8091-C549-B1B1-7894C894BF1D}"/>
                </a:ext>
              </a:extLst>
            </xdr:cNvPr>
            <xdr:cNvSpPr txBox="1"/>
          </xdr:nvSpPr>
          <xdr:spPr>
            <a:xfrm>
              <a:off x="7772400" y="330200"/>
              <a:ext cx="4381500" cy="4409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r>
                      <a:rPr lang="en-GB" sz="1400" i="1">
                        <a:solidFill>
                          <a:schemeClr val="tx1"/>
                        </a:solidFill>
                        <a:effectLst/>
                        <a:latin typeface="Cambria Math" panose="02040503050406030204" pitchFamily="18" charset="0"/>
                        <a:ea typeface="+mn-ea"/>
                        <a:cs typeface="+mn-cs"/>
                      </a:rPr>
                      <m:t>𝑉𝑎𝑟𝑖𝑎𝑛𝑐𝑒</m:t>
                    </m:r>
                    <m:r>
                      <a:rPr lang="en-GB" sz="1400">
                        <a:solidFill>
                          <a:schemeClr val="tx1"/>
                        </a:solidFill>
                        <a:effectLst/>
                        <a:latin typeface="Cambria Math" panose="02040503050406030204" pitchFamily="18" charset="0"/>
                        <a:ea typeface="+mn-ea"/>
                        <a:cs typeface="+mn-cs"/>
                      </a:rPr>
                      <m:t>(</m:t>
                    </m:r>
                    <m:sSub>
                      <m:sSubPr>
                        <m:ctrlPr>
                          <a:rPr lang="en-ZA" sz="1400" i="1">
                            <a:solidFill>
                              <a:schemeClr val="tx1"/>
                            </a:solidFill>
                            <a:effectLst/>
                            <a:latin typeface="Cambria Math" panose="02040503050406030204" pitchFamily="18" charset="0"/>
                            <a:ea typeface="+mn-ea"/>
                            <a:cs typeface="+mn-cs"/>
                          </a:rPr>
                        </m:ctrlPr>
                      </m:sSubPr>
                      <m:e>
                        <m:r>
                          <a:rPr lang="en-GB" sz="1400" i="1">
                            <a:solidFill>
                              <a:schemeClr val="tx1"/>
                            </a:solidFill>
                            <a:effectLst/>
                            <a:latin typeface="Cambria Math" panose="02040503050406030204" pitchFamily="18" charset="0"/>
                            <a:ea typeface="+mn-ea"/>
                            <a:cs typeface="+mn-cs"/>
                          </a:rPr>
                          <m:t>𝑌</m:t>
                        </m:r>
                      </m:e>
                      <m:sub>
                        <m:r>
                          <a:rPr lang="en-GB" sz="1400" i="1">
                            <a:solidFill>
                              <a:schemeClr val="tx1"/>
                            </a:solidFill>
                            <a:effectLst/>
                            <a:latin typeface="Cambria Math" panose="02040503050406030204" pitchFamily="18" charset="0"/>
                            <a:ea typeface="+mn-ea"/>
                            <a:cs typeface="+mn-cs"/>
                          </a:rPr>
                          <m:t>𝐶</m:t>
                        </m:r>
                      </m:sub>
                    </m:sSub>
                    <m:r>
                      <a:rPr lang="en-GB" sz="1400">
                        <a:solidFill>
                          <a:schemeClr val="tx1"/>
                        </a:solidFill>
                        <a:effectLst/>
                        <a:latin typeface="Cambria Math" panose="02040503050406030204" pitchFamily="18" charset="0"/>
                        <a:ea typeface="+mn-ea"/>
                        <a:cs typeface="+mn-cs"/>
                      </a:rPr>
                      <m:t>)≈1.25</m:t>
                    </m:r>
                    <m:sSubSup>
                      <m:sSubSupPr>
                        <m:ctrlPr>
                          <a:rPr lang="en-ZA" sz="1400" i="1">
                            <a:solidFill>
                              <a:schemeClr val="tx1"/>
                            </a:solidFill>
                            <a:effectLst/>
                            <a:latin typeface="Cambria Math" panose="02040503050406030204" pitchFamily="18" charset="0"/>
                            <a:ea typeface="+mn-ea"/>
                            <a:cs typeface="+mn-cs"/>
                          </a:rPr>
                        </m:ctrlPr>
                      </m:sSubSupPr>
                      <m:e>
                        <m:r>
                          <a:rPr lang="en-GB" sz="1400" i="1">
                            <a:solidFill>
                              <a:schemeClr val="tx1"/>
                            </a:solidFill>
                            <a:effectLst/>
                            <a:latin typeface="Cambria Math" panose="02040503050406030204" pitchFamily="18" charset="0"/>
                            <a:ea typeface="+mn-ea"/>
                            <a:cs typeface="+mn-cs"/>
                          </a:rPr>
                          <m:t>𝑌</m:t>
                        </m:r>
                      </m:e>
                      <m:sub>
                        <m:r>
                          <a:rPr lang="en-GB" sz="1400" i="1">
                            <a:solidFill>
                              <a:schemeClr val="tx1"/>
                            </a:solidFill>
                            <a:effectLst/>
                            <a:latin typeface="Cambria Math" panose="02040503050406030204" pitchFamily="18" charset="0"/>
                            <a:ea typeface="+mn-ea"/>
                            <a:cs typeface="+mn-cs"/>
                          </a:rPr>
                          <m:t>𝐶</m:t>
                        </m:r>
                      </m:sub>
                      <m:sup>
                        <m:r>
                          <a:rPr lang="en-GB" sz="1400">
                            <a:solidFill>
                              <a:schemeClr val="tx1"/>
                            </a:solidFill>
                            <a:effectLst/>
                            <a:latin typeface="Cambria Math" panose="02040503050406030204" pitchFamily="18" charset="0"/>
                            <a:ea typeface="+mn-ea"/>
                            <a:cs typeface="+mn-cs"/>
                          </a:rPr>
                          <m:t>2</m:t>
                        </m:r>
                      </m:sup>
                    </m:sSubSup>
                    <m:sSup>
                      <m:sSupPr>
                        <m:ctrlPr>
                          <a:rPr lang="en-ZA" sz="1400" i="1">
                            <a:solidFill>
                              <a:schemeClr val="tx1"/>
                            </a:solidFill>
                            <a:effectLst/>
                            <a:latin typeface="Cambria Math" panose="02040503050406030204" pitchFamily="18" charset="0"/>
                            <a:ea typeface="+mn-ea"/>
                            <a:cs typeface="+mn-cs"/>
                          </a:rPr>
                        </m:ctrlPr>
                      </m:sSupPr>
                      <m:e>
                        <m:d>
                          <m:dPr>
                            <m:ctrlPr>
                              <a:rPr lang="en-ZA" sz="1400" i="1">
                                <a:solidFill>
                                  <a:schemeClr val="tx1"/>
                                </a:solidFill>
                                <a:effectLst/>
                                <a:latin typeface="Cambria Math" panose="02040503050406030204" pitchFamily="18" charset="0"/>
                                <a:ea typeface="+mn-ea"/>
                                <a:cs typeface="+mn-cs"/>
                              </a:rPr>
                            </m:ctrlPr>
                          </m:dPr>
                          <m:e>
                            <m:r>
                              <a:rPr lang="en-GB" sz="1400">
                                <a:solidFill>
                                  <a:schemeClr val="tx1"/>
                                </a:solidFill>
                                <a:effectLst/>
                                <a:latin typeface="Cambria Math" panose="02040503050406030204" pitchFamily="18" charset="0"/>
                                <a:ea typeface="+mn-ea"/>
                                <a:cs typeface="+mn-cs"/>
                              </a:rPr>
                              <m:t>1</m:t>
                            </m:r>
                            <m:r>
                              <a:rPr lang="en-GB" sz="1400" i="1">
                                <a:solidFill>
                                  <a:schemeClr val="tx1"/>
                                </a:solidFill>
                                <a:effectLst/>
                                <a:latin typeface="Cambria Math" panose="02040503050406030204" pitchFamily="18" charset="0"/>
                                <a:ea typeface="+mn-ea"/>
                                <a:cs typeface="+mn-cs"/>
                              </a:rPr>
                              <m:t>−</m:t>
                            </m:r>
                            <m:sSub>
                              <m:sSubPr>
                                <m:ctrlPr>
                                  <a:rPr lang="en-ZA" sz="1400" i="1">
                                    <a:solidFill>
                                      <a:schemeClr val="tx1"/>
                                    </a:solidFill>
                                    <a:effectLst/>
                                    <a:latin typeface="Cambria Math" panose="02040503050406030204" pitchFamily="18" charset="0"/>
                                    <a:ea typeface="+mn-ea"/>
                                    <a:cs typeface="+mn-cs"/>
                                  </a:rPr>
                                </m:ctrlPr>
                              </m:sSubPr>
                              <m:e>
                                <m:r>
                                  <a:rPr lang="en-GB" sz="1400" i="1">
                                    <a:solidFill>
                                      <a:schemeClr val="tx1"/>
                                    </a:solidFill>
                                    <a:effectLst/>
                                    <a:latin typeface="Cambria Math" panose="02040503050406030204" pitchFamily="18" charset="0"/>
                                    <a:ea typeface="+mn-ea"/>
                                    <a:cs typeface="+mn-cs"/>
                                  </a:rPr>
                                  <m:t>𝑌</m:t>
                                </m:r>
                              </m:e>
                              <m:sub>
                                <m:r>
                                  <a:rPr lang="en-GB" sz="1400" i="1">
                                    <a:solidFill>
                                      <a:schemeClr val="tx1"/>
                                    </a:solidFill>
                                    <a:effectLst/>
                                    <a:latin typeface="Cambria Math" panose="02040503050406030204" pitchFamily="18" charset="0"/>
                                    <a:ea typeface="+mn-ea"/>
                                    <a:cs typeface="+mn-cs"/>
                                  </a:rPr>
                                  <m:t>𝐶</m:t>
                                </m:r>
                              </m:sub>
                            </m:sSub>
                          </m:e>
                        </m:d>
                      </m:e>
                      <m:sup>
                        <m:r>
                          <a:rPr lang="en-GB" sz="1400">
                            <a:solidFill>
                              <a:schemeClr val="tx1"/>
                            </a:solidFill>
                            <a:effectLst/>
                            <a:latin typeface="Cambria Math" panose="02040503050406030204" pitchFamily="18" charset="0"/>
                            <a:ea typeface="+mn-ea"/>
                            <a:cs typeface="+mn-cs"/>
                          </a:rPr>
                          <m:t>2</m:t>
                        </m:r>
                      </m:sup>
                    </m:sSup>
                    <m:d>
                      <m:dPr>
                        <m:begChr m:val="["/>
                        <m:endChr m:val="]"/>
                        <m:ctrlPr>
                          <a:rPr lang="en-ZA" sz="1400" i="1">
                            <a:solidFill>
                              <a:schemeClr val="tx1"/>
                            </a:solidFill>
                            <a:effectLst/>
                            <a:latin typeface="Cambria Math" panose="02040503050406030204" pitchFamily="18" charset="0"/>
                            <a:ea typeface="+mn-ea"/>
                            <a:cs typeface="+mn-cs"/>
                          </a:rPr>
                        </m:ctrlPr>
                      </m:dPr>
                      <m:e>
                        <m:f>
                          <m:fPr>
                            <m:ctrlPr>
                              <a:rPr lang="en-ZA" sz="1400" i="1">
                                <a:solidFill>
                                  <a:schemeClr val="tx1"/>
                                </a:solidFill>
                                <a:effectLst/>
                                <a:latin typeface="Cambria Math" panose="02040503050406030204" pitchFamily="18" charset="0"/>
                                <a:ea typeface="+mn-ea"/>
                                <a:cs typeface="+mn-cs"/>
                              </a:rPr>
                            </m:ctrlPr>
                          </m:fPr>
                          <m:num>
                            <m:r>
                              <a:rPr lang="en-GB" sz="1400">
                                <a:solidFill>
                                  <a:schemeClr val="tx1"/>
                                </a:solidFill>
                                <a:effectLst/>
                                <a:latin typeface="Cambria Math" panose="02040503050406030204" pitchFamily="18" charset="0"/>
                                <a:ea typeface="+mn-ea"/>
                                <a:cs typeface="+mn-cs"/>
                              </a:rPr>
                              <m:t>1</m:t>
                            </m:r>
                          </m:num>
                          <m:den>
                            <m:sSub>
                              <m:sSubPr>
                                <m:ctrlPr>
                                  <a:rPr lang="en-ZA" sz="1400" i="1">
                                    <a:solidFill>
                                      <a:schemeClr val="tx1"/>
                                    </a:solidFill>
                                    <a:effectLst/>
                                    <a:latin typeface="Cambria Math" panose="02040503050406030204" pitchFamily="18" charset="0"/>
                                    <a:ea typeface="+mn-ea"/>
                                    <a:cs typeface="+mn-cs"/>
                                  </a:rPr>
                                </m:ctrlPr>
                              </m:sSubPr>
                              <m:e>
                                <m:r>
                                  <a:rPr lang="en-GB" sz="1400" i="1">
                                    <a:solidFill>
                                      <a:schemeClr val="tx1"/>
                                    </a:solidFill>
                                    <a:effectLst/>
                                    <a:latin typeface="Cambria Math" panose="02040503050406030204" pitchFamily="18" charset="0"/>
                                    <a:ea typeface="+mn-ea"/>
                                    <a:cs typeface="+mn-cs"/>
                                  </a:rPr>
                                  <m:t>𝑁</m:t>
                                </m:r>
                              </m:e>
                              <m:sub>
                                <m:r>
                                  <a:rPr lang="en-GB" sz="1400">
                                    <a:solidFill>
                                      <a:schemeClr val="tx1"/>
                                    </a:solidFill>
                                    <a:effectLst/>
                                    <a:latin typeface="Cambria Math" panose="02040503050406030204" pitchFamily="18" charset="0"/>
                                    <a:ea typeface="+mn-ea"/>
                                    <a:cs typeface="+mn-cs"/>
                                  </a:rPr>
                                  <m:t>0</m:t>
                                </m:r>
                              </m:sub>
                            </m:sSub>
                          </m:den>
                        </m:f>
                        <m:r>
                          <a:rPr lang="en-GB" sz="1400">
                            <a:solidFill>
                              <a:schemeClr val="tx1"/>
                            </a:solidFill>
                            <a:effectLst/>
                            <a:latin typeface="Cambria Math" panose="02040503050406030204" pitchFamily="18" charset="0"/>
                            <a:ea typeface="+mn-ea"/>
                            <a:cs typeface="+mn-cs"/>
                          </a:rPr>
                          <m:t>+</m:t>
                        </m:r>
                        <m:f>
                          <m:fPr>
                            <m:ctrlPr>
                              <a:rPr lang="en-ZA" sz="1400" i="1">
                                <a:solidFill>
                                  <a:schemeClr val="tx1"/>
                                </a:solidFill>
                                <a:effectLst/>
                                <a:latin typeface="Cambria Math" panose="02040503050406030204" pitchFamily="18" charset="0"/>
                                <a:ea typeface="+mn-ea"/>
                                <a:cs typeface="+mn-cs"/>
                              </a:rPr>
                            </m:ctrlPr>
                          </m:fPr>
                          <m:num>
                            <m:r>
                              <a:rPr lang="en-GB" sz="1400">
                                <a:solidFill>
                                  <a:schemeClr val="tx1"/>
                                </a:solidFill>
                                <a:effectLst/>
                                <a:latin typeface="Cambria Math" panose="02040503050406030204" pitchFamily="18" charset="0"/>
                                <a:ea typeface="+mn-ea"/>
                                <a:cs typeface="+mn-cs"/>
                              </a:rPr>
                              <m:t>1</m:t>
                            </m:r>
                          </m:num>
                          <m:den>
                            <m:sSub>
                              <m:sSubPr>
                                <m:ctrlPr>
                                  <a:rPr lang="en-ZA" sz="1400" i="1">
                                    <a:solidFill>
                                      <a:schemeClr val="tx1"/>
                                    </a:solidFill>
                                    <a:effectLst/>
                                    <a:latin typeface="Cambria Math" panose="02040503050406030204" pitchFamily="18" charset="0"/>
                                    <a:ea typeface="+mn-ea"/>
                                    <a:cs typeface="+mn-cs"/>
                                  </a:rPr>
                                </m:ctrlPr>
                              </m:sSubPr>
                              <m:e>
                                <m:r>
                                  <a:rPr lang="en-GB" sz="1400" i="1">
                                    <a:solidFill>
                                      <a:schemeClr val="tx1"/>
                                    </a:solidFill>
                                    <a:effectLst/>
                                    <a:latin typeface="Cambria Math" panose="02040503050406030204" pitchFamily="18" charset="0"/>
                                    <a:ea typeface="+mn-ea"/>
                                    <a:cs typeface="+mn-cs"/>
                                  </a:rPr>
                                  <m:t>𝑁</m:t>
                                </m:r>
                              </m:e>
                              <m:sub>
                                <m:r>
                                  <a:rPr lang="en-GB" sz="1400">
                                    <a:solidFill>
                                      <a:schemeClr val="tx1"/>
                                    </a:solidFill>
                                    <a:effectLst/>
                                    <a:latin typeface="Cambria Math" panose="02040503050406030204" pitchFamily="18" charset="0"/>
                                    <a:ea typeface="+mn-ea"/>
                                    <a:cs typeface="+mn-cs"/>
                                  </a:rPr>
                                  <m:t>1</m:t>
                                </m:r>
                              </m:sub>
                            </m:sSub>
                          </m:den>
                        </m:f>
                      </m:e>
                    </m:d>
                    <m:r>
                      <m:rPr>
                        <m:nor/>
                      </m:rPr>
                      <a:rPr lang="en-ZA" sz="1400">
                        <a:effectLst/>
                      </a:rPr>
                      <m:t> </m:t>
                    </m:r>
                  </m:oMath>
                </m:oMathPara>
              </a14:m>
              <a:endParaRPr lang="en-GB" sz="1400"/>
            </a:p>
          </xdr:txBody>
        </xdr:sp>
      </mc:Choice>
      <mc:Fallback xmlns="">
        <xdr:sp macro="" textlink="">
          <xdr:nvSpPr>
            <xdr:cNvPr id="11" name="TextBox 10">
              <a:extLst>
                <a:ext uri="{FF2B5EF4-FFF2-40B4-BE49-F238E27FC236}">
                  <a16:creationId xmlns:a16="http://schemas.microsoft.com/office/drawing/2014/main" id="{8E93E895-8091-C549-B1B1-7894C894BF1D}"/>
                </a:ext>
              </a:extLst>
            </xdr:cNvPr>
            <xdr:cNvSpPr txBox="1"/>
          </xdr:nvSpPr>
          <xdr:spPr>
            <a:xfrm>
              <a:off x="7772400" y="330200"/>
              <a:ext cx="4381500" cy="4409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r>
                <a:rPr lang="en-GB" sz="1400" i="0">
                  <a:solidFill>
                    <a:schemeClr val="tx1"/>
                  </a:solidFill>
                  <a:effectLst/>
                  <a:latin typeface="+mn-lt"/>
                  <a:ea typeface="+mn-ea"/>
                  <a:cs typeface="+mn-cs"/>
                </a:rPr>
                <a:t>𝑉𝑎𝑟𝑖𝑎𝑛𝑐𝑒(𝑌</a:t>
              </a:r>
              <a:r>
                <a:rPr lang="en-ZA" sz="1400" i="0">
                  <a:solidFill>
                    <a:schemeClr val="tx1"/>
                  </a:solidFill>
                  <a:effectLst/>
                  <a:latin typeface="+mn-lt"/>
                  <a:ea typeface="+mn-ea"/>
                  <a:cs typeface="+mn-cs"/>
                </a:rPr>
                <a:t>_</a:t>
              </a:r>
              <a:r>
                <a:rPr lang="en-GB" sz="1400" i="0">
                  <a:solidFill>
                    <a:schemeClr val="tx1"/>
                  </a:solidFill>
                  <a:effectLst/>
                  <a:latin typeface="+mn-lt"/>
                  <a:ea typeface="+mn-ea"/>
                  <a:cs typeface="+mn-cs"/>
                </a:rPr>
                <a:t>𝐶)≈1.25𝑌</a:t>
              </a:r>
              <a:r>
                <a:rPr lang="en-ZA" sz="1400" i="0">
                  <a:solidFill>
                    <a:schemeClr val="tx1"/>
                  </a:solidFill>
                  <a:effectLst/>
                  <a:latin typeface="+mn-lt"/>
                  <a:ea typeface="+mn-ea"/>
                  <a:cs typeface="+mn-cs"/>
                </a:rPr>
                <a:t>_</a:t>
              </a:r>
              <a:r>
                <a:rPr lang="en-GB" sz="1400" i="0">
                  <a:solidFill>
                    <a:schemeClr val="tx1"/>
                  </a:solidFill>
                  <a:effectLst/>
                  <a:latin typeface="+mn-lt"/>
                  <a:ea typeface="+mn-ea"/>
                  <a:cs typeface="+mn-cs"/>
                </a:rPr>
                <a:t>𝐶^2</a:t>
              </a:r>
              <a:r>
                <a:rPr lang="en-ZA" sz="1400" i="0">
                  <a:solidFill>
                    <a:schemeClr val="tx1"/>
                  </a:solidFill>
                  <a:effectLst/>
                  <a:latin typeface="+mn-lt"/>
                  <a:ea typeface="+mn-ea"/>
                  <a:cs typeface="+mn-cs"/>
                </a:rPr>
                <a:t> (</a:t>
              </a:r>
              <a:r>
                <a:rPr lang="en-GB" sz="1400" i="0">
                  <a:solidFill>
                    <a:schemeClr val="tx1"/>
                  </a:solidFill>
                  <a:effectLst/>
                  <a:latin typeface="+mn-lt"/>
                  <a:ea typeface="+mn-ea"/>
                  <a:cs typeface="+mn-cs"/>
                </a:rPr>
                <a:t>1−𝑌</a:t>
              </a:r>
              <a:r>
                <a:rPr lang="en-ZA" sz="1400" i="0">
                  <a:solidFill>
                    <a:schemeClr val="tx1"/>
                  </a:solidFill>
                  <a:effectLst/>
                  <a:latin typeface="+mn-lt"/>
                  <a:ea typeface="+mn-ea"/>
                  <a:cs typeface="+mn-cs"/>
                </a:rPr>
                <a:t>_</a:t>
              </a:r>
              <a:r>
                <a:rPr lang="en-GB" sz="1400" i="0">
                  <a:solidFill>
                    <a:schemeClr val="tx1"/>
                  </a:solidFill>
                  <a:effectLst/>
                  <a:latin typeface="+mn-lt"/>
                  <a:ea typeface="+mn-ea"/>
                  <a:cs typeface="+mn-cs"/>
                </a:rPr>
                <a:t>𝐶 )</a:t>
              </a:r>
              <a:r>
                <a:rPr lang="en-ZA" sz="1400" i="0">
                  <a:solidFill>
                    <a:schemeClr val="tx1"/>
                  </a:solidFill>
                  <a:effectLst/>
                  <a:latin typeface="+mn-lt"/>
                  <a:ea typeface="+mn-ea"/>
                  <a:cs typeface="+mn-cs"/>
                </a:rPr>
                <a:t>^</a:t>
              </a:r>
              <a:r>
                <a:rPr lang="en-GB" sz="1400" i="0">
                  <a:solidFill>
                    <a:schemeClr val="tx1"/>
                  </a:solidFill>
                  <a:effectLst/>
                  <a:latin typeface="+mn-lt"/>
                  <a:ea typeface="+mn-ea"/>
                  <a:cs typeface="+mn-cs"/>
                </a:rPr>
                <a:t>2</a:t>
              </a:r>
              <a:r>
                <a:rPr lang="en-ZA" sz="1400" i="0">
                  <a:solidFill>
                    <a:schemeClr val="tx1"/>
                  </a:solidFill>
                  <a:effectLst/>
                  <a:latin typeface="+mn-lt"/>
                  <a:ea typeface="+mn-ea"/>
                  <a:cs typeface="+mn-cs"/>
                </a:rPr>
                <a:t> [</a:t>
              </a:r>
              <a:r>
                <a:rPr lang="en-GB" sz="1400" i="0">
                  <a:solidFill>
                    <a:schemeClr val="tx1"/>
                  </a:solidFill>
                  <a:effectLst/>
                  <a:latin typeface="+mn-lt"/>
                  <a:ea typeface="+mn-ea"/>
                  <a:cs typeface="+mn-cs"/>
                </a:rPr>
                <a:t>1</a:t>
              </a:r>
              <a:r>
                <a:rPr lang="en-ZA" sz="1400" i="0">
                  <a:solidFill>
                    <a:schemeClr val="tx1"/>
                  </a:solidFill>
                  <a:effectLst/>
                  <a:latin typeface="+mn-lt"/>
                  <a:ea typeface="+mn-ea"/>
                  <a:cs typeface="+mn-cs"/>
                </a:rPr>
                <a:t>/</a:t>
              </a:r>
              <a:r>
                <a:rPr lang="en-GB" sz="1400" i="0">
                  <a:solidFill>
                    <a:schemeClr val="tx1"/>
                  </a:solidFill>
                  <a:effectLst/>
                  <a:latin typeface="+mn-lt"/>
                  <a:ea typeface="+mn-ea"/>
                  <a:cs typeface="+mn-cs"/>
                </a:rPr>
                <a:t>𝑁</a:t>
              </a:r>
              <a:r>
                <a:rPr lang="en-ZA" sz="1400" i="0">
                  <a:solidFill>
                    <a:schemeClr val="tx1"/>
                  </a:solidFill>
                  <a:effectLst/>
                  <a:latin typeface="+mn-lt"/>
                  <a:ea typeface="+mn-ea"/>
                  <a:cs typeface="+mn-cs"/>
                </a:rPr>
                <a:t>_</a:t>
              </a:r>
              <a:r>
                <a:rPr lang="en-GB" sz="1400" i="0">
                  <a:solidFill>
                    <a:schemeClr val="tx1"/>
                  </a:solidFill>
                  <a:effectLst/>
                  <a:latin typeface="+mn-lt"/>
                  <a:ea typeface="+mn-ea"/>
                  <a:cs typeface="+mn-cs"/>
                </a:rPr>
                <a:t>0 +1</a:t>
              </a:r>
              <a:r>
                <a:rPr lang="en-ZA" sz="1400" i="0">
                  <a:solidFill>
                    <a:schemeClr val="tx1"/>
                  </a:solidFill>
                  <a:effectLst/>
                  <a:latin typeface="+mn-lt"/>
                  <a:ea typeface="+mn-ea"/>
                  <a:cs typeface="+mn-cs"/>
                </a:rPr>
                <a:t>/</a:t>
              </a:r>
              <a:r>
                <a:rPr lang="en-GB" sz="1400" i="0">
                  <a:solidFill>
                    <a:schemeClr val="tx1"/>
                  </a:solidFill>
                  <a:effectLst/>
                  <a:latin typeface="+mn-lt"/>
                  <a:ea typeface="+mn-ea"/>
                  <a:cs typeface="+mn-cs"/>
                </a:rPr>
                <a:t>𝑁</a:t>
              </a:r>
              <a:r>
                <a:rPr lang="en-ZA" sz="1400" i="0">
                  <a:solidFill>
                    <a:schemeClr val="tx1"/>
                  </a:solidFill>
                  <a:effectLst/>
                  <a:latin typeface="+mn-lt"/>
                  <a:ea typeface="+mn-ea"/>
                  <a:cs typeface="+mn-cs"/>
                </a:rPr>
                <a:t>_</a:t>
              </a:r>
              <a:r>
                <a:rPr lang="en-GB" sz="1400" i="0">
                  <a:solidFill>
                    <a:schemeClr val="tx1"/>
                  </a:solidFill>
                  <a:effectLst/>
                  <a:latin typeface="+mn-lt"/>
                  <a:ea typeface="+mn-ea"/>
                  <a:cs typeface="+mn-cs"/>
                </a:rPr>
                <a:t>1 ]</a:t>
              </a:r>
              <a:r>
                <a:rPr lang="en-ZA" sz="1400" i="0">
                  <a:solidFill>
                    <a:schemeClr val="tx1"/>
                  </a:solidFill>
                  <a:effectLst/>
                  <a:latin typeface="Cambria Math" panose="02040503050406030204" pitchFamily="18" charset="0"/>
                  <a:ea typeface="+mn-ea"/>
                  <a:cs typeface="+mn-cs"/>
                </a:rPr>
                <a:t>"</a:t>
              </a:r>
              <a:r>
                <a:rPr lang="en-ZA" sz="1400" i="0">
                  <a:effectLst/>
                  <a:latin typeface="Cambria Math" panose="02040503050406030204" pitchFamily="18" charset="0"/>
                </a:rPr>
                <a:t> </a:t>
              </a:r>
              <a:r>
                <a:rPr lang="en-GB" sz="1400" i="0">
                  <a:effectLst/>
                </a:rPr>
                <a:t>"</a:t>
              </a:r>
              <a:endParaRPr lang="en-GB" sz="1400"/>
            </a:p>
          </xdr:txBody>
        </xdr:sp>
      </mc:Fallback>
    </mc:AlternateContent>
    <xdr:clientData/>
  </xdr:oneCellAnchor>
</xdr:wsDr>
</file>

<file path=xl/drawings/drawing2.xml><?xml version="1.0" encoding="utf-8"?>
<xdr:wsDr xmlns:xdr="http://schemas.openxmlformats.org/drawingml/2006/spreadsheetDrawing" xmlns:a="http://schemas.openxmlformats.org/drawingml/2006/main">
  <xdr:twoCellAnchor>
    <xdr:from>
      <xdr:col>5</xdr:col>
      <xdr:colOff>601133</xdr:colOff>
      <xdr:row>61</xdr:row>
      <xdr:rowOff>177799</xdr:rowOff>
    </xdr:from>
    <xdr:to>
      <xdr:col>16</xdr:col>
      <xdr:colOff>67732</xdr:colOff>
      <xdr:row>83</xdr:row>
      <xdr:rowOff>152398</xdr:rowOff>
    </xdr:to>
    <xdr:graphicFrame macro="">
      <xdr:nvGraphicFramePr>
        <xdr:cNvPr id="12" name="Chart 11">
          <a:extLst>
            <a:ext uri="{FF2B5EF4-FFF2-40B4-BE49-F238E27FC236}">
              <a16:creationId xmlns:a16="http://schemas.microsoft.com/office/drawing/2014/main" id="{FF46A683-E8D0-C544-8E0A-4A0D9053995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0</xdr:colOff>
      <xdr:row>62</xdr:row>
      <xdr:rowOff>0</xdr:rowOff>
    </xdr:from>
    <xdr:to>
      <xdr:col>25</xdr:col>
      <xdr:colOff>838199</xdr:colOff>
      <xdr:row>83</xdr:row>
      <xdr:rowOff>160865</xdr:rowOff>
    </xdr:to>
    <xdr:graphicFrame macro="">
      <xdr:nvGraphicFramePr>
        <xdr:cNvPr id="13" name="Chart 12">
          <a:extLst>
            <a:ext uri="{FF2B5EF4-FFF2-40B4-BE49-F238E27FC236}">
              <a16:creationId xmlns:a16="http://schemas.microsoft.com/office/drawing/2014/main" id="{5670C850-EC74-FC4C-9AF3-C4F64682BB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572745</xdr:colOff>
      <xdr:row>85</xdr:row>
      <xdr:rowOff>24902</xdr:rowOff>
    </xdr:from>
    <xdr:to>
      <xdr:col>16</xdr:col>
      <xdr:colOff>39344</xdr:colOff>
      <xdr:row>107</xdr:row>
      <xdr:rowOff>198717</xdr:rowOff>
    </xdr:to>
    <xdr:graphicFrame macro="">
      <xdr:nvGraphicFramePr>
        <xdr:cNvPr id="14" name="Chart 13">
          <a:extLst>
            <a:ext uri="{FF2B5EF4-FFF2-40B4-BE49-F238E27FC236}">
              <a16:creationId xmlns:a16="http://schemas.microsoft.com/office/drawing/2014/main" id="{37BE2E4B-E458-6542-8ADC-28B14394B3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17</xdr:col>
      <xdr:colOff>0</xdr:colOff>
      <xdr:row>85</xdr:row>
      <xdr:rowOff>0</xdr:rowOff>
    </xdr:from>
    <xdr:to>
      <xdr:col>25</xdr:col>
      <xdr:colOff>836206</xdr:colOff>
      <xdr:row>107</xdr:row>
      <xdr:rowOff>161115</xdr:rowOff>
    </xdr:to>
    <xdr:graphicFrame macro="">
      <xdr:nvGraphicFramePr>
        <xdr:cNvPr id="16" name="Chart 15">
          <a:extLst>
            <a:ext uri="{FF2B5EF4-FFF2-40B4-BE49-F238E27FC236}">
              <a16:creationId xmlns:a16="http://schemas.microsoft.com/office/drawing/2014/main" id="{8C666A42-30D8-3642-939B-E035982ED97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xdr:col>
      <xdr:colOff>121920</xdr:colOff>
      <xdr:row>1</xdr:row>
      <xdr:rowOff>101600</xdr:rowOff>
    </xdr:from>
    <xdr:to>
      <xdr:col>6</xdr:col>
      <xdr:colOff>579120</xdr:colOff>
      <xdr:row>1</xdr:row>
      <xdr:rowOff>101600</xdr:rowOff>
    </xdr:to>
    <xdr:cxnSp macro="">
      <xdr:nvCxnSpPr>
        <xdr:cNvPr id="3" name="Straight Arrow Connector 2">
          <a:extLst>
            <a:ext uri="{FF2B5EF4-FFF2-40B4-BE49-F238E27FC236}">
              <a16:creationId xmlns:a16="http://schemas.microsoft.com/office/drawing/2014/main" id="{2AF2D45F-7401-674D-B22F-A7C1ABF0240C}"/>
            </a:ext>
          </a:extLst>
        </xdr:cNvPr>
        <xdr:cNvCxnSpPr/>
      </xdr:nvCxnSpPr>
      <xdr:spPr>
        <a:xfrm>
          <a:off x="2133600" y="833120"/>
          <a:ext cx="1798320" cy="0"/>
        </a:xfrm>
        <a:prstGeom prst="straightConnector1">
          <a:avLst/>
        </a:prstGeom>
        <a:ln>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4</xdr:col>
      <xdr:colOff>92038</xdr:colOff>
      <xdr:row>15</xdr:row>
      <xdr:rowOff>101600</xdr:rowOff>
    </xdr:from>
    <xdr:to>
      <xdr:col>6</xdr:col>
      <xdr:colOff>498438</xdr:colOff>
      <xdr:row>15</xdr:row>
      <xdr:rowOff>101600</xdr:rowOff>
    </xdr:to>
    <xdr:cxnSp macro="">
      <xdr:nvCxnSpPr>
        <xdr:cNvPr id="4" name="Straight Arrow Connector 3">
          <a:extLst>
            <a:ext uri="{FF2B5EF4-FFF2-40B4-BE49-F238E27FC236}">
              <a16:creationId xmlns:a16="http://schemas.microsoft.com/office/drawing/2014/main" id="{C8B44ABD-A1DA-E64D-96A6-D57602AC01E9}"/>
            </a:ext>
          </a:extLst>
        </xdr:cNvPr>
        <xdr:cNvCxnSpPr/>
      </xdr:nvCxnSpPr>
      <xdr:spPr>
        <a:xfrm>
          <a:off x="10565803" y="848659"/>
          <a:ext cx="1751106" cy="0"/>
        </a:xfrm>
        <a:prstGeom prst="straightConnector1">
          <a:avLst/>
        </a:prstGeom>
        <a:ln>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14</xdr:col>
      <xdr:colOff>121920</xdr:colOff>
      <xdr:row>15</xdr:row>
      <xdr:rowOff>101600</xdr:rowOff>
    </xdr:from>
    <xdr:to>
      <xdr:col>16</xdr:col>
      <xdr:colOff>579120</xdr:colOff>
      <xdr:row>15</xdr:row>
      <xdr:rowOff>101600</xdr:rowOff>
    </xdr:to>
    <xdr:cxnSp macro="">
      <xdr:nvCxnSpPr>
        <xdr:cNvPr id="6" name="Straight Arrow Connector 5">
          <a:extLst>
            <a:ext uri="{FF2B5EF4-FFF2-40B4-BE49-F238E27FC236}">
              <a16:creationId xmlns:a16="http://schemas.microsoft.com/office/drawing/2014/main" id="{61935745-9936-C040-9177-F1465839950F}"/>
            </a:ext>
          </a:extLst>
        </xdr:cNvPr>
        <xdr:cNvCxnSpPr/>
      </xdr:nvCxnSpPr>
      <xdr:spPr>
        <a:xfrm>
          <a:off x="12478273" y="4703482"/>
          <a:ext cx="1532965" cy="0"/>
        </a:xfrm>
        <a:prstGeom prst="straightConnector1">
          <a:avLst/>
        </a:prstGeom>
        <a:ln>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14</xdr:col>
      <xdr:colOff>71718</xdr:colOff>
      <xdr:row>1</xdr:row>
      <xdr:rowOff>115943</xdr:rowOff>
    </xdr:from>
    <xdr:to>
      <xdr:col>16</xdr:col>
      <xdr:colOff>478118</xdr:colOff>
      <xdr:row>1</xdr:row>
      <xdr:rowOff>115943</xdr:rowOff>
    </xdr:to>
    <xdr:cxnSp macro="">
      <xdr:nvCxnSpPr>
        <xdr:cNvPr id="7" name="Straight Arrow Connector 6">
          <a:extLst>
            <a:ext uri="{FF2B5EF4-FFF2-40B4-BE49-F238E27FC236}">
              <a16:creationId xmlns:a16="http://schemas.microsoft.com/office/drawing/2014/main" id="{7007783F-C002-A548-9E53-BA2EBD828E7E}"/>
            </a:ext>
          </a:extLst>
        </xdr:cNvPr>
        <xdr:cNvCxnSpPr/>
      </xdr:nvCxnSpPr>
      <xdr:spPr>
        <a:xfrm>
          <a:off x="13354424" y="683708"/>
          <a:ext cx="1482165" cy="0"/>
        </a:xfrm>
        <a:prstGeom prst="straightConnector1">
          <a:avLst/>
        </a:prstGeom>
        <a:ln>
          <a:tailEnd type="triangle"/>
        </a:ln>
      </xdr:spPr>
      <xdr:style>
        <a:lnRef idx="3">
          <a:schemeClr val="dk1"/>
        </a:lnRef>
        <a:fillRef idx="0">
          <a:schemeClr val="dk1"/>
        </a:fillRef>
        <a:effectRef idx="2">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309515</xdr:colOff>
      <xdr:row>2</xdr:row>
      <xdr:rowOff>38739</xdr:rowOff>
    </xdr:from>
    <xdr:to>
      <xdr:col>23</xdr:col>
      <xdr:colOff>747137</xdr:colOff>
      <xdr:row>24</xdr:row>
      <xdr:rowOff>74458</xdr:rowOff>
    </xdr:to>
    <xdr:graphicFrame macro="">
      <xdr:nvGraphicFramePr>
        <xdr:cNvPr id="17" name="Chart 16">
          <a:extLst>
            <a:ext uri="{FF2B5EF4-FFF2-40B4-BE49-F238E27FC236}">
              <a16:creationId xmlns:a16="http://schemas.microsoft.com/office/drawing/2014/main" id="{4A662798-BBBB-F341-84E4-0AD466A47B0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304801</xdr:colOff>
      <xdr:row>40</xdr:row>
      <xdr:rowOff>101600</xdr:rowOff>
    </xdr:from>
    <xdr:to>
      <xdr:col>23</xdr:col>
      <xdr:colOff>742422</xdr:colOff>
      <xdr:row>62</xdr:row>
      <xdr:rowOff>137320</xdr:rowOff>
    </xdr:to>
    <xdr:graphicFrame macro="">
      <xdr:nvGraphicFramePr>
        <xdr:cNvPr id="3" name="Chart 2">
          <a:extLst>
            <a:ext uri="{FF2B5EF4-FFF2-40B4-BE49-F238E27FC236}">
              <a16:creationId xmlns:a16="http://schemas.microsoft.com/office/drawing/2014/main" id="{0029D514-515C-8047-B1CD-1E3DAD75ABC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287867</xdr:colOff>
      <xdr:row>78</xdr:row>
      <xdr:rowOff>169334</xdr:rowOff>
    </xdr:from>
    <xdr:to>
      <xdr:col>23</xdr:col>
      <xdr:colOff>725488</xdr:colOff>
      <xdr:row>101</xdr:row>
      <xdr:rowOff>18786</xdr:rowOff>
    </xdr:to>
    <xdr:graphicFrame macro="">
      <xdr:nvGraphicFramePr>
        <xdr:cNvPr id="4" name="Chart 3">
          <a:extLst>
            <a:ext uri="{FF2B5EF4-FFF2-40B4-BE49-F238E27FC236}">
              <a16:creationId xmlns:a16="http://schemas.microsoft.com/office/drawing/2014/main" id="{7DC771D6-A71D-624F-B182-5532F7DF26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328862</xdr:colOff>
      <xdr:row>117</xdr:row>
      <xdr:rowOff>0</xdr:rowOff>
    </xdr:from>
    <xdr:to>
      <xdr:col>23</xdr:col>
      <xdr:colOff>761136</xdr:colOff>
      <xdr:row>139</xdr:row>
      <xdr:rowOff>35719</xdr:rowOff>
    </xdr:to>
    <xdr:graphicFrame macro="">
      <xdr:nvGraphicFramePr>
        <xdr:cNvPr id="5" name="Chart 4">
          <a:extLst>
            <a:ext uri="{FF2B5EF4-FFF2-40B4-BE49-F238E27FC236}">
              <a16:creationId xmlns:a16="http://schemas.microsoft.com/office/drawing/2014/main" id="{87EB79A8-BF46-BB4C-AED7-34484C9244E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282040</xdr:colOff>
      <xdr:row>0</xdr:row>
      <xdr:rowOff>200123</xdr:rowOff>
    </xdr:from>
    <xdr:to>
      <xdr:col>23</xdr:col>
      <xdr:colOff>656254</xdr:colOff>
      <xdr:row>35</xdr:row>
      <xdr:rowOff>22248</xdr:rowOff>
    </xdr:to>
    <xdr:graphicFrame macro="">
      <xdr:nvGraphicFramePr>
        <xdr:cNvPr id="2" name="Chart 1">
          <a:extLst>
            <a:ext uri="{FF2B5EF4-FFF2-40B4-BE49-F238E27FC236}">
              <a16:creationId xmlns:a16="http://schemas.microsoft.com/office/drawing/2014/main" id="{221989EB-EA0E-7A4A-A9F0-85CDD7997BC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15</xdr:col>
      <xdr:colOff>25919</xdr:colOff>
      <xdr:row>2</xdr:row>
      <xdr:rowOff>92279</xdr:rowOff>
    </xdr:from>
    <xdr:to>
      <xdr:col>22</xdr:col>
      <xdr:colOff>260276</xdr:colOff>
      <xdr:row>37</xdr:row>
      <xdr:rowOff>23530</xdr:rowOff>
    </xdr:to>
    <xdr:graphicFrame macro="">
      <xdr:nvGraphicFramePr>
        <xdr:cNvPr id="2" name="Chart 1">
          <a:extLst>
            <a:ext uri="{FF2B5EF4-FFF2-40B4-BE49-F238E27FC236}">
              <a16:creationId xmlns:a16="http://schemas.microsoft.com/office/drawing/2014/main" id="{2C5AD13A-8E72-CB40-B9FA-DD112EB1C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498136</xdr:colOff>
      <xdr:row>1</xdr:row>
      <xdr:rowOff>185424</xdr:rowOff>
    </xdr:from>
    <xdr:to>
      <xdr:col>24</xdr:col>
      <xdr:colOff>107507</xdr:colOff>
      <xdr:row>33</xdr:row>
      <xdr:rowOff>183554</xdr:rowOff>
    </xdr:to>
    <xdr:graphicFrame macro="">
      <xdr:nvGraphicFramePr>
        <xdr:cNvPr id="2" name="Chart 1">
          <a:extLst>
            <a:ext uri="{FF2B5EF4-FFF2-40B4-BE49-F238E27FC236}">
              <a16:creationId xmlns:a16="http://schemas.microsoft.com/office/drawing/2014/main" id="{3AB6E95D-94B2-D740-A063-ECA62213150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326006</xdr:colOff>
      <xdr:row>0</xdr:row>
      <xdr:rowOff>188260</xdr:rowOff>
    </xdr:from>
    <xdr:to>
      <xdr:col>23</xdr:col>
      <xdr:colOff>656823</xdr:colOff>
      <xdr:row>36</xdr:row>
      <xdr:rowOff>22144</xdr:rowOff>
    </xdr:to>
    <xdr:graphicFrame macro="">
      <xdr:nvGraphicFramePr>
        <xdr:cNvPr id="2" name="Chart 1">
          <a:extLst>
            <a:ext uri="{FF2B5EF4-FFF2-40B4-BE49-F238E27FC236}">
              <a16:creationId xmlns:a16="http://schemas.microsoft.com/office/drawing/2014/main" id="{17ECC7B9-31A4-B041-B599-9268B2BCB42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020749-3376-7D48-B353-9C4330A96711}">
  <dimension ref="A1:B13"/>
  <sheetViews>
    <sheetView tabSelected="1" workbookViewId="0">
      <selection sqref="A1:B1"/>
    </sheetView>
  </sheetViews>
  <sheetFormatPr baseColWidth="10" defaultRowHeight="15"/>
  <cols>
    <col min="1" max="1" width="45.33203125" customWidth="1"/>
    <col min="2" max="2" width="6.83203125" bestFit="1" customWidth="1"/>
  </cols>
  <sheetData>
    <row r="1" spans="1:2">
      <c r="A1" s="265" t="s">
        <v>280</v>
      </c>
      <c r="B1" s="266"/>
    </row>
    <row r="2" spans="1:2" ht="94" customHeight="1">
      <c r="A2" s="267" t="s">
        <v>296</v>
      </c>
      <c r="B2" s="268"/>
    </row>
    <row r="3" spans="1:2" ht="16">
      <c r="A3" s="223" t="s">
        <v>111</v>
      </c>
      <c r="B3" s="224" t="s">
        <v>281</v>
      </c>
    </row>
    <row r="4" spans="1:2" ht="80">
      <c r="A4" s="222" t="s">
        <v>282</v>
      </c>
      <c r="B4" s="225">
        <v>1</v>
      </c>
    </row>
    <row r="5" spans="1:2" ht="32">
      <c r="A5" s="222" t="s">
        <v>283</v>
      </c>
      <c r="B5" s="225">
        <v>2</v>
      </c>
    </row>
    <row r="6" spans="1:2" ht="80">
      <c r="A6" s="222" t="s">
        <v>297</v>
      </c>
      <c r="B6" s="225">
        <v>3</v>
      </c>
    </row>
    <row r="7" spans="1:2" ht="32">
      <c r="A7" s="222" t="s">
        <v>284</v>
      </c>
      <c r="B7" s="225">
        <v>4</v>
      </c>
    </row>
    <row r="8" spans="1:2" ht="32">
      <c r="A8" s="222" t="s">
        <v>285</v>
      </c>
      <c r="B8" s="225">
        <v>5</v>
      </c>
    </row>
    <row r="9" spans="1:2" ht="48">
      <c r="A9" s="222" t="s">
        <v>286</v>
      </c>
      <c r="B9" s="226">
        <v>6</v>
      </c>
    </row>
    <row r="10" spans="1:2" ht="32">
      <c r="A10" s="222" t="s">
        <v>298</v>
      </c>
      <c r="B10" s="226">
        <v>7</v>
      </c>
    </row>
    <row r="11" spans="1:2" ht="32">
      <c r="A11" s="222" t="s">
        <v>287</v>
      </c>
      <c r="B11" s="226">
        <v>8</v>
      </c>
    </row>
    <row r="12" spans="1:2" ht="32">
      <c r="A12" s="222" t="s">
        <v>288</v>
      </c>
      <c r="B12" s="226">
        <v>9</v>
      </c>
    </row>
    <row r="13" spans="1:2" ht="33" thickBot="1">
      <c r="A13" s="221" t="s">
        <v>289</v>
      </c>
      <c r="B13" s="227">
        <v>10</v>
      </c>
    </row>
  </sheetData>
  <mergeCells count="2">
    <mergeCell ref="A1:B1"/>
    <mergeCell ref="A2:B2"/>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3422B8-FCF0-014D-AE6E-97F7AE2BA338}">
  <dimension ref="A1:AL100"/>
  <sheetViews>
    <sheetView zoomScale="50" zoomScaleNormal="64" workbookViewId="0"/>
  </sheetViews>
  <sheetFormatPr baseColWidth="10" defaultColWidth="8.83203125" defaultRowHeight="15"/>
  <cols>
    <col min="1" max="1" width="23.5" style="192" bestFit="1" customWidth="1"/>
    <col min="2" max="2" width="22.6640625" style="192" customWidth="1"/>
    <col min="3" max="3" width="23.83203125" style="192" customWidth="1"/>
    <col min="4" max="4" width="21.1640625" style="192" customWidth="1"/>
    <col min="5" max="5" width="17" style="192" bestFit="1" customWidth="1"/>
    <col min="6" max="6" width="20" style="192" customWidth="1"/>
    <col min="7" max="7" width="15.83203125" style="192" bestFit="1" customWidth="1"/>
    <col min="8" max="8" width="11.5" style="192" bestFit="1" customWidth="1"/>
    <col min="9" max="10" width="13.5" style="192" bestFit="1" customWidth="1"/>
    <col min="11" max="11" width="11.5" style="192" bestFit="1" customWidth="1"/>
    <col min="12" max="12" width="12.1640625" style="192" bestFit="1" customWidth="1"/>
    <col min="13" max="13" width="11.5" style="192" bestFit="1" customWidth="1"/>
    <col min="14" max="17" width="8.83203125" style="192"/>
    <col min="18" max="18" width="32.6640625" style="192" bestFit="1" customWidth="1"/>
    <col min="19" max="21" width="8.83203125" style="192"/>
    <col min="22" max="22" width="14.5" style="192" bestFit="1" customWidth="1"/>
    <col min="23" max="23" width="14.33203125" style="192" bestFit="1" customWidth="1"/>
    <col min="24" max="16384" width="8.83203125" style="192"/>
  </cols>
  <sheetData>
    <row r="1" spans="1:30" ht="16" thickBot="1">
      <c r="A1" s="231"/>
      <c r="B1" s="231"/>
      <c r="C1" s="231"/>
      <c r="D1" s="231"/>
      <c r="E1" s="231"/>
      <c r="F1" s="231"/>
      <c r="G1" s="231"/>
      <c r="H1" s="231"/>
      <c r="I1" s="231"/>
      <c r="J1" s="231"/>
      <c r="K1" s="231"/>
      <c r="L1" s="231"/>
      <c r="M1" s="231"/>
      <c r="N1" s="231"/>
    </row>
    <row r="2" spans="1:30" ht="16" thickBot="1">
      <c r="A2" s="407" t="s">
        <v>234</v>
      </c>
      <c r="B2" s="408"/>
      <c r="C2" s="408"/>
      <c r="D2" s="408"/>
      <c r="E2" s="408"/>
      <c r="F2" s="408"/>
      <c r="G2" s="408"/>
      <c r="H2" s="408"/>
      <c r="I2" s="408"/>
      <c r="J2" s="408"/>
      <c r="K2" s="408"/>
      <c r="L2" s="408"/>
      <c r="M2" s="408"/>
      <c r="N2" s="409"/>
      <c r="O2" s="215"/>
    </row>
    <row r="3" spans="1:30">
      <c r="A3" s="129" t="s">
        <v>261</v>
      </c>
      <c r="B3" s="134" t="s">
        <v>23</v>
      </c>
      <c r="C3" s="412" t="s">
        <v>235</v>
      </c>
      <c r="D3" s="412" t="s">
        <v>23</v>
      </c>
      <c r="E3" s="412" t="s">
        <v>23</v>
      </c>
      <c r="F3" s="412" t="s">
        <v>23</v>
      </c>
      <c r="G3" s="412" t="s">
        <v>23</v>
      </c>
      <c r="H3" s="412" t="s">
        <v>23</v>
      </c>
      <c r="I3" s="412" t="s">
        <v>23</v>
      </c>
      <c r="J3" s="412" t="s">
        <v>23</v>
      </c>
      <c r="K3" s="412" t="s">
        <v>23</v>
      </c>
      <c r="L3" s="412" t="s">
        <v>23</v>
      </c>
      <c r="M3" s="412" t="s">
        <v>23</v>
      </c>
      <c r="N3" s="413" t="s">
        <v>23</v>
      </c>
      <c r="O3" s="216"/>
    </row>
    <row r="4" spans="1:30">
      <c r="A4" s="129" t="s">
        <v>23</v>
      </c>
      <c r="B4" s="134" t="s">
        <v>23</v>
      </c>
      <c r="C4" s="134" t="s">
        <v>236</v>
      </c>
      <c r="D4" s="134" t="s">
        <v>237</v>
      </c>
      <c r="E4" s="134" t="s">
        <v>238</v>
      </c>
      <c r="F4" s="134" t="s">
        <v>239</v>
      </c>
      <c r="G4" s="134" t="s">
        <v>240</v>
      </c>
      <c r="H4" s="134" t="s">
        <v>241</v>
      </c>
      <c r="I4" s="134" t="s">
        <v>242</v>
      </c>
      <c r="J4" s="134" t="s">
        <v>243</v>
      </c>
      <c r="K4" s="134" t="s">
        <v>244</v>
      </c>
      <c r="L4" s="134" t="s">
        <v>245</v>
      </c>
      <c r="M4" s="134" t="s">
        <v>246</v>
      </c>
      <c r="N4" s="263" t="s">
        <v>247</v>
      </c>
      <c r="O4" s="217"/>
    </row>
    <row r="5" spans="1:30">
      <c r="A5" s="418" t="s">
        <v>248</v>
      </c>
      <c r="B5" s="134" t="s">
        <v>8</v>
      </c>
      <c r="C5" s="135">
        <v>0</v>
      </c>
      <c r="D5" s="135">
        <v>21.148484817593602</v>
      </c>
      <c r="E5" s="135">
        <v>15.750503841459899</v>
      </c>
      <c r="F5" s="135">
        <v>9.1489654406897998</v>
      </c>
      <c r="G5" s="135">
        <v>9.9853800423712507</v>
      </c>
      <c r="H5" s="135">
        <v>4.4979886613928599</v>
      </c>
      <c r="I5" s="135">
        <v>5.8281621289760404</v>
      </c>
      <c r="J5" s="135">
        <v>6.3481136981583797</v>
      </c>
      <c r="K5" s="135">
        <v>9.9497792382914199</v>
      </c>
      <c r="L5" s="135">
        <v>10.004247850314201</v>
      </c>
      <c r="M5" s="135">
        <v>7.3383742807525598</v>
      </c>
      <c r="N5" s="250">
        <v>0</v>
      </c>
      <c r="O5" s="232"/>
      <c r="P5" s="219"/>
      <c r="Q5" s="219"/>
    </row>
    <row r="6" spans="1:30">
      <c r="A6" s="418" t="s">
        <v>23</v>
      </c>
      <c r="B6" s="264" t="s">
        <v>7</v>
      </c>
      <c r="C6" s="135">
        <v>0</v>
      </c>
      <c r="D6" s="135">
        <v>14.010537234334199</v>
      </c>
      <c r="E6" s="135">
        <v>12.2120096843475</v>
      </c>
      <c r="F6" s="135">
        <v>5.6327633270231603</v>
      </c>
      <c r="G6" s="135">
        <v>6.4022186022396799</v>
      </c>
      <c r="H6" s="135">
        <v>6.92364763918932</v>
      </c>
      <c r="I6" s="135">
        <v>4.1476739391196498</v>
      </c>
      <c r="J6" s="135">
        <v>5.5509743316172102</v>
      </c>
      <c r="K6" s="135">
        <v>5.8121531447797299</v>
      </c>
      <c r="L6" s="135">
        <v>12.0957611004577</v>
      </c>
      <c r="M6" s="135">
        <v>27.2122609968918</v>
      </c>
      <c r="N6" s="250">
        <v>0</v>
      </c>
      <c r="O6" s="232"/>
      <c r="P6" s="219"/>
      <c r="Q6" s="219"/>
    </row>
    <row r="7" spans="1:30">
      <c r="A7" s="418" t="s">
        <v>23</v>
      </c>
      <c r="B7" s="134" t="s">
        <v>6</v>
      </c>
      <c r="C7" s="135">
        <v>0</v>
      </c>
      <c r="D7" s="135">
        <v>19.855249925056501</v>
      </c>
      <c r="E7" s="135">
        <v>11.5834051134044</v>
      </c>
      <c r="F7" s="135">
        <v>7.2384488306902401</v>
      </c>
      <c r="G7" s="135">
        <v>4.8901785041876797</v>
      </c>
      <c r="H7" s="135">
        <v>4.5774465910180604</v>
      </c>
      <c r="I7" s="135">
        <v>1.98146462488375</v>
      </c>
      <c r="J7" s="135">
        <v>2.6832165714986802</v>
      </c>
      <c r="K7" s="135">
        <v>8.4579452714270804</v>
      </c>
      <c r="L7" s="135">
        <v>11.899584360628699</v>
      </c>
      <c r="M7" s="135">
        <v>26.6826691308604</v>
      </c>
      <c r="N7" s="250">
        <v>0.150391076344219</v>
      </c>
      <c r="O7" s="232"/>
      <c r="P7" s="219"/>
      <c r="Q7" s="219"/>
    </row>
    <row r="8" spans="1:30">
      <c r="A8" s="418" t="s">
        <v>23</v>
      </c>
      <c r="B8" s="134" t="s">
        <v>5</v>
      </c>
      <c r="C8" s="135">
        <v>0</v>
      </c>
      <c r="D8" s="135">
        <v>13.183896600967801</v>
      </c>
      <c r="E8" s="135">
        <v>7.4921229917218701</v>
      </c>
      <c r="F8" s="135">
        <v>5.6485508278907401</v>
      </c>
      <c r="G8" s="135">
        <v>3.31479407700603</v>
      </c>
      <c r="H8" s="135">
        <v>2.0157061552958999</v>
      </c>
      <c r="I8" s="135">
        <v>1.7104732903023501</v>
      </c>
      <c r="J8" s="135">
        <v>1.4291344390281899</v>
      </c>
      <c r="K8" s="135">
        <v>6.9104255959815504</v>
      </c>
      <c r="L8" s="135">
        <v>17.331256712673699</v>
      </c>
      <c r="M8" s="135">
        <v>40.698502455181099</v>
      </c>
      <c r="N8" s="250">
        <v>0.26513685395084402</v>
      </c>
      <c r="O8" s="232"/>
      <c r="P8" s="219"/>
      <c r="Q8" s="219"/>
    </row>
    <row r="9" spans="1:30">
      <c r="A9" s="418" t="s">
        <v>23</v>
      </c>
      <c r="B9" s="134" t="s">
        <v>4</v>
      </c>
      <c r="C9" s="135">
        <v>0</v>
      </c>
      <c r="D9" s="135">
        <v>2.4154165130020502</v>
      </c>
      <c r="E9" s="135">
        <v>2.5377347982887501</v>
      </c>
      <c r="F9" s="135">
        <v>1.6590893792232499</v>
      </c>
      <c r="G9" s="135">
        <v>1.6977899444829101</v>
      </c>
      <c r="H9" s="135">
        <v>1.94048231420319</v>
      </c>
      <c r="I9" s="135">
        <v>1.3715134390339101</v>
      </c>
      <c r="J9" s="135">
        <v>2.12760470620896</v>
      </c>
      <c r="K9" s="135">
        <v>3.6534121768424002</v>
      </c>
      <c r="L9" s="135">
        <v>7.6639083377747701</v>
      </c>
      <c r="M9" s="135">
        <v>45.955136327753102</v>
      </c>
      <c r="N9" s="250">
        <v>28.977912063204698</v>
      </c>
      <c r="O9" s="232"/>
      <c r="P9" s="219"/>
      <c r="Q9" s="219"/>
    </row>
    <row r="10" spans="1:30" ht="16" thickBot="1">
      <c r="A10" s="419" t="s">
        <v>23</v>
      </c>
      <c r="B10" s="142" t="s">
        <v>249</v>
      </c>
      <c r="C10" s="143">
        <v>0</v>
      </c>
      <c r="D10" s="143">
        <v>16.575868188745702</v>
      </c>
      <c r="E10" s="143">
        <v>12.3242288552524</v>
      </c>
      <c r="F10" s="143">
        <v>7.0635927654756996</v>
      </c>
      <c r="G10" s="143">
        <v>7.3105688690517496</v>
      </c>
      <c r="H10" s="143">
        <v>4.3763509670129599</v>
      </c>
      <c r="I10" s="143">
        <v>4.2954545421827603</v>
      </c>
      <c r="J10" s="143">
        <v>4.9768412646333298</v>
      </c>
      <c r="K10" s="143">
        <v>8.0180788322283902</v>
      </c>
      <c r="L10" s="143">
        <v>10.4566886752269</v>
      </c>
      <c r="M10" s="143">
        <v>19.956653752604598</v>
      </c>
      <c r="N10" s="218">
        <v>4.6456732875884299</v>
      </c>
      <c r="O10" s="232"/>
      <c r="P10" s="219"/>
      <c r="Q10" s="219"/>
    </row>
    <row r="11" spans="1:30" ht="16" thickBot="1">
      <c r="A11" s="231"/>
      <c r="B11" s="216"/>
      <c r="C11" s="217"/>
      <c r="D11" s="217"/>
      <c r="E11" s="217"/>
      <c r="F11" s="217"/>
      <c r="G11" s="217"/>
      <c r="H11" s="217"/>
      <c r="I11" s="217"/>
      <c r="J11" s="217"/>
      <c r="K11" s="217"/>
      <c r="L11" s="217"/>
      <c r="M11" s="217"/>
      <c r="N11" s="217"/>
      <c r="O11" s="232"/>
      <c r="P11" s="219"/>
      <c r="Q11" s="219"/>
    </row>
    <row r="12" spans="1:30">
      <c r="A12" s="416"/>
      <c r="B12" s="410" t="s">
        <v>8</v>
      </c>
      <c r="C12" s="410"/>
      <c r="D12" s="410" t="s">
        <v>7</v>
      </c>
      <c r="E12" s="410"/>
      <c r="F12" s="410" t="s">
        <v>6</v>
      </c>
      <c r="G12" s="410"/>
      <c r="H12" s="410" t="s">
        <v>5</v>
      </c>
      <c r="I12" s="410"/>
      <c r="J12" s="410" t="s">
        <v>4</v>
      </c>
      <c r="K12" s="411"/>
      <c r="L12" s="231"/>
      <c r="M12" s="231"/>
      <c r="N12" s="231"/>
      <c r="O12" s="215"/>
    </row>
    <row r="13" spans="1:30">
      <c r="A13" s="417" t="s">
        <v>250</v>
      </c>
      <c r="B13" s="255" t="s">
        <v>251</v>
      </c>
      <c r="C13" s="255" t="s">
        <v>252</v>
      </c>
      <c r="D13" s="256" t="s">
        <v>251</v>
      </c>
      <c r="E13" s="255" t="s">
        <v>252</v>
      </c>
      <c r="F13" s="256" t="s">
        <v>251</v>
      </c>
      <c r="G13" s="255" t="s">
        <v>252</v>
      </c>
      <c r="H13" s="256" t="s">
        <v>251</v>
      </c>
      <c r="I13" s="255" t="s">
        <v>252</v>
      </c>
      <c r="J13" s="256" t="s">
        <v>251</v>
      </c>
      <c r="K13" s="257" t="s">
        <v>252</v>
      </c>
      <c r="L13" s="231"/>
      <c r="M13" s="231"/>
      <c r="N13" s="231"/>
    </row>
    <row r="14" spans="1:30">
      <c r="A14" s="258">
        <v>0</v>
      </c>
      <c r="B14" s="247">
        <v>0</v>
      </c>
      <c r="C14" s="245">
        <v>0</v>
      </c>
      <c r="D14" s="259">
        <v>742.572242572243</v>
      </c>
      <c r="E14" s="245">
        <v>2</v>
      </c>
      <c r="F14" s="245">
        <v>451.662791386511</v>
      </c>
      <c r="G14" s="245">
        <v>30</v>
      </c>
      <c r="H14" s="259">
        <v>141.485675788393</v>
      </c>
      <c r="I14" s="245">
        <v>235</v>
      </c>
      <c r="J14" s="259">
        <v>15.9007642969821</v>
      </c>
      <c r="K14" s="248">
        <v>155609</v>
      </c>
      <c r="L14" s="231"/>
      <c r="M14" s="231"/>
      <c r="N14" s="231"/>
    </row>
    <row r="15" spans="1:30">
      <c r="A15" s="249">
        <v>0.05</v>
      </c>
      <c r="B15" s="235">
        <v>2754.00812649405</v>
      </c>
      <c r="C15" s="233">
        <v>0.59784946236559144</v>
      </c>
      <c r="D15" s="135">
        <v>1207.42569325663</v>
      </c>
      <c r="E15" s="233">
        <v>0.54915514592933945</v>
      </c>
      <c r="F15" s="233">
        <v>481.06661032955299</v>
      </c>
      <c r="G15" s="233">
        <v>0.67401215805471126</v>
      </c>
      <c r="H15" s="135">
        <v>176.95047806139499</v>
      </c>
      <c r="I15" s="233">
        <v>0.64604966139954856</v>
      </c>
      <c r="J15" s="135">
        <v>52.438578502634897</v>
      </c>
      <c r="K15" s="236">
        <v>5.6925484271299842E-2</v>
      </c>
      <c r="L15" s="231"/>
      <c r="M15" s="231"/>
      <c r="N15" s="231"/>
      <c r="AD15" s="217"/>
    </row>
    <row r="16" spans="1:30">
      <c r="A16" s="249">
        <v>0.15000000000000002</v>
      </c>
      <c r="B16" s="235">
        <v>3039.5449155593401</v>
      </c>
      <c r="C16" s="233">
        <v>0.18064516129032257</v>
      </c>
      <c r="D16" s="135">
        <v>1296.78752749151</v>
      </c>
      <c r="E16" s="233">
        <v>0.18663594470046083</v>
      </c>
      <c r="F16" s="233">
        <v>445.859717425432</v>
      </c>
      <c r="G16" s="233">
        <v>0.14513677811550152</v>
      </c>
      <c r="H16" s="135">
        <v>169.24306213767699</v>
      </c>
      <c r="I16" s="233">
        <v>0.10428893905191873</v>
      </c>
      <c r="J16" s="135">
        <v>38.662269230769397</v>
      </c>
      <c r="K16" s="236">
        <v>3.3022176657853557E-2</v>
      </c>
      <c r="L16" s="231"/>
      <c r="M16" s="231"/>
      <c r="N16" s="231"/>
      <c r="AD16" s="217"/>
    </row>
    <row r="17" spans="1:38">
      <c r="A17" s="249">
        <v>0.25</v>
      </c>
      <c r="B17" s="235">
        <v>2949.5929752535199</v>
      </c>
      <c r="C17" s="233">
        <v>6.6666666666666666E-2</v>
      </c>
      <c r="D17" s="135">
        <v>1171.7668474608199</v>
      </c>
      <c r="E17" s="233">
        <v>5.3763440860215055E-2</v>
      </c>
      <c r="F17" s="233">
        <v>483.05502886055802</v>
      </c>
      <c r="G17" s="233">
        <v>4.2553191489361701E-2</v>
      </c>
      <c r="H17" s="135">
        <v>192.48812262826101</v>
      </c>
      <c r="I17" s="233">
        <v>3.5214446952595936E-2</v>
      </c>
      <c r="J17" s="135">
        <v>31.2631108144192</v>
      </c>
      <c r="K17" s="236">
        <v>2.2050756308566701E-2</v>
      </c>
      <c r="L17" s="231"/>
      <c r="M17" s="231"/>
      <c r="N17" s="231"/>
      <c r="AD17" s="217"/>
    </row>
    <row r="18" spans="1:38">
      <c r="A18" s="249">
        <v>0.35</v>
      </c>
      <c r="B18" s="235">
        <v>3002.1253361201502</v>
      </c>
      <c r="C18" s="233">
        <v>3.870967741935484E-2</v>
      </c>
      <c r="D18" s="135">
        <v>1289.7587336505601</v>
      </c>
      <c r="E18" s="233">
        <v>3.6866359447004608E-2</v>
      </c>
      <c r="F18" s="233">
        <v>464.447271845111</v>
      </c>
      <c r="G18" s="233">
        <v>2.2036474164133738E-2</v>
      </c>
      <c r="H18" s="135">
        <v>171.81110968239699</v>
      </c>
      <c r="I18" s="233">
        <v>1.8961625282167043E-2</v>
      </c>
      <c r="J18" s="135">
        <v>24.190423400129198</v>
      </c>
      <c r="K18" s="236">
        <v>2.8723538193132971E-2</v>
      </c>
      <c r="L18" s="231"/>
      <c r="M18" s="231"/>
      <c r="N18" s="231"/>
      <c r="P18" s="215"/>
      <c r="Q18" s="216"/>
      <c r="R18" s="217"/>
      <c r="S18" s="217"/>
      <c r="T18" s="217"/>
      <c r="U18" s="217"/>
      <c r="V18" s="217"/>
      <c r="W18" s="217"/>
      <c r="X18" s="217"/>
      <c r="Y18" s="217"/>
      <c r="Z18" s="217"/>
      <c r="AA18" s="217"/>
      <c r="AB18" s="217"/>
      <c r="AC18" s="217"/>
      <c r="AD18" s="217"/>
    </row>
    <row r="19" spans="1:38">
      <c r="A19" s="249">
        <v>0.45</v>
      </c>
      <c r="B19" s="235">
        <v>2707.2040923443501</v>
      </c>
      <c r="C19" s="233">
        <v>1.935483870967742E-2</v>
      </c>
      <c r="D19" s="135">
        <v>1255.4544321157</v>
      </c>
      <c r="E19" s="233">
        <v>3.3026113671274962E-2</v>
      </c>
      <c r="F19" s="233">
        <v>584.78422367798998</v>
      </c>
      <c r="G19" s="233">
        <v>1.1398176291793313E-2</v>
      </c>
      <c r="H19" s="135">
        <v>161.320268179474</v>
      </c>
      <c r="I19" s="233">
        <v>9.0293453724604959E-3</v>
      </c>
      <c r="J19" s="135">
        <v>30.940827974276601</v>
      </c>
      <c r="K19" s="236">
        <v>6.2591053795931582E-3</v>
      </c>
      <c r="L19" s="231"/>
      <c r="M19" s="231"/>
      <c r="N19" s="231"/>
      <c r="P19" s="215"/>
      <c r="Q19" s="216"/>
      <c r="R19" s="217"/>
      <c r="S19" s="217"/>
      <c r="T19" s="217"/>
      <c r="U19" s="217"/>
      <c r="V19" s="217"/>
      <c r="W19" s="217"/>
      <c r="X19" s="217"/>
      <c r="Y19" s="217"/>
      <c r="Z19" s="217"/>
      <c r="AA19" s="217"/>
      <c r="AB19" s="217"/>
      <c r="AC19" s="217"/>
      <c r="AD19" s="217"/>
    </row>
    <row r="20" spans="1:38">
      <c r="A20" s="249">
        <v>0.55000000000000004</v>
      </c>
      <c r="B20" s="235">
        <v>2512.16028339079</v>
      </c>
      <c r="C20" s="233">
        <v>2.1505376344086023E-2</v>
      </c>
      <c r="D20" s="135">
        <v>1358.1598636276599</v>
      </c>
      <c r="E20" s="233">
        <v>1.3824884792626729E-2</v>
      </c>
      <c r="F20" s="233">
        <v>450.55790363482703</v>
      </c>
      <c r="G20" s="233">
        <v>6.0790273556231003E-3</v>
      </c>
      <c r="H20" s="135">
        <v>134.193548387097</v>
      </c>
      <c r="I20" s="233">
        <v>9.0293453724604959E-3</v>
      </c>
      <c r="J20" s="135">
        <v>24.027200259235201</v>
      </c>
      <c r="K20" s="236">
        <v>1.0054137664346482E-2</v>
      </c>
      <c r="L20" s="231"/>
      <c r="M20" s="231"/>
      <c r="N20" s="231"/>
      <c r="P20" s="215"/>
      <c r="Q20" s="216"/>
      <c r="R20" s="217"/>
      <c r="S20" s="217"/>
      <c r="T20" s="217"/>
      <c r="U20" s="217"/>
      <c r="V20" s="217"/>
      <c r="W20" s="217"/>
      <c r="X20" s="217"/>
      <c r="Y20" s="217"/>
      <c r="Z20" s="217"/>
      <c r="AA20" s="217"/>
      <c r="AB20" s="217"/>
      <c r="AC20" s="217"/>
      <c r="AD20" s="217"/>
    </row>
    <row r="21" spans="1:38">
      <c r="A21" s="249">
        <v>0.65</v>
      </c>
      <c r="B21" s="235">
        <v>3348.3166371141701</v>
      </c>
      <c r="C21" s="233">
        <v>1.5053763440860216E-2</v>
      </c>
      <c r="D21" s="135">
        <v>1352.37277546311</v>
      </c>
      <c r="E21" s="233">
        <v>1.6129032258064516E-2</v>
      </c>
      <c r="F21" s="233">
        <v>531.17742371050497</v>
      </c>
      <c r="G21" s="233">
        <v>6.0790273556231003E-3</v>
      </c>
      <c r="H21" s="135">
        <v>134.075304540421</v>
      </c>
      <c r="I21" s="233">
        <v>6.7720090293453723E-3</v>
      </c>
      <c r="J21" s="135">
        <v>16.6842267711502</v>
      </c>
      <c r="K21" s="236">
        <v>3.5324376337703918E-2</v>
      </c>
      <c r="L21" s="231"/>
      <c r="M21" s="231"/>
      <c r="N21" s="231"/>
      <c r="P21" s="215"/>
      <c r="Q21" s="216"/>
      <c r="R21" s="217"/>
      <c r="S21" s="217"/>
      <c r="T21" s="217"/>
      <c r="U21" s="217"/>
      <c r="V21" s="217"/>
      <c r="W21" s="217"/>
      <c r="X21" s="217"/>
      <c r="Y21" s="217"/>
      <c r="Z21" s="217"/>
      <c r="AA21" s="217"/>
      <c r="AB21" s="217"/>
      <c r="AC21" s="217"/>
      <c r="AD21" s="217"/>
    </row>
    <row r="22" spans="1:38">
      <c r="A22" s="249">
        <v>0.75</v>
      </c>
      <c r="B22" s="235">
        <v>2783.78832561741</v>
      </c>
      <c r="C22" s="233">
        <v>1.935483870967742E-2</v>
      </c>
      <c r="D22" s="135">
        <v>1184.2270936610601</v>
      </c>
      <c r="E22" s="233">
        <v>1.9201228878648235E-2</v>
      </c>
      <c r="F22" s="233">
        <v>530.85043035781996</v>
      </c>
      <c r="G22" s="233">
        <v>1.5197568389057751E-2</v>
      </c>
      <c r="H22" s="135">
        <v>171.13633274432499</v>
      </c>
      <c r="I22" s="233">
        <v>2.1670428893905191E-2</v>
      </c>
      <c r="J22" s="135">
        <v>19.505320855614901</v>
      </c>
      <c r="K22" s="250">
        <v>2.8993327218115435E-2</v>
      </c>
      <c r="L22" s="217"/>
      <c r="M22" s="217"/>
      <c r="N22" s="217"/>
      <c r="P22" s="215"/>
      <c r="Q22" s="216"/>
      <c r="R22" s="217"/>
      <c r="S22" s="217"/>
      <c r="T22" s="217"/>
      <c r="U22" s="217"/>
      <c r="V22" s="217"/>
      <c r="W22" s="217"/>
      <c r="X22" s="217"/>
      <c r="Y22" s="217"/>
      <c r="Z22" s="217"/>
      <c r="AA22" s="217"/>
      <c r="AB22" s="217"/>
      <c r="AC22" s="217"/>
      <c r="AD22" s="217"/>
    </row>
    <row r="23" spans="1:38">
      <c r="A23" s="249">
        <v>0.85</v>
      </c>
      <c r="B23" s="235">
        <v>2869.7276191001502</v>
      </c>
      <c r="C23" s="233">
        <v>2.3655913978494623E-2</v>
      </c>
      <c r="D23" s="135">
        <v>1359.6542226204001</v>
      </c>
      <c r="E23" s="233">
        <v>3.0721966205837174E-2</v>
      </c>
      <c r="F23" s="233">
        <v>522.92135033542604</v>
      </c>
      <c r="G23" s="233">
        <v>2.2036474164133738E-2</v>
      </c>
      <c r="H23" s="135">
        <v>167.22374211966201</v>
      </c>
      <c r="I23" s="233">
        <v>5.1918735891647853E-2</v>
      </c>
      <c r="J23" s="135">
        <v>22.473182173573001</v>
      </c>
      <c r="K23" s="250">
        <v>3.9497113257432687E-2</v>
      </c>
      <c r="L23" s="217"/>
      <c r="M23" s="217"/>
      <c r="N23" s="217"/>
    </row>
    <row r="24" spans="1:38">
      <c r="A24" s="249">
        <v>0.95</v>
      </c>
      <c r="B24" s="235">
        <v>2704.0335254059701</v>
      </c>
      <c r="C24" s="233">
        <v>1.7204301075268817E-2</v>
      </c>
      <c r="D24" s="135">
        <v>1376.3671008326601</v>
      </c>
      <c r="E24" s="233">
        <v>6.0675883256528416E-2</v>
      </c>
      <c r="F24" s="233">
        <v>462.34262426315399</v>
      </c>
      <c r="G24" s="233">
        <v>5.5471124620060791E-2</v>
      </c>
      <c r="H24" s="135">
        <v>174.65163169292799</v>
      </c>
      <c r="I24" s="233">
        <v>9.7065462753950338E-2</v>
      </c>
      <c r="J24" s="135">
        <v>22.800461845344099</v>
      </c>
      <c r="K24" s="250">
        <v>0.73914998471195525</v>
      </c>
      <c r="L24" s="231"/>
      <c r="M24" s="231"/>
      <c r="N24" s="231"/>
      <c r="P24" s="215"/>
      <c r="Q24" s="215"/>
      <c r="R24" s="215"/>
      <c r="S24" s="215"/>
      <c r="T24" s="215"/>
      <c r="U24" s="215"/>
      <c r="V24" s="215"/>
      <c r="W24" s="215"/>
      <c r="X24" s="215"/>
      <c r="Y24" s="215"/>
      <c r="Z24" s="215"/>
      <c r="AA24" s="215"/>
      <c r="AB24" s="215"/>
      <c r="AC24" s="215"/>
      <c r="AD24" s="215"/>
    </row>
    <row r="25" spans="1:38">
      <c r="A25" s="260">
        <v>1</v>
      </c>
      <c r="B25" s="241">
        <v>0</v>
      </c>
      <c r="C25" s="241">
        <v>0</v>
      </c>
      <c r="D25" s="241">
        <v>0</v>
      </c>
      <c r="E25" s="241">
        <v>0</v>
      </c>
      <c r="F25" s="261">
        <v>0</v>
      </c>
      <c r="G25" s="261">
        <v>0</v>
      </c>
      <c r="H25" s="230">
        <v>0</v>
      </c>
      <c r="I25" s="230">
        <v>0</v>
      </c>
      <c r="J25" s="241">
        <v>0</v>
      </c>
      <c r="K25" s="262">
        <v>0</v>
      </c>
      <c r="L25" s="215"/>
      <c r="M25" s="215"/>
      <c r="N25" s="215"/>
      <c r="P25" s="215"/>
      <c r="Q25" s="215"/>
      <c r="R25" s="215"/>
      <c r="S25" s="215"/>
      <c r="T25" s="215"/>
      <c r="U25" s="215"/>
      <c r="V25" s="215"/>
      <c r="W25" s="215"/>
      <c r="X25" s="217"/>
      <c r="Z25" s="217"/>
      <c r="AB25" s="215"/>
      <c r="AC25" s="215"/>
      <c r="AD25" s="215"/>
    </row>
    <row r="26" spans="1:38">
      <c r="A26" s="229" t="s">
        <v>253</v>
      </c>
      <c r="B26" s="251">
        <v>0.168494623655914</v>
      </c>
      <c r="C26" s="252">
        <v>465</v>
      </c>
      <c r="D26" s="251">
        <v>0.2129032258064516</v>
      </c>
      <c r="E26" s="252">
        <v>1302</v>
      </c>
      <c r="F26" s="251">
        <v>0.16907294832826747</v>
      </c>
      <c r="G26" s="252">
        <v>1316</v>
      </c>
      <c r="H26" s="251">
        <v>0.22941309255079007</v>
      </c>
      <c r="I26" s="252">
        <v>2215</v>
      </c>
      <c r="J26" s="251">
        <v>0.81218277307145814</v>
      </c>
      <c r="K26" s="253">
        <v>55599</v>
      </c>
      <c r="L26" s="216"/>
      <c r="M26" s="216"/>
      <c r="N26" s="216"/>
      <c r="P26" s="215"/>
      <c r="Q26" s="215"/>
      <c r="R26" s="217"/>
      <c r="S26" s="217"/>
      <c r="T26" s="217"/>
      <c r="U26" s="217"/>
      <c r="V26" s="217"/>
      <c r="W26" s="217"/>
      <c r="AB26" s="217"/>
      <c r="AC26" s="217"/>
      <c r="AD26" s="217"/>
      <c r="AE26" s="220"/>
    </row>
    <row r="27" spans="1:38" ht="15" customHeight="1" thickBot="1">
      <c r="A27" s="228" t="s">
        <v>254</v>
      </c>
      <c r="B27" s="138">
        <v>4350</v>
      </c>
      <c r="C27" s="138"/>
      <c r="D27" s="138">
        <v>1500</v>
      </c>
      <c r="E27" s="138"/>
      <c r="F27" s="142">
        <v>712.5</v>
      </c>
      <c r="G27" s="142"/>
      <c r="H27" s="138">
        <v>287.5</v>
      </c>
      <c r="I27" s="138"/>
      <c r="J27" s="138">
        <v>75</v>
      </c>
      <c r="K27" s="254"/>
      <c r="L27" s="217"/>
      <c r="M27" s="217"/>
      <c r="N27" s="217"/>
      <c r="P27" s="215"/>
      <c r="Q27" s="215"/>
      <c r="R27" s="217"/>
      <c r="S27" s="217"/>
      <c r="T27" s="217"/>
      <c r="U27" s="217"/>
      <c r="V27" s="217"/>
      <c r="W27" s="217"/>
      <c r="AB27" s="217"/>
      <c r="AC27" s="217"/>
      <c r="AD27" s="217"/>
    </row>
    <row r="28" spans="1:38">
      <c r="A28" s="215"/>
      <c r="B28" s="216"/>
      <c r="C28" s="217"/>
      <c r="D28" s="217"/>
      <c r="E28" s="217"/>
      <c r="F28" s="217"/>
      <c r="G28" s="217"/>
      <c r="H28" s="217"/>
      <c r="I28" s="217"/>
      <c r="J28" s="217"/>
      <c r="K28" s="217"/>
      <c r="L28" s="217"/>
      <c r="M28" s="217"/>
      <c r="N28" s="217"/>
    </row>
    <row r="29" spans="1:38">
      <c r="A29" s="231"/>
      <c r="B29" s="216"/>
      <c r="C29" s="217"/>
      <c r="D29" s="217"/>
      <c r="E29" s="217"/>
      <c r="F29" s="217"/>
      <c r="G29" s="217"/>
      <c r="H29" s="217"/>
      <c r="I29" s="217"/>
      <c r="J29" s="217"/>
      <c r="K29" s="217"/>
      <c r="L29" s="217"/>
      <c r="M29" s="217"/>
      <c r="N29" s="217"/>
    </row>
    <row r="30" spans="1:38" ht="16" thickBot="1">
      <c r="A30" s="231"/>
      <c r="B30" s="216"/>
      <c r="C30" s="217"/>
      <c r="D30" s="217"/>
      <c r="E30" s="217"/>
      <c r="F30" s="217"/>
      <c r="G30" s="217"/>
      <c r="H30" s="217"/>
      <c r="I30" s="217"/>
      <c r="J30" s="217"/>
      <c r="K30" s="217"/>
      <c r="L30" s="217"/>
      <c r="M30" s="217"/>
      <c r="N30" s="217"/>
      <c r="X30" s="215"/>
      <c r="Y30" s="215"/>
      <c r="Z30" s="215"/>
      <c r="AA30" s="215"/>
      <c r="AB30" s="215"/>
      <c r="AC30" s="215"/>
      <c r="AD30" s="215"/>
      <c r="AE30" s="215"/>
      <c r="AF30" s="215"/>
      <c r="AG30" s="215" t="s">
        <v>23</v>
      </c>
      <c r="AH30" s="215" t="s">
        <v>23</v>
      </c>
      <c r="AI30" s="215" t="s">
        <v>23</v>
      </c>
      <c r="AJ30" s="215" t="s">
        <v>23</v>
      </c>
      <c r="AK30" s="215" t="s">
        <v>23</v>
      </c>
    </row>
    <row r="31" spans="1:38" ht="15" customHeight="1">
      <c r="A31" s="279"/>
      <c r="B31" s="405" t="s">
        <v>255</v>
      </c>
      <c r="C31" s="405"/>
      <c r="D31" s="405" t="s">
        <v>293</v>
      </c>
      <c r="E31" s="420" t="s">
        <v>291</v>
      </c>
      <c r="F31" s="405" t="s">
        <v>292</v>
      </c>
      <c r="G31" s="405" t="s">
        <v>256</v>
      </c>
      <c r="H31" s="420" t="s">
        <v>257</v>
      </c>
      <c r="I31" s="420" t="s">
        <v>258</v>
      </c>
      <c r="J31" s="420" t="s">
        <v>259</v>
      </c>
      <c r="K31" s="405" t="s">
        <v>294</v>
      </c>
      <c r="L31" s="414" t="s">
        <v>295</v>
      </c>
      <c r="M31" s="231"/>
      <c r="N31" s="231"/>
      <c r="X31" s="215"/>
      <c r="Y31" s="215"/>
      <c r="Z31" s="215"/>
      <c r="AA31" s="215"/>
      <c r="AB31" s="215"/>
      <c r="AC31" s="215"/>
      <c r="AD31" s="215"/>
      <c r="AE31" s="215"/>
      <c r="AF31" s="215"/>
      <c r="AG31" s="215"/>
      <c r="AH31" s="215"/>
      <c r="AI31" s="215"/>
      <c r="AJ31" s="215"/>
      <c r="AK31" s="215"/>
    </row>
    <row r="32" spans="1:38" ht="15" customHeight="1">
      <c r="A32" s="404"/>
      <c r="B32" s="406"/>
      <c r="C32" s="406"/>
      <c r="D32" s="406"/>
      <c r="E32" s="421"/>
      <c r="F32" s="406"/>
      <c r="G32" s="406"/>
      <c r="H32" s="421"/>
      <c r="I32" s="421"/>
      <c r="J32" s="421"/>
      <c r="K32" s="406"/>
      <c r="L32" s="415"/>
      <c r="M32" s="231"/>
      <c r="N32" s="231"/>
      <c r="X32" s="215"/>
      <c r="Y32" s="215"/>
      <c r="Z32" s="217"/>
      <c r="AA32" s="217"/>
      <c r="AB32" s="217"/>
      <c r="AC32" s="217"/>
      <c r="AD32" s="217"/>
      <c r="AE32" s="217"/>
      <c r="AF32" s="217"/>
      <c r="AG32" s="217"/>
      <c r="AH32" s="217"/>
      <c r="AI32" s="217"/>
      <c r="AJ32" s="217"/>
      <c r="AK32" s="217"/>
      <c r="AL32" s="220"/>
    </row>
    <row r="33" spans="1:38">
      <c r="A33" s="403" t="s">
        <v>8</v>
      </c>
      <c r="B33" s="245">
        <v>0</v>
      </c>
      <c r="C33" s="246">
        <v>0</v>
      </c>
      <c r="D33" s="245">
        <f>100-F33</f>
        <v>100</v>
      </c>
      <c r="E33" s="245">
        <f>C5</f>
        <v>0</v>
      </c>
      <c r="F33" s="245">
        <f>E33</f>
        <v>0</v>
      </c>
      <c r="G33" s="247">
        <f>C14</f>
        <v>0</v>
      </c>
      <c r="H33" s="247"/>
      <c r="I33" s="247"/>
      <c r="J33" s="245">
        <v>0</v>
      </c>
      <c r="K33" s="245"/>
      <c r="L33" s="248"/>
      <c r="M33" s="220"/>
      <c r="N33" s="220"/>
      <c r="X33" s="215"/>
      <c r="Y33" s="215"/>
      <c r="Z33" s="217"/>
      <c r="AA33" s="217"/>
      <c r="AB33" s="217"/>
      <c r="AC33" s="217"/>
      <c r="AD33" s="217"/>
      <c r="AE33" s="217"/>
      <c r="AF33" s="217"/>
      <c r="AG33" s="217"/>
      <c r="AH33" s="217"/>
      <c r="AI33" s="217"/>
      <c r="AJ33" s="217"/>
      <c r="AK33" s="217"/>
      <c r="AL33" s="220"/>
    </row>
    <row r="34" spans="1:38">
      <c r="A34" s="280"/>
      <c r="B34" s="233">
        <v>5</v>
      </c>
      <c r="C34" s="234">
        <v>10</v>
      </c>
      <c r="D34" s="233">
        <f t="shared" ref="D34:D44" si="0">100-F34</f>
        <v>78.851515182406402</v>
      </c>
      <c r="E34" s="233">
        <f>D5</f>
        <v>21.148484817593602</v>
      </c>
      <c r="F34" s="233">
        <f>F33+E34</f>
        <v>21.148484817593602</v>
      </c>
      <c r="G34" s="235">
        <f t="shared" ref="G34:G44" si="1">C15*$C$26</f>
        <v>278</v>
      </c>
      <c r="H34" s="235">
        <f>G33</f>
        <v>0</v>
      </c>
      <c r="I34" s="235">
        <f>SUM(G34:G44)</f>
        <v>465</v>
      </c>
      <c r="J34" s="233">
        <v>0</v>
      </c>
      <c r="K34" s="233"/>
      <c r="L34" s="236"/>
      <c r="M34" s="220"/>
      <c r="N34" s="220"/>
      <c r="X34" s="215"/>
      <c r="Y34" s="215"/>
      <c r="Z34" s="217"/>
      <c r="AA34" s="217"/>
      <c r="AB34" s="217"/>
      <c r="AC34" s="217"/>
      <c r="AD34" s="217"/>
      <c r="AE34" s="217"/>
      <c r="AF34" s="217"/>
      <c r="AG34" s="217"/>
      <c r="AH34" s="217"/>
      <c r="AI34" s="217"/>
      <c r="AJ34" s="217"/>
      <c r="AK34" s="217"/>
      <c r="AL34" s="220"/>
    </row>
    <row r="35" spans="1:38">
      <c r="A35" s="280"/>
      <c r="B35" s="233">
        <v>15</v>
      </c>
      <c r="C35" s="234">
        <v>20</v>
      </c>
      <c r="D35" s="233">
        <f t="shared" si="0"/>
        <v>63.101011340946499</v>
      </c>
      <c r="E35" s="233">
        <f>E5</f>
        <v>15.750503841459899</v>
      </c>
      <c r="F35" s="233">
        <f t="shared" ref="F35:F44" si="2">F34+E35</f>
        <v>36.898988659053501</v>
      </c>
      <c r="G35" s="235">
        <f t="shared" si="1"/>
        <v>84</v>
      </c>
      <c r="H35" s="235">
        <f>G34+H34</f>
        <v>278</v>
      </c>
      <c r="I35" s="235">
        <f>SUM(G35:G44)</f>
        <v>187</v>
      </c>
      <c r="J35" s="233">
        <f t="shared" ref="J35:J42" si="3">(1.96*(((1.25*((F35/100)^2))*((1-(F35/100))^2)*((1/H35)+(1/I35)))^0.5))*100</f>
        <v>4.8255312892882065</v>
      </c>
      <c r="K35" s="233">
        <f t="shared" ref="K35:K44" si="4">F35-J35</f>
        <v>32.073457369765293</v>
      </c>
      <c r="L35" s="236">
        <f t="shared" ref="L35:L44" si="5">F35+J35</f>
        <v>41.724519948341708</v>
      </c>
      <c r="M35" s="220"/>
      <c r="N35" s="220"/>
      <c r="X35" s="215"/>
      <c r="Y35" s="215"/>
      <c r="Z35" s="217"/>
      <c r="AA35" s="217"/>
      <c r="AB35" s="217"/>
      <c r="AC35" s="217"/>
      <c r="AD35" s="217"/>
      <c r="AE35" s="217"/>
      <c r="AF35" s="217"/>
      <c r="AG35" s="217"/>
      <c r="AH35" s="217"/>
      <c r="AI35" s="217"/>
      <c r="AJ35" s="217"/>
      <c r="AK35" s="217"/>
      <c r="AL35" s="220"/>
    </row>
    <row r="36" spans="1:38">
      <c r="A36" s="280"/>
      <c r="B36" s="233">
        <v>25</v>
      </c>
      <c r="C36" s="234">
        <v>30</v>
      </c>
      <c r="D36" s="233">
        <f t="shared" si="0"/>
        <v>53.952045900256699</v>
      </c>
      <c r="E36" s="233">
        <f>F5</f>
        <v>9.1489654406897998</v>
      </c>
      <c r="F36" s="233">
        <f t="shared" si="2"/>
        <v>46.047954099743301</v>
      </c>
      <c r="G36" s="235">
        <f t="shared" si="1"/>
        <v>31</v>
      </c>
      <c r="H36" s="235">
        <f t="shared" ref="H36:H44" si="6">G35+H35</f>
        <v>362</v>
      </c>
      <c r="I36" s="235">
        <f>SUM(G36:G44)</f>
        <v>103</v>
      </c>
      <c r="J36" s="233">
        <f t="shared" si="3"/>
        <v>6.0797107007367925</v>
      </c>
      <c r="K36" s="233">
        <f t="shared" si="4"/>
        <v>39.968243399006511</v>
      </c>
      <c r="L36" s="236">
        <f t="shared" si="5"/>
        <v>52.12766480048009</v>
      </c>
      <c r="M36" s="220"/>
      <c r="N36" s="220"/>
      <c r="X36" s="215"/>
      <c r="Y36" s="215"/>
      <c r="Z36" s="217"/>
      <c r="AA36" s="217"/>
      <c r="AB36" s="217"/>
      <c r="AC36" s="217"/>
      <c r="AD36" s="217"/>
      <c r="AE36" s="217"/>
      <c r="AF36" s="217"/>
      <c r="AG36" s="217"/>
      <c r="AH36" s="217"/>
      <c r="AI36" s="217"/>
      <c r="AJ36" s="217"/>
      <c r="AK36" s="217"/>
      <c r="AL36" s="220"/>
    </row>
    <row r="37" spans="1:38">
      <c r="A37" s="280"/>
      <c r="B37" s="233">
        <v>35</v>
      </c>
      <c r="C37" s="234">
        <v>40</v>
      </c>
      <c r="D37" s="233">
        <f t="shared" si="0"/>
        <v>43.966665857885445</v>
      </c>
      <c r="E37" s="233">
        <f>G5</f>
        <v>9.9853800423712507</v>
      </c>
      <c r="F37" s="233">
        <f t="shared" si="2"/>
        <v>56.033334142114555</v>
      </c>
      <c r="G37" s="235">
        <f t="shared" si="1"/>
        <v>18</v>
      </c>
      <c r="H37" s="235">
        <f t="shared" si="6"/>
        <v>393</v>
      </c>
      <c r="I37" s="235">
        <f>SUM(G37:G44)</f>
        <v>72</v>
      </c>
      <c r="J37" s="233">
        <f t="shared" si="3"/>
        <v>6.9206204021628208</v>
      </c>
      <c r="K37" s="233">
        <f t="shared" si="4"/>
        <v>49.112713739951737</v>
      </c>
      <c r="L37" s="236">
        <f t="shared" si="5"/>
        <v>62.953954544277373</v>
      </c>
      <c r="M37" s="220"/>
      <c r="N37" s="220"/>
      <c r="X37" s="215"/>
      <c r="Y37" s="215"/>
      <c r="Z37" s="217"/>
      <c r="AA37" s="217"/>
      <c r="AB37" s="217"/>
      <c r="AC37" s="217"/>
      <c r="AD37" s="217"/>
      <c r="AE37" s="217"/>
      <c r="AF37" s="217"/>
      <c r="AG37" s="217"/>
      <c r="AH37" s="217"/>
      <c r="AI37" s="217"/>
      <c r="AJ37" s="217"/>
      <c r="AK37" s="217"/>
      <c r="AL37" s="220"/>
    </row>
    <row r="38" spans="1:38">
      <c r="A38" s="280"/>
      <c r="B38" s="233">
        <v>45</v>
      </c>
      <c r="C38" s="234">
        <v>50</v>
      </c>
      <c r="D38" s="233">
        <f t="shared" si="0"/>
        <v>39.468677196492585</v>
      </c>
      <c r="E38" s="233">
        <f>H5</f>
        <v>4.4979886613928599</v>
      </c>
      <c r="F38" s="233">
        <f t="shared" si="2"/>
        <v>60.531322803507415</v>
      </c>
      <c r="G38" s="235">
        <f t="shared" si="1"/>
        <v>9</v>
      </c>
      <c r="H38" s="235">
        <f t="shared" si="6"/>
        <v>411</v>
      </c>
      <c r="I38" s="235">
        <f>SUM(G38:G44)</f>
        <v>54</v>
      </c>
      <c r="J38" s="233">
        <f t="shared" si="3"/>
        <v>7.5779633293167574</v>
      </c>
      <c r="K38" s="233">
        <f t="shared" si="4"/>
        <v>52.953359474190655</v>
      </c>
      <c r="L38" s="236">
        <f t="shared" si="5"/>
        <v>68.109286132824167</v>
      </c>
      <c r="M38" s="220"/>
      <c r="N38" s="220"/>
      <c r="X38" s="215"/>
      <c r="Y38" s="215"/>
      <c r="Z38" s="217"/>
      <c r="AA38" s="217"/>
      <c r="AB38" s="217"/>
      <c r="AC38" s="217"/>
      <c r="AD38" s="217"/>
      <c r="AE38" s="217"/>
      <c r="AF38" s="217"/>
      <c r="AG38" s="217"/>
      <c r="AH38" s="217"/>
      <c r="AI38" s="217"/>
      <c r="AJ38" s="217"/>
      <c r="AK38" s="217"/>
      <c r="AL38" s="220"/>
    </row>
    <row r="39" spans="1:38">
      <c r="A39" s="280"/>
      <c r="B39" s="233">
        <v>55</v>
      </c>
      <c r="C39" s="234">
        <v>60</v>
      </c>
      <c r="D39" s="233">
        <f t="shared" si="0"/>
        <v>33.640515067516546</v>
      </c>
      <c r="E39" s="233">
        <f>I5</f>
        <v>5.8281621289760404</v>
      </c>
      <c r="F39" s="233">
        <f t="shared" si="2"/>
        <v>66.359484932483454</v>
      </c>
      <c r="G39" s="235">
        <f t="shared" si="1"/>
        <v>10</v>
      </c>
      <c r="H39" s="235">
        <f t="shared" si="6"/>
        <v>420</v>
      </c>
      <c r="I39" s="235">
        <f>SUM(G39:G44)</f>
        <v>45</v>
      </c>
      <c r="J39" s="233">
        <f t="shared" si="3"/>
        <v>7.6731253909771198</v>
      </c>
      <c r="K39" s="233">
        <f t="shared" si="4"/>
        <v>58.686359541506334</v>
      </c>
      <c r="L39" s="236">
        <f t="shared" si="5"/>
        <v>74.032610323460574</v>
      </c>
      <c r="M39" s="220"/>
      <c r="N39" s="220"/>
    </row>
    <row r="40" spans="1:38">
      <c r="A40" s="280"/>
      <c r="B40" s="233">
        <v>65</v>
      </c>
      <c r="C40" s="234">
        <v>70</v>
      </c>
      <c r="D40" s="233">
        <f t="shared" si="0"/>
        <v>27.29240136935816</v>
      </c>
      <c r="E40" s="233">
        <f>J5</f>
        <v>6.3481136981583797</v>
      </c>
      <c r="F40" s="233">
        <f t="shared" si="2"/>
        <v>72.70759863064184</v>
      </c>
      <c r="G40" s="235">
        <f t="shared" si="1"/>
        <v>7</v>
      </c>
      <c r="H40" s="235">
        <f t="shared" si="6"/>
        <v>430</v>
      </c>
      <c r="I40" s="235">
        <f>SUM(G40:G44)</f>
        <v>35</v>
      </c>
      <c r="J40" s="233">
        <f t="shared" si="3"/>
        <v>7.643475096987415</v>
      </c>
      <c r="K40" s="233">
        <f t="shared" si="4"/>
        <v>65.064123533654424</v>
      </c>
      <c r="L40" s="236">
        <f t="shared" si="5"/>
        <v>80.351073727629256</v>
      </c>
      <c r="M40" s="220"/>
      <c r="N40" s="220"/>
      <c r="X40" s="215"/>
      <c r="Y40" s="215"/>
      <c r="Z40" s="215"/>
      <c r="AA40" s="215"/>
      <c r="AB40" s="215"/>
      <c r="AC40" s="215"/>
      <c r="AD40" s="215"/>
      <c r="AE40" s="215"/>
      <c r="AF40" s="215"/>
      <c r="AG40" s="215"/>
      <c r="AH40" s="215"/>
      <c r="AI40" s="215"/>
      <c r="AJ40" s="215"/>
      <c r="AK40" s="215"/>
    </row>
    <row r="41" spans="1:38">
      <c r="A41" s="280"/>
      <c r="B41" s="233">
        <v>75</v>
      </c>
      <c r="C41" s="234">
        <v>80</v>
      </c>
      <c r="D41" s="233">
        <f t="shared" si="0"/>
        <v>17.342622131066747</v>
      </c>
      <c r="E41" s="233">
        <f>K5</f>
        <v>9.9497792382914199</v>
      </c>
      <c r="F41" s="233">
        <f t="shared" si="2"/>
        <v>82.657377868933253</v>
      </c>
      <c r="G41" s="235">
        <f t="shared" si="1"/>
        <v>9</v>
      </c>
      <c r="H41" s="235">
        <f t="shared" si="6"/>
        <v>437</v>
      </c>
      <c r="I41" s="235">
        <f>SUM(G41:G44)</f>
        <v>28</v>
      </c>
      <c r="J41" s="233">
        <f t="shared" si="3"/>
        <v>6.1237042211299322</v>
      </c>
      <c r="K41" s="233">
        <f t="shared" si="4"/>
        <v>76.533673647803326</v>
      </c>
      <c r="L41" s="236">
        <f t="shared" si="5"/>
        <v>88.78108209006318</v>
      </c>
      <c r="M41" s="220"/>
      <c r="N41" s="220"/>
      <c r="X41" s="215"/>
      <c r="Y41" s="215"/>
      <c r="Z41" s="215"/>
      <c r="AA41" s="215"/>
      <c r="AB41" s="215"/>
      <c r="AC41" s="215"/>
      <c r="AD41" s="215"/>
      <c r="AE41" s="215"/>
      <c r="AF41" s="215"/>
      <c r="AG41" s="215"/>
      <c r="AH41" s="215"/>
      <c r="AI41" s="215"/>
      <c r="AJ41" s="215"/>
      <c r="AK41" s="215"/>
    </row>
    <row r="42" spans="1:38">
      <c r="A42" s="280"/>
      <c r="B42" s="233">
        <v>85</v>
      </c>
      <c r="C42" s="234">
        <v>90</v>
      </c>
      <c r="D42" s="233">
        <f t="shared" si="0"/>
        <v>7.3383742807525465</v>
      </c>
      <c r="E42" s="233">
        <f>L5</f>
        <v>10.004247850314201</v>
      </c>
      <c r="F42" s="233">
        <f t="shared" si="2"/>
        <v>92.661625719247454</v>
      </c>
      <c r="G42" s="235">
        <f t="shared" si="1"/>
        <v>11</v>
      </c>
      <c r="H42" s="235">
        <f t="shared" si="6"/>
        <v>446</v>
      </c>
      <c r="I42" s="235">
        <f>SUM(G42:G44)</f>
        <v>19</v>
      </c>
      <c r="J42" s="233">
        <f t="shared" si="3"/>
        <v>3.4905438513284328</v>
      </c>
      <c r="K42" s="233">
        <f t="shared" si="4"/>
        <v>89.171081867919014</v>
      </c>
      <c r="L42" s="236">
        <f t="shared" si="5"/>
        <v>96.152169570575893</v>
      </c>
      <c r="M42" s="220"/>
      <c r="N42" s="220"/>
      <c r="X42" s="215"/>
      <c r="Y42" s="215"/>
      <c r="Z42" s="217"/>
      <c r="AA42" s="217"/>
      <c r="AB42" s="217"/>
      <c r="AC42" s="217"/>
      <c r="AD42" s="217"/>
      <c r="AE42" s="217"/>
      <c r="AF42" s="217"/>
      <c r="AG42" s="217"/>
      <c r="AH42" s="217"/>
      <c r="AI42" s="217"/>
      <c r="AJ42" s="217"/>
      <c r="AK42" s="217"/>
    </row>
    <row r="43" spans="1:38">
      <c r="A43" s="280"/>
      <c r="B43" s="233">
        <v>95</v>
      </c>
      <c r="C43" s="234">
        <v>95</v>
      </c>
      <c r="D43" s="233">
        <f t="shared" si="0"/>
        <v>0</v>
      </c>
      <c r="E43" s="233">
        <f>M5</f>
        <v>7.3383742807525598</v>
      </c>
      <c r="F43" s="233">
        <f t="shared" si="2"/>
        <v>100.00000000000001</v>
      </c>
      <c r="G43" s="235">
        <f t="shared" si="1"/>
        <v>8</v>
      </c>
      <c r="H43" s="235">
        <f t="shared" si="6"/>
        <v>457</v>
      </c>
      <c r="I43" s="235">
        <f>SUM(G43:G44)</f>
        <v>8</v>
      </c>
      <c r="J43" s="233">
        <v>0</v>
      </c>
      <c r="K43" s="233">
        <f t="shared" si="4"/>
        <v>100.00000000000001</v>
      </c>
      <c r="L43" s="236">
        <f t="shared" si="5"/>
        <v>100.00000000000001</v>
      </c>
      <c r="M43" s="220"/>
      <c r="N43" s="220"/>
      <c r="X43" s="215"/>
      <c r="Y43" s="215"/>
      <c r="Z43" s="217"/>
      <c r="AA43" s="217"/>
      <c r="AB43" s="217"/>
      <c r="AC43" s="217"/>
      <c r="AD43" s="217"/>
      <c r="AE43" s="217"/>
      <c r="AF43" s="217"/>
      <c r="AG43" s="217"/>
      <c r="AH43" s="217"/>
      <c r="AI43" s="217"/>
      <c r="AJ43" s="217"/>
      <c r="AK43" s="217"/>
    </row>
    <row r="44" spans="1:38">
      <c r="A44" s="404"/>
      <c r="B44" s="241">
        <v>100</v>
      </c>
      <c r="C44" s="242">
        <v>100</v>
      </c>
      <c r="D44" s="241">
        <f t="shared" si="0"/>
        <v>0</v>
      </c>
      <c r="E44" s="241">
        <f>N5</f>
        <v>0</v>
      </c>
      <c r="F44" s="241">
        <f t="shared" si="2"/>
        <v>100.00000000000001</v>
      </c>
      <c r="G44" s="243">
        <f t="shared" si="1"/>
        <v>0</v>
      </c>
      <c r="H44" s="243">
        <f t="shared" si="6"/>
        <v>465</v>
      </c>
      <c r="I44" s="243">
        <f>SUM(G44)</f>
        <v>0</v>
      </c>
      <c r="J44" s="241">
        <v>0</v>
      </c>
      <c r="K44" s="241">
        <f t="shared" si="4"/>
        <v>100.00000000000001</v>
      </c>
      <c r="L44" s="244">
        <f t="shared" si="5"/>
        <v>100.00000000000001</v>
      </c>
      <c r="M44" s="220"/>
      <c r="N44" s="220"/>
      <c r="X44" s="215"/>
      <c r="Y44" s="215"/>
      <c r="Z44" s="217"/>
      <c r="AA44" s="217"/>
      <c r="AB44" s="217"/>
      <c r="AC44" s="217"/>
      <c r="AD44" s="217"/>
      <c r="AE44" s="217"/>
      <c r="AF44" s="217"/>
      <c r="AG44" s="217"/>
      <c r="AH44" s="217"/>
      <c r="AI44" s="217"/>
      <c r="AJ44" s="217"/>
      <c r="AK44" s="217"/>
    </row>
    <row r="45" spans="1:38">
      <c r="A45" s="403" t="s">
        <v>7</v>
      </c>
      <c r="B45" s="245">
        <v>0</v>
      </c>
      <c r="C45" s="246">
        <v>0</v>
      </c>
      <c r="D45" s="245">
        <f>100-F45</f>
        <v>100</v>
      </c>
      <c r="E45" s="245">
        <f>C6</f>
        <v>0</v>
      </c>
      <c r="F45" s="245">
        <f>E45</f>
        <v>0</v>
      </c>
      <c r="G45" s="247">
        <f>E14</f>
        <v>2</v>
      </c>
      <c r="H45" s="247"/>
      <c r="I45" s="247"/>
      <c r="J45" s="245"/>
      <c r="K45" s="245">
        <v>0</v>
      </c>
      <c r="L45" s="248">
        <v>0</v>
      </c>
      <c r="M45" s="220"/>
      <c r="N45" s="220"/>
      <c r="X45" s="215"/>
      <c r="Y45" s="215"/>
      <c r="Z45" s="217"/>
      <c r="AA45" s="217"/>
      <c r="AB45" s="217"/>
      <c r="AC45" s="217"/>
      <c r="AD45" s="217"/>
      <c r="AE45" s="217"/>
      <c r="AF45" s="217"/>
      <c r="AG45" s="217"/>
      <c r="AH45" s="217"/>
      <c r="AI45" s="217"/>
      <c r="AJ45" s="217"/>
      <c r="AK45" s="217"/>
    </row>
    <row r="46" spans="1:38" ht="15" customHeight="1">
      <c r="A46" s="280"/>
      <c r="B46" s="233">
        <v>5</v>
      </c>
      <c r="C46" s="234">
        <v>10</v>
      </c>
      <c r="D46" s="233">
        <f t="shared" ref="D46:D56" si="7">100-F46</f>
        <v>85.989462765665806</v>
      </c>
      <c r="E46" s="233">
        <f>D6</f>
        <v>14.010537234334199</v>
      </c>
      <c r="F46" s="233">
        <f>F45+E46</f>
        <v>14.010537234334199</v>
      </c>
      <c r="G46" s="235">
        <f t="shared" ref="G46:G56" si="8">E15*$E$26</f>
        <v>715</v>
      </c>
      <c r="H46" s="235">
        <f>G45</f>
        <v>2</v>
      </c>
      <c r="I46" s="235">
        <f>SUM(G46:G56)</f>
        <v>1302</v>
      </c>
      <c r="J46" s="233">
        <f>(1.96*(((1.25*((F46/100)^2))*((1-(F46/100))^2)*((1/H46)+(1/I46)))^0.5))*100</f>
        <v>18.682259829384812</v>
      </c>
      <c r="K46" s="233"/>
      <c r="L46" s="236"/>
      <c r="M46" s="220"/>
      <c r="N46" s="220"/>
      <c r="X46" s="215"/>
      <c r="Y46" s="215"/>
      <c r="Z46" s="217"/>
      <c r="AA46" s="217"/>
      <c r="AB46" s="217"/>
      <c r="AC46" s="217"/>
      <c r="AD46" s="217"/>
      <c r="AE46" s="217"/>
      <c r="AF46" s="217"/>
      <c r="AG46" s="217"/>
      <c r="AH46" s="217"/>
      <c r="AI46" s="217"/>
      <c r="AJ46" s="217"/>
      <c r="AK46" s="217"/>
    </row>
    <row r="47" spans="1:38">
      <c r="A47" s="280"/>
      <c r="B47" s="233">
        <v>15</v>
      </c>
      <c r="C47" s="234">
        <v>20</v>
      </c>
      <c r="D47" s="233">
        <f t="shared" si="7"/>
        <v>73.777453081318299</v>
      </c>
      <c r="E47" s="233">
        <f>E6</f>
        <v>12.2120096843475</v>
      </c>
      <c r="F47" s="233">
        <f t="shared" ref="F47:F56" si="9">F46+E47</f>
        <v>26.222546918681701</v>
      </c>
      <c r="G47" s="235">
        <f t="shared" si="8"/>
        <v>243</v>
      </c>
      <c r="H47" s="235">
        <f>G46+H46</f>
        <v>717</v>
      </c>
      <c r="I47" s="235">
        <f>SUM(G47:G56)</f>
        <v>587</v>
      </c>
      <c r="J47" s="233">
        <f t="shared" ref="J47:J55" si="10">(1.96*(((1.25*((F47/100)^2))*((1-(F47/100))^2)*((1/H47)+(1/I47)))^0.5))*100</f>
        <v>2.3597705392285375</v>
      </c>
      <c r="K47" s="233">
        <f t="shared" ref="K47:K56" si="11">F47-J47</f>
        <v>23.862776379453162</v>
      </c>
      <c r="L47" s="236">
        <f t="shared" ref="L47:L56" si="12">F47+J47</f>
        <v>28.582317457910239</v>
      </c>
      <c r="M47" s="220"/>
      <c r="N47" s="220"/>
      <c r="X47" s="215"/>
      <c r="Y47" s="215"/>
      <c r="Z47" s="217"/>
      <c r="AA47" s="217"/>
      <c r="AB47" s="217"/>
      <c r="AC47" s="217"/>
      <c r="AD47" s="217"/>
      <c r="AE47" s="217"/>
      <c r="AF47" s="217"/>
      <c r="AG47" s="217"/>
      <c r="AH47" s="217"/>
      <c r="AI47" s="217"/>
      <c r="AJ47" s="217"/>
      <c r="AK47" s="217"/>
    </row>
    <row r="48" spans="1:38">
      <c r="A48" s="280"/>
      <c r="B48" s="233">
        <v>25</v>
      </c>
      <c r="C48" s="234">
        <v>30</v>
      </c>
      <c r="D48" s="233">
        <f t="shared" si="7"/>
        <v>68.144689754295143</v>
      </c>
      <c r="E48" s="233">
        <f>F6</f>
        <v>5.6327633270231603</v>
      </c>
      <c r="F48" s="233">
        <f t="shared" si="9"/>
        <v>31.85531024570486</v>
      </c>
      <c r="G48" s="235">
        <f t="shared" si="8"/>
        <v>70</v>
      </c>
      <c r="H48" s="235">
        <f t="shared" ref="H48:H56" si="13">G47+H47</f>
        <v>960</v>
      </c>
      <c r="I48" s="235">
        <f>SUM(G48:G56)</f>
        <v>344</v>
      </c>
      <c r="J48" s="233">
        <f t="shared" si="10"/>
        <v>2.9891581518933359</v>
      </c>
      <c r="K48" s="233">
        <f t="shared" si="11"/>
        <v>28.866152093811525</v>
      </c>
      <c r="L48" s="236">
        <f t="shared" si="12"/>
        <v>34.844468397598199</v>
      </c>
      <c r="M48" s="220"/>
      <c r="N48" s="220"/>
      <c r="X48" s="215"/>
      <c r="Y48" s="215"/>
      <c r="Z48" s="217"/>
      <c r="AA48" s="217"/>
      <c r="AB48" s="217"/>
      <c r="AC48" s="217"/>
      <c r="AD48" s="217"/>
      <c r="AE48" s="217"/>
      <c r="AF48" s="217"/>
      <c r="AG48" s="217"/>
      <c r="AH48" s="217"/>
      <c r="AI48" s="217"/>
      <c r="AJ48" s="217"/>
      <c r="AK48" s="217"/>
    </row>
    <row r="49" spans="1:14">
      <c r="A49" s="280"/>
      <c r="B49" s="233">
        <v>35</v>
      </c>
      <c r="C49" s="234">
        <v>40</v>
      </c>
      <c r="D49" s="233">
        <f t="shared" si="7"/>
        <v>61.742471152055458</v>
      </c>
      <c r="E49" s="233">
        <f>G6</f>
        <v>6.4022186022396799</v>
      </c>
      <c r="F49" s="233">
        <f t="shared" si="9"/>
        <v>38.257528847944542</v>
      </c>
      <c r="G49" s="235">
        <f t="shared" si="8"/>
        <v>48</v>
      </c>
      <c r="H49" s="235">
        <f t="shared" si="13"/>
        <v>1030</v>
      </c>
      <c r="I49" s="235">
        <f>SUM(G49:G56)</f>
        <v>274</v>
      </c>
      <c r="J49" s="233">
        <f t="shared" si="10"/>
        <v>3.5184947041884005</v>
      </c>
      <c r="K49" s="233">
        <f t="shared" si="11"/>
        <v>34.739034143756143</v>
      </c>
      <c r="L49" s="236">
        <f t="shared" si="12"/>
        <v>41.776023552132941</v>
      </c>
      <c r="M49" s="220"/>
      <c r="N49" s="220"/>
    </row>
    <row r="50" spans="1:14">
      <c r="A50" s="280"/>
      <c r="B50" s="233">
        <v>45</v>
      </c>
      <c r="C50" s="234">
        <v>50</v>
      </c>
      <c r="D50" s="233">
        <f t="shared" si="7"/>
        <v>54.818823512866139</v>
      </c>
      <c r="E50" s="233">
        <f>H6</f>
        <v>6.92364763918932</v>
      </c>
      <c r="F50" s="233">
        <f t="shared" si="9"/>
        <v>45.181176487133861</v>
      </c>
      <c r="G50" s="235">
        <f t="shared" si="8"/>
        <v>43</v>
      </c>
      <c r="H50" s="235">
        <f t="shared" si="13"/>
        <v>1078</v>
      </c>
      <c r="I50" s="235">
        <f>SUM(G50:G56)</f>
        <v>226</v>
      </c>
      <c r="J50" s="233">
        <f t="shared" si="10"/>
        <v>3.9707589162649564</v>
      </c>
      <c r="K50" s="233">
        <f t="shared" si="11"/>
        <v>41.210417570868906</v>
      </c>
      <c r="L50" s="236">
        <f t="shared" si="12"/>
        <v>49.151935403398817</v>
      </c>
      <c r="M50" s="220"/>
      <c r="N50" s="220"/>
    </row>
    <row r="51" spans="1:14">
      <c r="A51" s="280"/>
      <c r="B51" s="233">
        <v>55</v>
      </c>
      <c r="C51" s="234">
        <v>60</v>
      </c>
      <c r="D51" s="233">
        <f t="shared" si="7"/>
        <v>50.67114957374649</v>
      </c>
      <c r="E51" s="233">
        <f>I6</f>
        <v>4.1476739391196498</v>
      </c>
      <c r="F51" s="233">
        <f t="shared" si="9"/>
        <v>49.32885042625351</v>
      </c>
      <c r="G51" s="235">
        <f t="shared" si="8"/>
        <v>18</v>
      </c>
      <c r="H51" s="235">
        <f t="shared" si="13"/>
        <v>1121</v>
      </c>
      <c r="I51" s="235">
        <f>SUM(G51:G56)</f>
        <v>183</v>
      </c>
      <c r="J51" s="233">
        <f t="shared" si="10"/>
        <v>4.3670008280571189</v>
      </c>
      <c r="K51" s="233">
        <f t="shared" si="11"/>
        <v>44.961849598196395</v>
      </c>
      <c r="L51" s="236">
        <f t="shared" si="12"/>
        <v>53.695851254310625</v>
      </c>
      <c r="M51" s="220"/>
      <c r="N51" s="220"/>
    </row>
    <row r="52" spans="1:14">
      <c r="A52" s="280"/>
      <c r="B52" s="233">
        <v>65</v>
      </c>
      <c r="C52" s="234">
        <v>70</v>
      </c>
      <c r="D52" s="233">
        <f t="shared" si="7"/>
        <v>45.120175242129278</v>
      </c>
      <c r="E52" s="233">
        <f>J6</f>
        <v>5.5509743316172102</v>
      </c>
      <c r="F52" s="233">
        <f t="shared" si="9"/>
        <v>54.879824757870722</v>
      </c>
      <c r="G52" s="235">
        <f t="shared" si="8"/>
        <v>21</v>
      </c>
      <c r="H52" s="235">
        <f t="shared" si="13"/>
        <v>1139</v>
      </c>
      <c r="I52" s="235">
        <f>SUM(G52:G56)</f>
        <v>165</v>
      </c>
      <c r="J52" s="233">
        <f t="shared" si="10"/>
        <v>4.5199073543126955</v>
      </c>
      <c r="K52" s="233">
        <f t="shared" si="11"/>
        <v>50.359917403558029</v>
      </c>
      <c r="L52" s="236">
        <f t="shared" si="12"/>
        <v>59.399732112183415</v>
      </c>
      <c r="M52" s="220"/>
      <c r="N52" s="220"/>
    </row>
    <row r="53" spans="1:14">
      <c r="A53" s="280"/>
      <c r="B53" s="233">
        <v>75</v>
      </c>
      <c r="C53" s="234">
        <v>80</v>
      </c>
      <c r="D53" s="233">
        <f t="shared" si="7"/>
        <v>39.30802209734955</v>
      </c>
      <c r="E53" s="233">
        <f>K6</f>
        <v>5.8121531447797299</v>
      </c>
      <c r="F53" s="233">
        <f t="shared" si="9"/>
        <v>60.69197790265045</v>
      </c>
      <c r="G53" s="235">
        <f t="shared" si="8"/>
        <v>25</v>
      </c>
      <c r="H53" s="235">
        <f t="shared" si="13"/>
        <v>1160</v>
      </c>
      <c r="I53" s="235">
        <f>SUM(G53:G56)</f>
        <v>144</v>
      </c>
      <c r="J53" s="233">
        <f t="shared" si="10"/>
        <v>4.6190441721706588</v>
      </c>
      <c r="K53" s="233">
        <f t="shared" si="11"/>
        <v>56.072933730479789</v>
      </c>
      <c r="L53" s="236">
        <f t="shared" si="12"/>
        <v>65.311022074821111</v>
      </c>
      <c r="M53" s="220"/>
      <c r="N53" s="220"/>
    </row>
    <row r="54" spans="1:14">
      <c r="A54" s="280"/>
      <c r="B54" s="233">
        <v>85</v>
      </c>
      <c r="C54" s="234">
        <v>90</v>
      </c>
      <c r="D54" s="233">
        <f t="shared" si="7"/>
        <v>27.212260996891843</v>
      </c>
      <c r="E54" s="233">
        <f>L6</f>
        <v>12.0957611004577</v>
      </c>
      <c r="F54" s="233">
        <f t="shared" si="9"/>
        <v>72.787739003108157</v>
      </c>
      <c r="G54" s="235">
        <f t="shared" si="8"/>
        <v>40</v>
      </c>
      <c r="H54" s="235">
        <f t="shared" si="13"/>
        <v>1185</v>
      </c>
      <c r="I54" s="235">
        <f>SUM(G54:G56)</f>
        <v>119</v>
      </c>
      <c r="J54" s="233">
        <f t="shared" si="10"/>
        <v>4.1738811118566819</v>
      </c>
      <c r="K54" s="233">
        <f t="shared" si="11"/>
        <v>68.61385789125147</v>
      </c>
      <c r="L54" s="236">
        <f t="shared" si="12"/>
        <v>76.961620114964845</v>
      </c>
      <c r="M54" s="220"/>
      <c r="N54" s="220"/>
    </row>
    <row r="55" spans="1:14">
      <c r="A55" s="280"/>
      <c r="B55" s="233">
        <v>95</v>
      </c>
      <c r="C55" s="234">
        <v>95</v>
      </c>
      <c r="D55" s="233">
        <f t="shared" si="7"/>
        <v>0</v>
      </c>
      <c r="E55" s="233">
        <f>M6</f>
        <v>27.2122609968918</v>
      </c>
      <c r="F55" s="233">
        <f t="shared" si="9"/>
        <v>99.999999999999957</v>
      </c>
      <c r="G55" s="235">
        <f t="shared" si="8"/>
        <v>79</v>
      </c>
      <c r="H55" s="235">
        <f t="shared" si="13"/>
        <v>1225</v>
      </c>
      <c r="I55" s="235">
        <f>SUM(G55:G56)</f>
        <v>79</v>
      </c>
      <c r="J55" s="233">
        <f t="shared" si="10"/>
        <v>1.1296359489743734E-14</v>
      </c>
      <c r="K55" s="233">
        <f t="shared" si="11"/>
        <v>99.999999999999943</v>
      </c>
      <c r="L55" s="236">
        <f t="shared" si="12"/>
        <v>99.999999999999972</v>
      </c>
      <c r="M55" s="220"/>
      <c r="N55" s="220"/>
    </row>
    <row r="56" spans="1:14">
      <c r="A56" s="404"/>
      <c r="B56" s="241">
        <v>100</v>
      </c>
      <c r="C56" s="242">
        <v>100</v>
      </c>
      <c r="D56" s="241">
        <f t="shared" si="7"/>
        <v>0</v>
      </c>
      <c r="E56" s="241">
        <f>N6</f>
        <v>0</v>
      </c>
      <c r="F56" s="241">
        <f t="shared" si="9"/>
        <v>99.999999999999957</v>
      </c>
      <c r="G56" s="243">
        <f t="shared" si="8"/>
        <v>0</v>
      </c>
      <c r="H56" s="243">
        <f t="shared" si="13"/>
        <v>1304</v>
      </c>
      <c r="I56" s="243">
        <f>SUM(G56)</f>
        <v>0</v>
      </c>
      <c r="J56" s="241">
        <v>0</v>
      </c>
      <c r="K56" s="241">
        <f t="shared" si="11"/>
        <v>99.999999999999957</v>
      </c>
      <c r="L56" s="244">
        <f t="shared" si="12"/>
        <v>99.999999999999957</v>
      </c>
      <c r="M56" s="220"/>
      <c r="N56" s="220"/>
    </row>
    <row r="57" spans="1:14">
      <c r="A57" s="403" t="s">
        <v>6</v>
      </c>
      <c r="B57" s="245">
        <v>0</v>
      </c>
      <c r="C57" s="246">
        <v>0</v>
      </c>
      <c r="D57" s="245">
        <v>100</v>
      </c>
      <c r="E57" s="245">
        <f>C7</f>
        <v>0</v>
      </c>
      <c r="F57" s="245">
        <f>E57</f>
        <v>0</v>
      </c>
      <c r="G57" s="247">
        <f>G14</f>
        <v>30</v>
      </c>
      <c r="H57" s="247"/>
      <c r="I57" s="247"/>
      <c r="J57" s="245"/>
      <c r="K57" s="245">
        <v>0</v>
      </c>
      <c r="L57" s="248">
        <v>0</v>
      </c>
      <c r="M57" s="220"/>
      <c r="N57" s="220"/>
    </row>
    <row r="58" spans="1:14">
      <c r="A58" s="280"/>
      <c r="B58" s="233">
        <v>5</v>
      </c>
      <c r="C58" s="234">
        <v>10</v>
      </c>
      <c r="D58" s="233">
        <f t="shared" ref="D58:D66" si="14">100-F58</f>
        <v>80.144750074943502</v>
      </c>
      <c r="E58" s="233">
        <f>D7</f>
        <v>19.855249925056501</v>
      </c>
      <c r="F58" s="233">
        <f>F57+E58</f>
        <v>19.855249925056501</v>
      </c>
      <c r="G58" s="235">
        <f t="shared" ref="G58:G68" si="15">G15*$G$26</f>
        <v>887</v>
      </c>
      <c r="H58" s="235">
        <f>G57</f>
        <v>30</v>
      </c>
      <c r="I58" s="235">
        <f>SUM(G58:G68)</f>
        <v>1316</v>
      </c>
      <c r="J58" s="233">
        <f>(1.96*(((1.25*((F58/100)^2))*((1-(F58/100))^2)*((1/H58)+(1/I58)))^0.5))*100</f>
        <v>6.4386597101743712</v>
      </c>
      <c r="K58" s="233">
        <f>F58-J58</f>
        <v>13.416590214882131</v>
      </c>
      <c r="L58" s="236">
        <f>F58+J58</f>
        <v>26.293909635230872</v>
      </c>
      <c r="M58" s="220"/>
      <c r="N58" s="220"/>
    </row>
    <row r="59" spans="1:14">
      <c r="A59" s="280"/>
      <c r="B59" s="233">
        <v>15</v>
      </c>
      <c r="C59" s="234">
        <v>20</v>
      </c>
      <c r="D59" s="233">
        <f t="shared" si="14"/>
        <v>68.561344961539106</v>
      </c>
      <c r="E59" s="233">
        <f>E7</f>
        <v>11.5834051134044</v>
      </c>
      <c r="F59" s="233">
        <f t="shared" ref="F59:F68" si="16">F58+E59</f>
        <v>31.438655038460901</v>
      </c>
      <c r="G59" s="235">
        <f t="shared" si="15"/>
        <v>191</v>
      </c>
      <c r="H59" s="235">
        <f>G58+H58</f>
        <v>917</v>
      </c>
      <c r="I59" s="235">
        <f>SUM(G59:G68)</f>
        <v>429</v>
      </c>
      <c r="J59" s="233">
        <f t="shared" ref="J59:J65" si="17">(1.96*(((1.25*((F59/100)^2))*((1-(F59/100))^2)*((1/H59)+(1/I59)))^0.5))*100</f>
        <v>2.762889912780266</v>
      </c>
      <c r="K59" s="233">
        <f t="shared" ref="K59:K68" si="18">F59-J59</f>
        <v>28.675765125680634</v>
      </c>
      <c r="L59" s="236">
        <f t="shared" ref="L59:L68" si="19">F59+J59</f>
        <v>34.201544951241168</v>
      </c>
      <c r="M59" s="220"/>
      <c r="N59" s="220"/>
    </row>
    <row r="60" spans="1:14" ht="15" customHeight="1">
      <c r="A60" s="280"/>
      <c r="B60" s="233">
        <v>25</v>
      </c>
      <c r="C60" s="234">
        <v>30</v>
      </c>
      <c r="D60" s="233">
        <f t="shared" si="14"/>
        <v>61.322896130848861</v>
      </c>
      <c r="E60" s="233">
        <f>F7</f>
        <v>7.2384488306902401</v>
      </c>
      <c r="F60" s="233">
        <f t="shared" si="16"/>
        <v>38.677103869151139</v>
      </c>
      <c r="G60" s="235">
        <f t="shared" si="15"/>
        <v>56</v>
      </c>
      <c r="H60" s="235">
        <f>G59+H59</f>
        <v>1108</v>
      </c>
      <c r="I60" s="235">
        <f>SUM(G60:G68)</f>
        <v>238</v>
      </c>
      <c r="J60" s="233">
        <f t="shared" si="17"/>
        <v>3.713230022553736</v>
      </c>
      <c r="K60" s="233">
        <f t="shared" si="18"/>
        <v>34.963873846597401</v>
      </c>
      <c r="L60" s="236">
        <f t="shared" si="19"/>
        <v>42.390333891704877</v>
      </c>
      <c r="M60" s="220"/>
      <c r="N60" s="220"/>
    </row>
    <row r="61" spans="1:14">
      <c r="A61" s="280"/>
      <c r="B61" s="233">
        <v>35</v>
      </c>
      <c r="C61" s="234">
        <v>40</v>
      </c>
      <c r="D61" s="233">
        <f t="shared" si="14"/>
        <v>56.43271762666118</v>
      </c>
      <c r="E61" s="233">
        <f>G7</f>
        <v>4.8901785041876797</v>
      </c>
      <c r="F61" s="233">
        <f t="shared" si="16"/>
        <v>43.56728237333882</v>
      </c>
      <c r="G61" s="235">
        <f t="shared" si="15"/>
        <v>29</v>
      </c>
      <c r="H61" s="235">
        <f t="shared" ref="H61:H68" si="20">G60+H60</f>
        <v>1164</v>
      </c>
      <c r="I61" s="235">
        <f>SUM(G61:G68)</f>
        <v>182</v>
      </c>
      <c r="J61" s="233">
        <f t="shared" si="17"/>
        <v>4.2945024932146687</v>
      </c>
      <c r="K61" s="233">
        <f t="shared" si="18"/>
        <v>39.272779880124148</v>
      </c>
      <c r="L61" s="236">
        <f t="shared" si="19"/>
        <v>47.861784866553492</v>
      </c>
      <c r="M61" s="220"/>
      <c r="N61" s="220"/>
    </row>
    <row r="62" spans="1:14">
      <c r="A62" s="280"/>
      <c r="B62" s="233">
        <v>45</v>
      </c>
      <c r="C62" s="234">
        <v>50</v>
      </c>
      <c r="D62" s="233">
        <f t="shared" si="14"/>
        <v>51.855271035643121</v>
      </c>
      <c r="E62" s="233">
        <f>H7</f>
        <v>4.5774465910180604</v>
      </c>
      <c r="F62" s="233">
        <f t="shared" si="16"/>
        <v>48.144728964356879</v>
      </c>
      <c r="G62" s="235">
        <f t="shared" si="15"/>
        <v>15</v>
      </c>
      <c r="H62" s="235">
        <f t="shared" si="20"/>
        <v>1193</v>
      </c>
      <c r="I62" s="235">
        <f>SUM(G62:G68)</f>
        <v>153</v>
      </c>
      <c r="J62" s="233">
        <f t="shared" si="17"/>
        <v>4.6979601139850997</v>
      </c>
      <c r="K62" s="233">
        <f t="shared" si="18"/>
        <v>43.446768850371782</v>
      </c>
      <c r="L62" s="236">
        <f t="shared" si="19"/>
        <v>52.842689078341976</v>
      </c>
      <c r="M62" s="220"/>
      <c r="N62" s="220"/>
    </row>
    <row r="63" spans="1:14">
      <c r="A63" s="280"/>
      <c r="B63" s="233">
        <v>55</v>
      </c>
      <c r="C63" s="234">
        <v>60</v>
      </c>
      <c r="D63" s="233">
        <f t="shared" si="14"/>
        <v>49.873806410759371</v>
      </c>
      <c r="E63" s="233">
        <f>I7</f>
        <v>1.98146462488375</v>
      </c>
      <c r="F63" s="233">
        <f t="shared" si="16"/>
        <v>50.126193589240629</v>
      </c>
      <c r="G63" s="235">
        <f t="shared" si="15"/>
        <v>8</v>
      </c>
      <c r="H63" s="235">
        <f t="shared" si="20"/>
        <v>1208</v>
      </c>
      <c r="I63" s="235">
        <f>SUM(G63:G68)</f>
        <v>138</v>
      </c>
      <c r="J63" s="233">
        <f t="shared" si="17"/>
        <v>4.9226373178284097</v>
      </c>
      <c r="K63" s="233">
        <f t="shared" si="18"/>
        <v>45.203556271412218</v>
      </c>
      <c r="L63" s="236">
        <f t="shared" si="19"/>
        <v>55.048830907069039</v>
      </c>
      <c r="M63" s="220"/>
      <c r="N63" s="220"/>
    </row>
    <row r="64" spans="1:14">
      <c r="A64" s="280"/>
      <c r="B64" s="233">
        <v>65</v>
      </c>
      <c r="C64" s="234">
        <v>70</v>
      </c>
      <c r="D64" s="233">
        <f t="shared" si="14"/>
        <v>47.190589839260689</v>
      </c>
      <c r="E64" s="233">
        <f>J7</f>
        <v>2.6832165714986802</v>
      </c>
      <c r="F64" s="233">
        <f t="shared" si="16"/>
        <v>52.809410160739311</v>
      </c>
      <c r="G64" s="235">
        <f t="shared" si="15"/>
        <v>8</v>
      </c>
      <c r="H64" s="235">
        <f t="shared" si="20"/>
        <v>1216</v>
      </c>
      <c r="I64" s="235">
        <f>SUM(G64:G68)</f>
        <v>130</v>
      </c>
      <c r="J64" s="233">
        <f t="shared" si="17"/>
        <v>5.0392031478576138</v>
      </c>
      <c r="K64" s="233">
        <f t="shared" si="18"/>
        <v>47.770207012881698</v>
      </c>
      <c r="L64" s="236">
        <f t="shared" si="19"/>
        <v>57.848613308596924</v>
      </c>
      <c r="M64" s="220"/>
      <c r="N64" s="220"/>
    </row>
    <row r="65" spans="1:14">
      <c r="A65" s="280"/>
      <c r="B65" s="233">
        <v>75</v>
      </c>
      <c r="C65" s="234">
        <v>80</v>
      </c>
      <c r="D65" s="233">
        <f t="shared" si="14"/>
        <v>38.73264456783361</v>
      </c>
      <c r="E65" s="233">
        <f>K7</f>
        <v>8.4579452714270804</v>
      </c>
      <c r="F65" s="233">
        <f t="shared" si="16"/>
        <v>61.26735543216639</v>
      </c>
      <c r="G65" s="235">
        <f t="shared" si="15"/>
        <v>20</v>
      </c>
      <c r="H65" s="235">
        <f t="shared" si="20"/>
        <v>1224</v>
      </c>
      <c r="I65" s="235">
        <f>SUM(G65:G68)</f>
        <v>122</v>
      </c>
      <c r="J65" s="233">
        <f t="shared" si="17"/>
        <v>4.9370698169127412</v>
      </c>
      <c r="K65" s="233">
        <f t="shared" si="18"/>
        <v>56.330285615253651</v>
      </c>
      <c r="L65" s="236">
        <f t="shared" si="19"/>
        <v>66.204425249079137</v>
      </c>
      <c r="M65" s="220"/>
      <c r="N65" s="220"/>
    </row>
    <row r="66" spans="1:14">
      <c r="A66" s="280"/>
      <c r="B66" s="233">
        <v>85</v>
      </c>
      <c r="C66" s="234">
        <v>90</v>
      </c>
      <c r="D66" s="233">
        <f t="shared" si="14"/>
        <v>26.833060207204909</v>
      </c>
      <c r="E66" s="233">
        <f>L7</f>
        <v>11.899584360628699</v>
      </c>
      <c r="F66" s="233">
        <f t="shared" si="16"/>
        <v>73.166939792795091</v>
      </c>
      <c r="G66" s="235">
        <f t="shared" si="15"/>
        <v>29</v>
      </c>
      <c r="H66" s="235">
        <f t="shared" si="20"/>
        <v>1244</v>
      </c>
      <c r="I66" s="235">
        <f>SUM(G66:G68)</f>
        <v>102</v>
      </c>
      <c r="J66" s="233">
        <v>1.7237524639101637E-14</v>
      </c>
      <c r="K66" s="233">
        <f t="shared" si="18"/>
        <v>73.166939792795077</v>
      </c>
      <c r="L66" s="236">
        <f t="shared" si="19"/>
        <v>73.166939792795105</v>
      </c>
      <c r="M66" s="220"/>
      <c r="N66" s="220"/>
    </row>
    <row r="67" spans="1:14">
      <c r="A67" s="280"/>
      <c r="B67" s="233">
        <v>95</v>
      </c>
      <c r="C67" s="234">
        <v>95</v>
      </c>
      <c r="D67" s="233">
        <v>0</v>
      </c>
      <c r="E67" s="233">
        <f>M7</f>
        <v>26.6826691308604</v>
      </c>
      <c r="F67" s="233">
        <f t="shared" si="16"/>
        <v>99.849608923655495</v>
      </c>
      <c r="G67" s="235">
        <f t="shared" si="15"/>
        <v>73</v>
      </c>
      <c r="H67" s="235">
        <f t="shared" si="20"/>
        <v>1273</v>
      </c>
      <c r="I67" s="235">
        <f>SUM(G67:G68)</f>
        <v>73</v>
      </c>
      <c r="J67" s="233">
        <v>1.7237524639101637E-14</v>
      </c>
      <c r="K67" s="233">
        <f t="shared" si="18"/>
        <v>99.849608923655481</v>
      </c>
      <c r="L67" s="236">
        <f t="shared" si="19"/>
        <v>99.849608923655509</v>
      </c>
      <c r="M67" s="220"/>
      <c r="N67" s="220"/>
    </row>
    <row r="68" spans="1:14">
      <c r="A68" s="404"/>
      <c r="B68" s="241">
        <v>100</v>
      </c>
      <c r="C68" s="242">
        <v>100</v>
      </c>
      <c r="D68" s="241">
        <v>0</v>
      </c>
      <c r="E68" s="241">
        <f>N7</f>
        <v>0.150391076344219</v>
      </c>
      <c r="F68" s="241">
        <f t="shared" si="16"/>
        <v>99.999999999999716</v>
      </c>
      <c r="G68" s="243">
        <f t="shared" si="15"/>
        <v>0</v>
      </c>
      <c r="H68" s="243">
        <f t="shared" si="20"/>
        <v>1346</v>
      </c>
      <c r="I68" s="243">
        <f>SUM(G68)</f>
        <v>0</v>
      </c>
      <c r="J68" s="241">
        <v>1.7237524639101637E-14</v>
      </c>
      <c r="K68" s="241">
        <f t="shared" si="18"/>
        <v>99.999999999999702</v>
      </c>
      <c r="L68" s="244">
        <f t="shared" si="19"/>
        <v>99.99999999999973</v>
      </c>
      <c r="M68" s="220"/>
      <c r="N68" s="220"/>
    </row>
    <row r="69" spans="1:14">
      <c r="A69" s="403" t="s">
        <v>5</v>
      </c>
      <c r="B69" s="245">
        <v>0</v>
      </c>
      <c r="C69" s="246">
        <v>0</v>
      </c>
      <c r="D69" s="245">
        <v>100</v>
      </c>
      <c r="E69" s="245">
        <f>C8</f>
        <v>0</v>
      </c>
      <c r="F69" s="245">
        <f>E69</f>
        <v>0</v>
      </c>
      <c r="G69" s="247">
        <f>I14</f>
        <v>235</v>
      </c>
      <c r="H69" s="247"/>
      <c r="I69" s="247"/>
      <c r="J69" s="245"/>
      <c r="K69" s="245">
        <v>0</v>
      </c>
      <c r="L69" s="248">
        <v>0</v>
      </c>
      <c r="M69" s="220"/>
      <c r="N69" s="220"/>
    </row>
    <row r="70" spans="1:14">
      <c r="A70" s="280"/>
      <c r="B70" s="233">
        <v>5</v>
      </c>
      <c r="C70" s="234">
        <v>10</v>
      </c>
      <c r="D70" s="233">
        <f t="shared" ref="D70:D80" si="21">100-F70</f>
        <v>86.816103399032201</v>
      </c>
      <c r="E70" s="233">
        <f>D8</f>
        <v>13.183896600967801</v>
      </c>
      <c r="F70" s="233">
        <f>F69+E70</f>
        <v>13.183896600967801</v>
      </c>
      <c r="G70" s="235">
        <f t="shared" ref="G70:G80" si="22">I15*$I$26</f>
        <v>1431</v>
      </c>
      <c r="H70" s="235">
        <f>G69</f>
        <v>235</v>
      </c>
      <c r="I70" s="235">
        <f>SUM(G70:G80)</f>
        <v>2215</v>
      </c>
      <c r="J70" s="233">
        <f>(1.96*(((1.25*((F70/100)^2))*((1-(F70/100))^2)*((1/H70)+(1/I70)))^0.5))*100</f>
        <v>1.720748506272834</v>
      </c>
      <c r="K70" s="233">
        <f>F70-J70</f>
        <v>11.463148094694967</v>
      </c>
      <c r="L70" s="236">
        <f>F70+J70</f>
        <v>14.904645107240635</v>
      </c>
      <c r="M70" s="220"/>
      <c r="N70" s="220"/>
    </row>
    <row r="71" spans="1:14">
      <c r="A71" s="280"/>
      <c r="B71" s="233">
        <v>15</v>
      </c>
      <c r="C71" s="234">
        <v>20</v>
      </c>
      <c r="D71" s="233">
        <f t="shared" si="21"/>
        <v>79.32398040731033</v>
      </c>
      <c r="E71" s="233">
        <f>E8</f>
        <v>7.4921229917218701</v>
      </c>
      <c r="F71" s="233">
        <f t="shared" ref="F71:F80" si="23">F70+E71</f>
        <v>20.67601959268967</v>
      </c>
      <c r="G71" s="235">
        <f t="shared" si="22"/>
        <v>231</v>
      </c>
      <c r="H71" s="235">
        <f>G70+H70</f>
        <v>1666</v>
      </c>
      <c r="I71" s="235">
        <f>SUM(G71:G80)</f>
        <v>784</v>
      </c>
      <c r="J71" s="233">
        <f t="shared" ref="J71:J77" si="24">(1.96*(((1.25*((F71/100)^2))*((1-(F71/100))^2)*((1/H71)+(1/I71)))^0.5))*100</f>
        <v>1.5565749024644353</v>
      </c>
      <c r="K71" s="233">
        <f t="shared" ref="K71:K80" si="25">F71-J71</f>
        <v>19.119444690225233</v>
      </c>
      <c r="L71" s="236">
        <f t="shared" ref="L71:L80" si="26">F71+J71</f>
        <v>22.232594495154107</v>
      </c>
      <c r="M71" s="220"/>
      <c r="N71" s="220"/>
    </row>
    <row r="72" spans="1:14">
      <c r="A72" s="280"/>
      <c r="B72" s="233">
        <v>25</v>
      </c>
      <c r="C72" s="234">
        <v>30</v>
      </c>
      <c r="D72" s="233">
        <f t="shared" si="21"/>
        <v>73.675429579419585</v>
      </c>
      <c r="E72" s="233">
        <f>F8</f>
        <v>5.6485508278907401</v>
      </c>
      <c r="F72" s="233">
        <f t="shared" si="23"/>
        <v>26.324570420580411</v>
      </c>
      <c r="G72" s="235">
        <f t="shared" si="22"/>
        <v>78</v>
      </c>
      <c r="H72" s="235">
        <f t="shared" ref="H72:H80" si="27">G71+H71</f>
        <v>1897</v>
      </c>
      <c r="I72" s="235">
        <f>SUM(G72:G80)</f>
        <v>553</v>
      </c>
      <c r="J72" s="233">
        <f t="shared" si="24"/>
        <v>2.0539121243000191</v>
      </c>
      <c r="K72" s="233">
        <f t="shared" si="25"/>
        <v>24.270658296280391</v>
      </c>
      <c r="L72" s="236">
        <f t="shared" si="26"/>
        <v>28.378482544880431</v>
      </c>
      <c r="M72" s="220"/>
      <c r="N72" s="220"/>
    </row>
    <row r="73" spans="1:14">
      <c r="A73" s="280"/>
      <c r="B73" s="233">
        <v>35</v>
      </c>
      <c r="C73" s="234">
        <v>40</v>
      </c>
      <c r="D73" s="233">
        <f t="shared" si="21"/>
        <v>70.360635502413558</v>
      </c>
      <c r="E73" s="233">
        <f>G8</f>
        <v>3.31479407700603</v>
      </c>
      <c r="F73" s="233">
        <f t="shared" si="23"/>
        <v>29.639364497586442</v>
      </c>
      <c r="G73" s="235">
        <f t="shared" si="22"/>
        <v>42</v>
      </c>
      <c r="H73" s="235">
        <f t="shared" si="27"/>
        <v>1975</v>
      </c>
      <c r="I73" s="235">
        <f>SUM(G73:G80)</f>
        <v>475</v>
      </c>
      <c r="J73" s="233">
        <f t="shared" si="24"/>
        <v>2.335406078623532</v>
      </c>
      <c r="K73" s="233">
        <f t="shared" si="25"/>
        <v>27.30395841896291</v>
      </c>
      <c r="L73" s="236">
        <f t="shared" si="26"/>
        <v>31.974770576209973</v>
      </c>
      <c r="M73" s="220"/>
      <c r="N73" s="220"/>
    </row>
    <row r="74" spans="1:14" ht="15" customHeight="1">
      <c r="A74" s="280"/>
      <c r="B74" s="233">
        <v>45</v>
      </c>
      <c r="C74" s="234">
        <v>50</v>
      </c>
      <c r="D74" s="233">
        <f t="shared" si="21"/>
        <v>68.344929347117656</v>
      </c>
      <c r="E74" s="233">
        <f>H8</f>
        <v>2.0157061552958999</v>
      </c>
      <c r="F74" s="233">
        <f t="shared" si="23"/>
        <v>31.65507065288234</v>
      </c>
      <c r="G74" s="235">
        <f t="shared" si="22"/>
        <v>20</v>
      </c>
      <c r="H74" s="235">
        <f t="shared" si="27"/>
        <v>2017</v>
      </c>
      <c r="I74" s="235">
        <f>SUM(G74:G80)</f>
        <v>433</v>
      </c>
      <c r="J74" s="233">
        <f t="shared" si="24"/>
        <v>2.5110005557409631</v>
      </c>
      <c r="K74" s="233">
        <f t="shared" si="25"/>
        <v>29.144070097141377</v>
      </c>
      <c r="L74" s="236">
        <f t="shared" si="26"/>
        <v>34.1660712086233</v>
      </c>
      <c r="M74" s="220"/>
      <c r="N74" s="220"/>
    </row>
    <row r="75" spans="1:14">
      <c r="A75" s="280"/>
      <c r="B75" s="233">
        <v>55</v>
      </c>
      <c r="C75" s="234">
        <v>60</v>
      </c>
      <c r="D75" s="233">
        <f t="shared" si="21"/>
        <v>66.63445605681531</v>
      </c>
      <c r="E75" s="233">
        <f>I8</f>
        <v>1.7104732903023501</v>
      </c>
      <c r="F75" s="233">
        <f t="shared" si="23"/>
        <v>33.36554394318469</v>
      </c>
      <c r="G75" s="235">
        <f t="shared" si="22"/>
        <v>20</v>
      </c>
      <c r="H75" s="235">
        <f t="shared" si="27"/>
        <v>2037</v>
      </c>
      <c r="I75" s="235">
        <f>SUM(G75:G80)</f>
        <v>413</v>
      </c>
      <c r="J75" s="233">
        <f t="shared" si="24"/>
        <v>2.6291819734340387</v>
      </c>
      <c r="K75" s="233">
        <f t="shared" si="25"/>
        <v>30.73636196975065</v>
      </c>
      <c r="L75" s="236">
        <f t="shared" si="26"/>
        <v>35.994725916618727</v>
      </c>
      <c r="M75" s="220"/>
      <c r="N75" s="220"/>
    </row>
    <row r="76" spans="1:14">
      <c r="A76" s="280"/>
      <c r="B76" s="233">
        <v>65</v>
      </c>
      <c r="C76" s="234">
        <v>70</v>
      </c>
      <c r="D76" s="233">
        <f t="shared" si="21"/>
        <v>65.205321617787121</v>
      </c>
      <c r="E76" s="233">
        <f>J8</f>
        <v>1.4291344390281899</v>
      </c>
      <c r="F76" s="233">
        <f t="shared" si="23"/>
        <v>34.794678382212879</v>
      </c>
      <c r="G76" s="235">
        <f t="shared" si="22"/>
        <v>15</v>
      </c>
      <c r="H76" s="235">
        <f t="shared" si="27"/>
        <v>2057</v>
      </c>
      <c r="I76" s="235">
        <f>SUM(G76:G80)</f>
        <v>393</v>
      </c>
      <c r="J76" s="233">
        <f t="shared" si="24"/>
        <v>2.7370111516647699</v>
      </c>
      <c r="K76" s="233">
        <f t="shared" si="25"/>
        <v>32.057667230548113</v>
      </c>
      <c r="L76" s="236">
        <f t="shared" si="26"/>
        <v>37.531689533877646</v>
      </c>
      <c r="M76" s="220"/>
      <c r="N76" s="220"/>
    </row>
    <row r="77" spans="1:14">
      <c r="A77" s="280"/>
      <c r="B77" s="233">
        <v>75</v>
      </c>
      <c r="C77" s="234">
        <v>80</v>
      </c>
      <c r="D77" s="233">
        <f t="shared" si="21"/>
        <v>58.29489602180557</v>
      </c>
      <c r="E77" s="233">
        <f>K8</f>
        <v>6.9104255959815504</v>
      </c>
      <c r="F77" s="233">
        <f t="shared" si="23"/>
        <v>41.70510397819443</v>
      </c>
      <c r="G77" s="235">
        <f t="shared" si="22"/>
        <v>48</v>
      </c>
      <c r="H77" s="235">
        <f t="shared" si="27"/>
        <v>2072</v>
      </c>
      <c r="I77" s="235">
        <f>SUM(G77:G80)</f>
        <v>378</v>
      </c>
      <c r="J77" s="233">
        <f t="shared" si="24"/>
        <v>2.9797037319999213</v>
      </c>
      <c r="K77" s="233">
        <f t="shared" si="25"/>
        <v>38.725400246194511</v>
      </c>
      <c r="L77" s="236">
        <f t="shared" si="26"/>
        <v>44.684807710194349</v>
      </c>
      <c r="M77" s="220"/>
      <c r="N77" s="220"/>
    </row>
    <row r="78" spans="1:14">
      <c r="A78" s="280"/>
      <c r="B78" s="233">
        <v>85</v>
      </c>
      <c r="C78" s="234">
        <v>90</v>
      </c>
      <c r="D78" s="233">
        <f t="shared" si="21"/>
        <v>40.963639309131871</v>
      </c>
      <c r="E78" s="233">
        <f>L8</f>
        <v>17.331256712673699</v>
      </c>
      <c r="F78" s="233">
        <f t="shared" si="23"/>
        <v>59.036360690868129</v>
      </c>
      <c r="G78" s="235">
        <f t="shared" si="22"/>
        <v>115</v>
      </c>
      <c r="H78" s="235">
        <f t="shared" si="27"/>
        <v>2120</v>
      </c>
      <c r="I78" s="235">
        <f>SUM(G78:G80)</f>
        <v>330</v>
      </c>
      <c r="J78" s="233">
        <v>1.7237524639101637E-14</v>
      </c>
      <c r="K78" s="233">
        <f t="shared" si="25"/>
        <v>59.036360690868115</v>
      </c>
      <c r="L78" s="236">
        <f t="shared" si="26"/>
        <v>59.036360690868143</v>
      </c>
      <c r="M78" s="220"/>
      <c r="N78" s="220"/>
    </row>
    <row r="79" spans="1:14">
      <c r="A79" s="280"/>
      <c r="B79" s="233">
        <v>95</v>
      </c>
      <c r="C79" s="234">
        <v>95</v>
      </c>
      <c r="D79" s="233">
        <f t="shared" si="21"/>
        <v>0.26513685395076436</v>
      </c>
      <c r="E79" s="233">
        <f>M8</f>
        <v>40.698502455181099</v>
      </c>
      <c r="F79" s="233">
        <f t="shared" si="23"/>
        <v>99.734863146049236</v>
      </c>
      <c r="G79" s="235">
        <f t="shared" si="22"/>
        <v>215</v>
      </c>
      <c r="H79" s="235">
        <f t="shared" si="27"/>
        <v>2235</v>
      </c>
      <c r="I79" s="235">
        <f>SUM(G79:G80)</f>
        <v>215</v>
      </c>
      <c r="J79" s="233">
        <v>1.7237524639101637E-14</v>
      </c>
      <c r="K79" s="233">
        <f t="shared" si="25"/>
        <v>99.734863146049221</v>
      </c>
      <c r="L79" s="236">
        <f t="shared" si="26"/>
        <v>99.73486314604925</v>
      </c>
      <c r="M79" s="220"/>
      <c r="N79" s="220"/>
    </row>
    <row r="80" spans="1:14">
      <c r="A80" s="404"/>
      <c r="B80" s="241">
        <v>100</v>
      </c>
      <c r="C80" s="242">
        <v>100</v>
      </c>
      <c r="D80" s="241">
        <f t="shared" si="21"/>
        <v>0</v>
      </c>
      <c r="E80" s="241">
        <f>N8</f>
        <v>0.26513685395084402</v>
      </c>
      <c r="F80" s="241">
        <f t="shared" si="23"/>
        <v>100.00000000000009</v>
      </c>
      <c r="G80" s="243">
        <f t="shared" si="22"/>
        <v>0</v>
      </c>
      <c r="H80" s="243">
        <f t="shared" si="27"/>
        <v>2450</v>
      </c>
      <c r="I80" s="243">
        <f>SUM(G80)</f>
        <v>0</v>
      </c>
      <c r="J80" s="241">
        <v>1.7237524639101637E-14</v>
      </c>
      <c r="K80" s="241">
        <f t="shared" si="25"/>
        <v>100.00000000000007</v>
      </c>
      <c r="L80" s="244">
        <f t="shared" si="26"/>
        <v>100.0000000000001</v>
      </c>
      <c r="M80" s="220"/>
      <c r="N80" s="220"/>
    </row>
    <row r="81" spans="1:14">
      <c r="A81" s="402" t="s">
        <v>4</v>
      </c>
      <c r="B81" s="233">
        <v>0</v>
      </c>
      <c r="C81" s="234">
        <v>0</v>
      </c>
      <c r="D81" s="233">
        <v>100</v>
      </c>
      <c r="E81" s="233">
        <f>C9</f>
        <v>0</v>
      </c>
      <c r="F81" s="233">
        <f>E81</f>
        <v>0</v>
      </c>
      <c r="G81" s="235">
        <f>K14</f>
        <v>155609</v>
      </c>
      <c r="H81" s="233"/>
      <c r="I81" s="233"/>
      <c r="J81" s="233"/>
      <c r="K81" s="233">
        <v>0</v>
      </c>
      <c r="L81" s="236">
        <v>0</v>
      </c>
      <c r="M81" s="220"/>
      <c r="N81" s="220"/>
    </row>
    <row r="82" spans="1:14">
      <c r="A82" s="280"/>
      <c r="B82" s="233">
        <v>5</v>
      </c>
      <c r="C82" s="234">
        <v>10</v>
      </c>
      <c r="D82" s="233">
        <f t="shared" ref="D82:D91" si="28">100-F82</f>
        <v>97.584583486997957</v>
      </c>
      <c r="E82" s="233">
        <f>D9</f>
        <v>2.4154165130020502</v>
      </c>
      <c r="F82" s="233">
        <f>F81+E82</f>
        <v>2.4154165130020502</v>
      </c>
      <c r="G82" s="235">
        <f t="shared" ref="G82:G92" si="29">K15*$K$26</f>
        <v>3165</v>
      </c>
      <c r="H82" s="235">
        <f>G81</f>
        <v>155609</v>
      </c>
      <c r="I82" s="235">
        <f>SUM(G82:G92)</f>
        <v>55599</v>
      </c>
      <c r="J82" s="233">
        <f>(1.96*(((1.25*((F82/100)^2))*((1-(F82/100))^2)*((1/H82)+(1/I82)))^0.5))*100</f>
        <v>2.5520469369268019E-2</v>
      </c>
      <c r="K82" s="233">
        <f>F82-J82</f>
        <v>2.3898960436327821</v>
      </c>
      <c r="L82" s="236">
        <f>F82+J82</f>
        <v>2.4409369823713183</v>
      </c>
      <c r="M82" s="220"/>
      <c r="N82" s="220"/>
    </row>
    <row r="83" spans="1:14">
      <c r="A83" s="280"/>
      <c r="B83" s="233">
        <v>15</v>
      </c>
      <c r="C83" s="234">
        <v>20</v>
      </c>
      <c r="D83" s="233">
        <f t="shared" si="28"/>
        <v>95.046848688709204</v>
      </c>
      <c r="E83" s="233">
        <f>E9</f>
        <v>2.5377347982887501</v>
      </c>
      <c r="F83" s="233">
        <f t="shared" ref="F83:F92" si="30">F82+E83</f>
        <v>4.9531513112908003</v>
      </c>
      <c r="G83" s="235">
        <f t="shared" si="29"/>
        <v>1836</v>
      </c>
      <c r="H83" s="235">
        <f>G82+H82</f>
        <v>158774</v>
      </c>
      <c r="I83" s="235">
        <f>SUM(G83:G92)</f>
        <v>52434</v>
      </c>
      <c r="J83" s="233">
        <f>(1.96*(((1.25*((F83/100)^2))*((1-(F83/100))^2)*((1/H83)+(1/I83)))^0.5))*100</f>
        <v>5.196242246228755E-2</v>
      </c>
      <c r="K83" s="233">
        <f t="shared" ref="K83:K92" si="31">F83-J83</f>
        <v>4.9011888888285124</v>
      </c>
      <c r="L83" s="236">
        <f t="shared" ref="L83:L92" si="32">F83+J83</f>
        <v>5.0051137337530882</v>
      </c>
      <c r="M83" s="220"/>
      <c r="N83" s="220"/>
    </row>
    <row r="84" spans="1:14">
      <c r="A84" s="280"/>
      <c r="B84" s="233">
        <v>25</v>
      </c>
      <c r="C84" s="234">
        <v>30</v>
      </c>
      <c r="D84" s="233">
        <f t="shared" si="28"/>
        <v>93.387759309485944</v>
      </c>
      <c r="E84" s="233">
        <f>F9</f>
        <v>1.6590893792232499</v>
      </c>
      <c r="F84" s="233">
        <f t="shared" si="30"/>
        <v>6.6122406905140503</v>
      </c>
      <c r="G84" s="235">
        <f t="shared" si="29"/>
        <v>1226</v>
      </c>
      <c r="H84" s="235">
        <f t="shared" ref="H84:H92" si="33">G83+H83</f>
        <v>160610</v>
      </c>
      <c r="I84" s="235">
        <f>SUM(G84:G92)</f>
        <v>50598</v>
      </c>
      <c r="J84" s="233">
        <f t="shared" ref="J84:J89" si="34">(1.96*(((1.25*((F84/100)^2))*((1-(F84/100))^2)*((1/H84)+(1/I84)))^0.5))*100</f>
        <v>6.8984560644142504E-2</v>
      </c>
      <c r="K84" s="233">
        <f t="shared" si="31"/>
        <v>6.5432561298699081</v>
      </c>
      <c r="L84" s="236">
        <f t="shared" si="32"/>
        <v>6.6812252511581924</v>
      </c>
      <c r="M84" s="220"/>
      <c r="N84" s="220"/>
    </row>
    <row r="85" spans="1:14">
      <c r="A85" s="280"/>
      <c r="B85" s="233">
        <v>35</v>
      </c>
      <c r="C85" s="234">
        <v>40</v>
      </c>
      <c r="D85" s="233">
        <f t="shared" si="28"/>
        <v>91.689969365003037</v>
      </c>
      <c r="E85" s="233">
        <f>G9</f>
        <v>1.6977899444829101</v>
      </c>
      <c r="F85" s="233">
        <f t="shared" si="30"/>
        <v>8.310030634996961</v>
      </c>
      <c r="G85" s="235">
        <f t="shared" si="29"/>
        <v>1597</v>
      </c>
      <c r="H85" s="235">
        <f t="shared" si="33"/>
        <v>161836</v>
      </c>
      <c r="I85" s="235">
        <f>SUM(G85:G92)</f>
        <v>49372</v>
      </c>
      <c r="J85" s="233">
        <f t="shared" si="34"/>
        <v>8.5844561060218566E-2</v>
      </c>
      <c r="K85" s="233">
        <f t="shared" si="31"/>
        <v>8.2241860739367425</v>
      </c>
      <c r="L85" s="236">
        <f t="shared" si="32"/>
        <v>8.3958751960571796</v>
      </c>
      <c r="M85" s="220"/>
      <c r="N85" s="220"/>
    </row>
    <row r="86" spans="1:14">
      <c r="A86" s="280"/>
      <c r="B86" s="233">
        <v>45</v>
      </c>
      <c r="C86" s="234">
        <v>50</v>
      </c>
      <c r="D86" s="233">
        <f t="shared" si="28"/>
        <v>89.749487050799843</v>
      </c>
      <c r="E86" s="233">
        <f>H9</f>
        <v>1.94048231420319</v>
      </c>
      <c r="F86" s="233">
        <f t="shared" si="30"/>
        <v>10.25051294920015</v>
      </c>
      <c r="G86" s="235">
        <f t="shared" si="29"/>
        <v>348</v>
      </c>
      <c r="H86" s="235">
        <f t="shared" si="33"/>
        <v>163433</v>
      </c>
      <c r="I86" s="235">
        <f>SUM(G86:G92)</f>
        <v>47775</v>
      </c>
      <c r="J86" s="233">
        <f t="shared" si="34"/>
        <v>0.104851249287887</v>
      </c>
      <c r="K86" s="233">
        <f t="shared" si="31"/>
        <v>10.145661699912264</v>
      </c>
      <c r="L86" s="236">
        <f t="shared" si="32"/>
        <v>10.355364198488036</v>
      </c>
      <c r="M86" s="220"/>
      <c r="N86" s="220"/>
    </row>
    <row r="87" spans="1:14">
      <c r="A87" s="280"/>
      <c r="B87" s="233">
        <v>55</v>
      </c>
      <c r="C87" s="234">
        <v>60</v>
      </c>
      <c r="D87" s="233">
        <f t="shared" si="28"/>
        <v>88.377973611765938</v>
      </c>
      <c r="E87" s="233">
        <f>I9</f>
        <v>1.3715134390339101</v>
      </c>
      <c r="F87" s="233">
        <f t="shared" si="30"/>
        <v>11.62202638823406</v>
      </c>
      <c r="G87" s="235">
        <f t="shared" si="29"/>
        <v>559</v>
      </c>
      <c r="H87" s="235">
        <f t="shared" si="33"/>
        <v>163781</v>
      </c>
      <c r="I87" s="235">
        <f>SUM(G87:G92)</f>
        <v>47427</v>
      </c>
      <c r="J87" s="233">
        <f t="shared" si="34"/>
        <v>0.11736742335345794</v>
      </c>
      <c r="K87" s="233">
        <f t="shared" si="31"/>
        <v>11.504658964880601</v>
      </c>
      <c r="L87" s="236">
        <f t="shared" si="32"/>
        <v>11.739393811587519</v>
      </c>
      <c r="M87" s="220"/>
      <c r="N87" s="220"/>
    </row>
    <row r="88" spans="1:14" ht="15" customHeight="1">
      <c r="A88" s="280"/>
      <c r="B88" s="233">
        <v>65</v>
      </c>
      <c r="C88" s="234">
        <v>70</v>
      </c>
      <c r="D88" s="233">
        <f t="shared" si="28"/>
        <v>86.250368905556982</v>
      </c>
      <c r="E88" s="233">
        <f>J9</f>
        <v>2.12760470620896</v>
      </c>
      <c r="F88" s="233">
        <f t="shared" si="30"/>
        <v>13.74963109444302</v>
      </c>
      <c r="G88" s="235">
        <f t="shared" si="29"/>
        <v>1964.0000000000002</v>
      </c>
      <c r="H88" s="235">
        <f t="shared" si="33"/>
        <v>164340</v>
      </c>
      <c r="I88" s="235">
        <f>SUM(G88:G92)</f>
        <v>46868</v>
      </c>
      <c r="J88" s="233">
        <f t="shared" si="34"/>
        <v>0.13608442273141</v>
      </c>
      <c r="K88" s="233">
        <f t="shared" si="31"/>
        <v>13.61354667171161</v>
      </c>
      <c r="L88" s="236">
        <f t="shared" si="32"/>
        <v>13.885715517174429</v>
      </c>
      <c r="M88" s="220"/>
      <c r="N88" s="220"/>
    </row>
    <row r="89" spans="1:14">
      <c r="A89" s="280"/>
      <c r="B89" s="233">
        <v>75</v>
      </c>
      <c r="C89" s="234">
        <v>80</v>
      </c>
      <c r="D89" s="233">
        <f t="shared" si="28"/>
        <v>82.596956728714588</v>
      </c>
      <c r="E89" s="233">
        <f>K9</f>
        <v>3.6534121768424002</v>
      </c>
      <c r="F89" s="233">
        <f t="shared" si="30"/>
        <v>17.403043271285419</v>
      </c>
      <c r="G89" s="235">
        <f t="shared" si="29"/>
        <v>1612</v>
      </c>
      <c r="H89" s="235">
        <f t="shared" si="33"/>
        <v>166304</v>
      </c>
      <c r="I89" s="235">
        <f>SUM(G89:G92)</f>
        <v>44904</v>
      </c>
      <c r="J89" s="233">
        <f t="shared" si="34"/>
        <v>0.16751806347069853</v>
      </c>
      <c r="K89" s="233">
        <f t="shared" si="31"/>
        <v>17.235525207814721</v>
      </c>
      <c r="L89" s="236">
        <f t="shared" si="32"/>
        <v>17.570561334756118</v>
      </c>
      <c r="M89" s="220"/>
      <c r="N89" s="220"/>
    </row>
    <row r="90" spans="1:14">
      <c r="A90" s="280"/>
      <c r="B90" s="233">
        <v>85</v>
      </c>
      <c r="C90" s="234">
        <v>90</v>
      </c>
      <c r="D90" s="233">
        <f t="shared" si="28"/>
        <v>74.933048390939803</v>
      </c>
      <c r="E90" s="233">
        <f>L9</f>
        <v>7.6639083377747701</v>
      </c>
      <c r="F90" s="233">
        <f t="shared" si="30"/>
        <v>25.06695160906019</v>
      </c>
      <c r="G90" s="235">
        <f t="shared" si="29"/>
        <v>2196</v>
      </c>
      <c r="H90" s="235">
        <f t="shared" si="33"/>
        <v>167916</v>
      </c>
      <c r="I90" s="235">
        <f>SUM(G90:G92)</f>
        <v>43292</v>
      </c>
      <c r="J90" s="233">
        <v>1.7237524639101637E-14</v>
      </c>
      <c r="K90" s="233">
        <f t="shared" si="31"/>
        <v>25.066951609060173</v>
      </c>
      <c r="L90" s="236">
        <f t="shared" si="32"/>
        <v>25.066951609060208</v>
      </c>
      <c r="M90" s="220"/>
      <c r="N90" s="220"/>
    </row>
    <row r="91" spans="1:14">
      <c r="A91" s="280"/>
      <c r="B91" s="233">
        <v>95</v>
      </c>
      <c r="C91" s="234">
        <v>95</v>
      </c>
      <c r="D91" s="233">
        <f t="shared" si="28"/>
        <v>28.977912063186707</v>
      </c>
      <c r="E91" s="233">
        <f>M9</f>
        <v>45.955136327753102</v>
      </c>
      <c r="F91" s="233">
        <f t="shared" si="30"/>
        <v>71.022087936813293</v>
      </c>
      <c r="G91" s="235">
        <f t="shared" si="29"/>
        <v>41096</v>
      </c>
      <c r="H91" s="235">
        <f t="shared" si="33"/>
        <v>170112</v>
      </c>
      <c r="I91" s="235">
        <f>SUM(G91:G92)</f>
        <v>41096</v>
      </c>
      <c r="J91" s="233">
        <v>1.7237524639101637E-14</v>
      </c>
      <c r="K91" s="233">
        <f t="shared" si="31"/>
        <v>71.022087936813278</v>
      </c>
      <c r="L91" s="236">
        <f t="shared" si="32"/>
        <v>71.022087936813307</v>
      </c>
      <c r="M91" s="220"/>
      <c r="N91" s="220"/>
    </row>
    <row r="92" spans="1:14" ht="16" thickBot="1">
      <c r="A92" s="281"/>
      <c r="B92" s="237">
        <v>100</v>
      </c>
      <c r="C92" s="238">
        <v>100</v>
      </c>
      <c r="D92" s="237">
        <v>0</v>
      </c>
      <c r="E92" s="237">
        <f>N9</f>
        <v>28.977912063204698</v>
      </c>
      <c r="F92" s="237">
        <f t="shared" si="30"/>
        <v>100.00000000001799</v>
      </c>
      <c r="G92" s="239">
        <f t="shared" si="29"/>
        <v>0</v>
      </c>
      <c r="H92" s="239">
        <f t="shared" si="33"/>
        <v>211208</v>
      </c>
      <c r="I92" s="239">
        <f>SUM(G92)</f>
        <v>0</v>
      </c>
      <c r="J92" s="237">
        <v>1.7237524639101637E-14</v>
      </c>
      <c r="K92" s="237">
        <f t="shared" si="31"/>
        <v>100.00000000001798</v>
      </c>
      <c r="L92" s="240">
        <f t="shared" si="32"/>
        <v>100.00000000001801</v>
      </c>
      <c r="M92" s="220"/>
      <c r="N92" s="220"/>
    </row>
    <row r="93" spans="1:14">
      <c r="M93" s="220"/>
      <c r="N93" s="220"/>
    </row>
    <row r="94" spans="1:14">
      <c r="M94" s="220"/>
      <c r="N94" s="220"/>
    </row>
    <row r="95" spans="1:14">
      <c r="M95" s="220"/>
      <c r="N95" s="220"/>
    </row>
    <row r="96" spans="1:14">
      <c r="M96" s="220"/>
      <c r="N96" s="220"/>
    </row>
    <row r="97" spans="13:14">
      <c r="M97" s="220"/>
      <c r="N97" s="220"/>
    </row>
    <row r="98" spans="13:14">
      <c r="M98" s="220"/>
      <c r="N98" s="220"/>
    </row>
    <row r="99" spans="13:14">
      <c r="M99" s="220"/>
      <c r="N99" s="220"/>
    </row>
    <row r="100" spans="13:14">
      <c r="M100" s="220"/>
      <c r="N100" s="220"/>
    </row>
  </sheetData>
  <mergeCells count="25">
    <mergeCell ref="J31:J32"/>
    <mergeCell ref="K31:K32"/>
    <mergeCell ref="L31:L32"/>
    <mergeCell ref="D31:D32"/>
    <mergeCell ref="E31:E32"/>
    <mergeCell ref="G31:G32"/>
    <mergeCell ref="H31:H32"/>
    <mergeCell ref="I31:I32"/>
    <mergeCell ref="A2:N2"/>
    <mergeCell ref="B12:C12"/>
    <mergeCell ref="D12:E12"/>
    <mergeCell ref="F12:G12"/>
    <mergeCell ref="H12:I12"/>
    <mergeCell ref="J12:K12"/>
    <mergeCell ref="C3:N3"/>
    <mergeCell ref="A5:A10"/>
    <mergeCell ref="A12:A13"/>
    <mergeCell ref="A69:A80"/>
    <mergeCell ref="A81:A92"/>
    <mergeCell ref="A31:A32"/>
    <mergeCell ref="F31:F32"/>
    <mergeCell ref="A33:A44"/>
    <mergeCell ref="A45:A56"/>
    <mergeCell ref="A57:A68"/>
    <mergeCell ref="B31:C32"/>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BE1E38-3BA6-4A4A-A58C-6A2568F9D7E4}">
  <dimension ref="A1:AL100"/>
  <sheetViews>
    <sheetView zoomScale="56" zoomScaleNormal="64" workbookViewId="0"/>
  </sheetViews>
  <sheetFormatPr baseColWidth="10" defaultColWidth="8.83203125" defaultRowHeight="15"/>
  <cols>
    <col min="1" max="1" width="20.5" style="192" customWidth="1"/>
    <col min="2" max="2" width="22.6640625" style="192" customWidth="1"/>
    <col min="3" max="3" width="23.83203125" style="192" customWidth="1"/>
    <col min="4" max="4" width="17.1640625" style="192" customWidth="1"/>
    <col min="5" max="6" width="17" style="192" bestFit="1" customWidth="1"/>
    <col min="7" max="7" width="22.1640625" style="192" customWidth="1"/>
    <col min="8" max="8" width="11.5" style="192" bestFit="1" customWidth="1"/>
    <col min="9" max="10" width="13.5" style="192" bestFit="1" customWidth="1"/>
    <col min="11" max="11" width="11.5" style="192" bestFit="1" customWidth="1"/>
    <col min="12" max="12" width="12.1640625" style="192" bestFit="1" customWidth="1"/>
    <col min="13" max="13" width="11.5" style="192" bestFit="1" customWidth="1"/>
    <col min="14" max="17" width="8.83203125" style="192"/>
    <col min="18" max="18" width="32.6640625" style="192" bestFit="1" customWidth="1"/>
    <col min="19" max="21" width="8.83203125" style="192"/>
    <col min="22" max="22" width="14.5" style="192" bestFit="1" customWidth="1"/>
    <col min="23" max="23" width="14.33203125" style="192" bestFit="1" customWidth="1"/>
    <col min="24" max="16384" width="8.83203125" style="192"/>
  </cols>
  <sheetData>
    <row r="1" spans="1:30" ht="16" thickBot="1">
      <c r="A1" s="231"/>
      <c r="B1" s="231"/>
      <c r="C1" s="231"/>
      <c r="D1" s="231"/>
      <c r="E1" s="231"/>
      <c r="F1" s="231"/>
      <c r="G1" s="231"/>
      <c r="H1" s="231"/>
      <c r="I1" s="231"/>
      <c r="J1" s="231"/>
      <c r="K1" s="231"/>
      <c r="L1" s="231"/>
      <c r="M1" s="231"/>
      <c r="N1" s="231"/>
    </row>
    <row r="2" spans="1:30" ht="16" thickBot="1">
      <c r="A2" s="407" t="s">
        <v>234</v>
      </c>
      <c r="B2" s="408"/>
      <c r="C2" s="408"/>
      <c r="D2" s="408"/>
      <c r="E2" s="408"/>
      <c r="F2" s="408"/>
      <c r="G2" s="408"/>
      <c r="H2" s="408"/>
      <c r="I2" s="408"/>
      <c r="J2" s="408"/>
      <c r="K2" s="408"/>
      <c r="L2" s="408"/>
      <c r="M2" s="408"/>
      <c r="N2" s="409"/>
      <c r="O2" s="215"/>
    </row>
    <row r="3" spans="1:30">
      <c r="A3" s="129" t="s">
        <v>261</v>
      </c>
      <c r="B3" s="134" t="s">
        <v>23</v>
      </c>
      <c r="C3" s="412" t="s">
        <v>235</v>
      </c>
      <c r="D3" s="412" t="s">
        <v>23</v>
      </c>
      <c r="E3" s="412" t="s">
        <v>23</v>
      </c>
      <c r="F3" s="412" t="s">
        <v>23</v>
      </c>
      <c r="G3" s="412" t="s">
        <v>23</v>
      </c>
      <c r="H3" s="412" t="s">
        <v>23</v>
      </c>
      <c r="I3" s="412" t="s">
        <v>23</v>
      </c>
      <c r="J3" s="412" t="s">
        <v>23</v>
      </c>
      <c r="K3" s="412" t="s">
        <v>23</v>
      </c>
      <c r="L3" s="412" t="s">
        <v>23</v>
      </c>
      <c r="M3" s="412" t="s">
        <v>23</v>
      </c>
      <c r="N3" s="413" t="s">
        <v>23</v>
      </c>
      <c r="O3" s="216"/>
    </row>
    <row r="4" spans="1:30">
      <c r="A4" s="129" t="s">
        <v>23</v>
      </c>
      <c r="B4" s="134" t="s">
        <v>23</v>
      </c>
      <c r="C4" s="134" t="s">
        <v>236</v>
      </c>
      <c r="D4" s="134" t="s">
        <v>237</v>
      </c>
      <c r="E4" s="134" t="s">
        <v>238</v>
      </c>
      <c r="F4" s="134" t="s">
        <v>239</v>
      </c>
      <c r="G4" s="134" t="s">
        <v>240</v>
      </c>
      <c r="H4" s="134" t="s">
        <v>241</v>
      </c>
      <c r="I4" s="134" t="s">
        <v>242</v>
      </c>
      <c r="J4" s="134" t="s">
        <v>243</v>
      </c>
      <c r="K4" s="134" t="s">
        <v>244</v>
      </c>
      <c r="L4" s="134" t="s">
        <v>245</v>
      </c>
      <c r="M4" s="134" t="s">
        <v>246</v>
      </c>
      <c r="N4" s="263" t="s">
        <v>247</v>
      </c>
      <c r="O4" s="217"/>
    </row>
    <row r="5" spans="1:30">
      <c r="A5" s="418" t="s">
        <v>248</v>
      </c>
      <c r="B5" s="134" t="s">
        <v>8</v>
      </c>
      <c r="C5" s="135">
        <v>0</v>
      </c>
      <c r="D5" s="135">
        <v>57.581198460691198</v>
      </c>
      <c r="E5" s="135">
        <v>16.828505075176601</v>
      </c>
      <c r="F5" s="135">
        <v>14.286386747053999</v>
      </c>
      <c r="G5" s="135">
        <v>11.3039097170782</v>
      </c>
      <c r="H5" s="135">
        <v>0</v>
      </c>
      <c r="I5" s="135">
        <v>0</v>
      </c>
      <c r="J5" s="135">
        <v>0</v>
      </c>
      <c r="K5" s="135">
        <v>0</v>
      </c>
      <c r="L5" s="135">
        <v>0</v>
      </c>
      <c r="M5" s="135">
        <v>0</v>
      </c>
      <c r="N5" s="250">
        <v>0</v>
      </c>
      <c r="O5" s="232"/>
      <c r="P5" s="219"/>
      <c r="Q5" s="219"/>
    </row>
    <row r="6" spans="1:30">
      <c r="A6" s="418" t="s">
        <v>23</v>
      </c>
      <c r="B6" s="264" t="s">
        <v>7</v>
      </c>
      <c r="C6" s="135">
        <v>0</v>
      </c>
      <c r="D6" s="135">
        <v>21.525056368651999</v>
      </c>
      <c r="E6" s="135">
        <v>9.7557069382789106</v>
      </c>
      <c r="F6" s="135">
        <v>12.931854769274899</v>
      </c>
      <c r="G6" s="135">
        <v>18.658346599909098</v>
      </c>
      <c r="H6" s="135">
        <v>19.426373300903901</v>
      </c>
      <c r="I6" s="135">
        <v>7.8724663010020297</v>
      </c>
      <c r="J6" s="135">
        <v>4.5645560411742103</v>
      </c>
      <c r="K6" s="135">
        <v>2.5192108821106598</v>
      </c>
      <c r="L6" s="135">
        <v>2.74642879869445</v>
      </c>
      <c r="M6" s="135">
        <v>0</v>
      </c>
      <c r="N6" s="250">
        <v>0</v>
      </c>
      <c r="O6" s="232"/>
      <c r="P6" s="219"/>
      <c r="Q6" s="219"/>
    </row>
    <row r="7" spans="1:30">
      <c r="A7" s="418" t="s">
        <v>23</v>
      </c>
      <c r="B7" s="134" t="s">
        <v>6</v>
      </c>
      <c r="C7" s="135">
        <v>0</v>
      </c>
      <c r="D7" s="135">
        <v>34.016661416980597</v>
      </c>
      <c r="E7" s="135">
        <v>17.425001900748299</v>
      </c>
      <c r="F7" s="135">
        <v>13.7148823165235</v>
      </c>
      <c r="G7" s="135">
        <v>8.6438558762087805</v>
      </c>
      <c r="H7" s="135">
        <v>11.901591922000501</v>
      </c>
      <c r="I7" s="135">
        <v>7.1432947028858704</v>
      </c>
      <c r="J7" s="135">
        <v>1.30326168417165</v>
      </c>
      <c r="K7" s="135">
        <v>1.5022320216359499</v>
      </c>
      <c r="L7" s="135">
        <v>4.3492181588446304</v>
      </c>
      <c r="M7" s="135">
        <v>0</v>
      </c>
      <c r="N7" s="250">
        <v>0</v>
      </c>
      <c r="O7" s="232"/>
      <c r="P7" s="219"/>
      <c r="Q7" s="219"/>
    </row>
    <row r="8" spans="1:30">
      <c r="A8" s="418" t="s">
        <v>23</v>
      </c>
      <c r="B8" s="134" t="s">
        <v>5</v>
      </c>
      <c r="C8" s="135">
        <v>0</v>
      </c>
      <c r="D8" s="135">
        <v>29.8402353262742</v>
      </c>
      <c r="E8" s="135">
        <v>13.732254513074301</v>
      </c>
      <c r="F8" s="135">
        <v>7.1007686800258902</v>
      </c>
      <c r="G8" s="135">
        <v>11.125417812278901</v>
      </c>
      <c r="H8" s="135">
        <v>7.3618012578677803</v>
      </c>
      <c r="I8" s="135">
        <v>11.730195080240399</v>
      </c>
      <c r="J8" s="135">
        <v>0</v>
      </c>
      <c r="K8" s="135">
        <v>11.005751982787499</v>
      </c>
      <c r="L8" s="135">
        <v>0</v>
      </c>
      <c r="M8" s="135">
        <v>8.1035753474511303</v>
      </c>
      <c r="N8" s="250">
        <v>0</v>
      </c>
      <c r="O8" s="232"/>
      <c r="P8" s="219"/>
      <c r="Q8" s="219"/>
    </row>
    <row r="9" spans="1:30">
      <c r="A9" s="418" t="s">
        <v>23</v>
      </c>
      <c r="B9" s="134" t="s">
        <v>4</v>
      </c>
      <c r="C9" s="135">
        <v>0</v>
      </c>
      <c r="D9" s="135">
        <v>6.4104384518194202</v>
      </c>
      <c r="E9" s="135">
        <v>5.5709279289201401</v>
      </c>
      <c r="F9" s="135">
        <v>3.5357893006971999</v>
      </c>
      <c r="G9" s="135">
        <v>4.4718294457673302</v>
      </c>
      <c r="H9" s="135">
        <v>4.8433020914394804</v>
      </c>
      <c r="I9" s="135">
        <v>4.2000808807810399</v>
      </c>
      <c r="J9" s="135">
        <v>5.8071368446672498</v>
      </c>
      <c r="K9" s="135">
        <v>6.4274938631670198</v>
      </c>
      <c r="L9" s="135">
        <v>11.1851212597448</v>
      </c>
      <c r="M9" s="135">
        <v>21.666101070943899</v>
      </c>
      <c r="N9" s="250">
        <v>25.8817788620395</v>
      </c>
      <c r="O9" s="232"/>
      <c r="P9" s="219"/>
      <c r="Q9" s="219"/>
    </row>
    <row r="10" spans="1:30" ht="16" thickBot="1">
      <c r="A10" s="419" t="s">
        <v>23</v>
      </c>
      <c r="B10" s="142" t="s">
        <v>249</v>
      </c>
      <c r="C10" s="143">
        <v>0</v>
      </c>
      <c r="D10" s="143">
        <v>37.355950755136803</v>
      </c>
      <c r="E10" s="143">
        <v>13.3775859984981</v>
      </c>
      <c r="F10" s="143">
        <v>12.0603955418535</v>
      </c>
      <c r="G10" s="143">
        <v>12.1434640067329</v>
      </c>
      <c r="H10" s="143">
        <v>7.4819154919319404</v>
      </c>
      <c r="I10" s="143">
        <v>4.0973433571163103</v>
      </c>
      <c r="J10" s="143">
        <v>2.08647270037953</v>
      </c>
      <c r="K10" s="143">
        <v>2.32959010996646</v>
      </c>
      <c r="L10" s="143">
        <v>2.57865698199118</v>
      </c>
      <c r="M10" s="143">
        <v>3.2350888859732301</v>
      </c>
      <c r="N10" s="218">
        <v>3.25353617041845</v>
      </c>
      <c r="O10" s="232"/>
      <c r="P10" s="219"/>
      <c r="Q10" s="219"/>
    </row>
    <row r="11" spans="1:30" ht="16" thickBot="1">
      <c r="A11" s="231"/>
      <c r="B11" s="216"/>
      <c r="C11" s="217"/>
      <c r="D11" s="217"/>
      <c r="E11" s="217"/>
      <c r="F11" s="217"/>
      <c r="G11" s="217"/>
      <c r="H11" s="217"/>
      <c r="I11" s="217"/>
      <c r="J11" s="217"/>
      <c r="K11" s="217"/>
      <c r="L11" s="217"/>
      <c r="M11" s="217"/>
      <c r="N11" s="217"/>
      <c r="O11" s="215"/>
    </row>
    <row r="12" spans="1:30">
      <c r="A12" s="416"/>
      <c r="B12" s="410" t="s">
        <v>8</v>
      </c>
      <c r="C12" s="410"/>
      <c r="D12" s="410" t="s">
        <v>7</v>
      </c>
      <c r="E12" s="410"/>
      <c r="F12" s="410" t="s">
        <v>6</v>
      </c>
      <c r="G12" s="410"/>
      <c r="H12" s="410" t="s">
        <v>5</v>
      </c>
      <c r="I12" s="410"/>
      <c r="J12" s="410" t="s">
        <v>4</v>
      </c>
      <c r="K12" s="411"/>
      <c r="L12" s="231"/>
      <c r="M12" s="231"/>
      <c r="N12" s="231"/>
    </row>
    <row r="13" spans="1:30">
      <c r="A13" s="417" t="s">
        <v>250</v>
      </c>
      <c r="B13" s="255" t="s">
        <v>251</v>
      </c>
      <c r="C13" s="255" t="s">
        <v>252</v>
      </c>
      <c r="D13" s="256" t="s">
        <v>251</v>
      </c>
      <c r="E13" s="255" t="s">
        <v>252</v>
      </c>
      <c r="F13" s="256" t="s">
        <v>251</v>
      </c>
      <c r="G13" s="255" t="s">
        <v>252</v>
      </c>
      <c r="H13" s="256" t="s">
        <v>251</v>
      </c>
      <c r="I13" s="255" t="s">
        <v>252</v>
      </c>
      <c r="J13" s="256" t="s">
        <v>251</v>
      </c>
      <c r="K13" s="257" t="s">
        <v>252</v>
      </c>
      <c r="L13" s="231"/>
      <c r="M13" s="231"/>
      <c r="N13" s="231"/>
    </row>
    <row r="14" spans="1:30">
      <c r="A14" s="258">
        <v>0</v>
      </c>
      <c r="B14" s="247">
        <v>1712.49186708465</v>
      </c>
      <c r="C14" s="245">
        <v>54</v>
      </c>
      <c r="D14" s="259">
        <v>1067.9803833583201</v>
      </c>
      <c r="E14" s="245">
        <v>222</v>
      </c>
      <c r="F14" s="245">
        <v>438.94953914940299</v>
      </c>
      <c r="G14" s="245">
        <v>778</v>
      </c>
      <c r="H14" s="259">
        <v>280.99556716705598</v>
      </c>
      <c r="I14" s="245">
        <v>2478</v>
      </c>
      <c r="J14" s="259">
        <v>17.520267527205799</v>
      </c>
      <c r="K14" s="248">
        <v>213763</v>
      </c>
      <c r="L14" s="231"/>
      <c r="M14" s="231"/>
      <c r="N14" s="231"/>
    </row>
    <row r="15" spans="1:30">
      <c r="A15" s="249">
        <v>0.05</v>
      </c>
      <c r="B15" s="235">
        <v>2405.5302240368601</v>
      </c>
      <c r="C15" s="233">
        <v>0.95566502463054193</v>
      </c>
      <c r="D15" s="135">
        <v>1277.4788442868801</v>
      </c>
      <c r="E15" s="233">
        <v>0.86222732491389209</v>
      </c>
      <c r="F15" s="233">
        <v>0</v>
      </c>
      <c r="G15" s="233">
        <v>0.87461773700305812</v>
      </c>
      <c r="H15" s="135">
        <v>0</v>
      </c>
      <c r="I15" s="233">
        <v>0.8737373737373737</v>
      </c>
      <c r="J15" s="135">
        <v>0</v>
      </c>
      <c r="K15" s="236">
        <v>0.12550830518988215</v>
      </c>
      <c r="L15" s="231"/>
      <c r="M15" s="231"/>
      <c r="N15" s="231"/>
      <c r="AD15" s="217"/>
    </row>
    <row r="16" spans="1:30">
      <c r="A16" s="249">
        <v>0.15000000000000002</v>
      </c>
      <c r="B16" s="235">
        <v>2093.6073892884501</v>
      </c>
      <c r="C16" s="233">
        <v>2.4630541871921183E-2</v>
      </c>
      <c r="D16" s="135">
        <v>1298.58483956845</v>
      </c>
      <c r="E16" s="233">
        <v>3.9035591274397242E-2</v>
      </c>
      <c r="F16" s="233">
        <v>430.92782217782201</v>
      </c>
      <c r="G16" s="233">
        <v>5.657492354740061E-2</v>
      </c>
      <c r="H16" s="135">
        <v>264.92380952381001</v>
      </c>
      <c r="I16" s="233">
        <v>5.5555555555555552E-2</v>
      </c>
      <c r="J16" s="135">
        <v>26.3485417322836</v>
      </c>
      <c r="K16" s="236">
        <v>8.2776207870976629E-2</v>
      </c>
      <c r="L16" s="231"/>
      <c r="M16" s="231"/>
      <c r="N16" s="231"/>
      <c r="AD16" s="217"/>
    </row>
    <row r="17" spans="1:38">
      <c r="A17" s="249">
        <v>0.25</v>
      </c>
      <c r="B17" s="235">
        <v>1950.06684922105</v>
      </c>
      <c r="C17" s="233">
        <v>1.2315270935960592E-2</v>
      </c>
      <c r="D17" s="135">
        <v>1388.8591227951899</v>
      </c>
      <c r="E17" s="233">
        <v>2.7554535017221583E-2</v>
      </c>
      <c r="F17" s="233">
        <v>471.92593186212201</v>
      </c>
      <c r="G17" s="233">
        <v>2.7522935779816515E-2</v>
      </c>
      <c r="H17" s="135">
        <v>232.71103896103901</v>
      </c>
      <c r="I17" s="233">
        <v>1.5151515151515152E-2</v>
      </c>
      <c r="J17" s="135">
        <v>21.185226019845601</v>
      </c>
      <c r="K17" s="236">
        <v>4.1146874353849332E-2</v>
      </c>
      <c r="L17" s="231"/>
      <c r="M17" s="231"/>
      <c r="N17" s="231"/>
      <c r="P17" s="215"/>
      <c r="Q17" s="216"/>
      <c r="AD17" s="217"/>
    </row>
    <row r="18" spans="1:38">
      <c r="A18" s="249">
        <v>0.35</v>
      </c>
      <c r="B18" s="235">
        <v>1836.5780560902499</v>
      </c>
      <c r="C18" s="233">
        <v>7.3891625615763543E-3</v>
      </c>
      <c r="D18" s="135">
        <v>1372.3429113259599</v>
      </c>
      <c r="E18" s="233">
        <v>2.8702640642939151E-2</v>
      </c>
      <c r="F18" s="233">
        <v>435.15480462742102</v>
      </c>
      <c r="G18" s="233">
        <v>1.2232415902140673E-2</v>
      </c>
      <c r="H18" s="135">
        <v>276.68858338314402</v>
      </c>
      <c r="I18" s="233">
        <v>2.0202020202020204E-2</v>
      </c>
      <c r="J18" s="135">
        <v>19.207948623853198</v>
      </c>
      <c r="K18" s="236">
        <v>5.5896340202632851E-2</v>
      </c>
      <c r="L18" s="231"/>
      <c r="M18" s="231"/>
      <c r="N18" s="231"/>
      <c r="P18" s="215"/>
      <c r="Q18" s="216"/>
      <c r="R18" s="217"/>
      <c r="S18" s="217"/>
      <c r="T18" s="217"/>
      <c r="U18" s="217"/>
      <c r="V18" s="217"/>
      <c r="W18" s="217"/>
      <c r="X18" s="217"/>
      <c r="Y18" s="217"/>
      <c r="Z18" s="217"/>
      <c r="AA18" s="217"/>
      <c r="AB18" s="217"/>
      <c r="AC18" s="217"/>
      <c r="AD18" s="217"/>
    </row>
    <row r="19" spans="1:38">
      <c r="A19" s="249">
        <v>0.45</v>
      </c>
      <c r="B19" s="235">
        <v>0</v>
      </c>
      <c r="C19" s="233">
        <v>0</v>
      </c>
      <c r="D19" s="135">
        <v>1208.7688506813599</v>
      </c>
      <c r="E19" s="233">
        <v>2.6406429391504019E-2</v>
      </c>
      <c r="F19" s="233">
        <v>530.37333845194098</v>
      </c>
      <c r="G19" s="233">
        <v>1.2232415902140673E-2</v>
      </c>
      <c r="H19" s="135">
        <v>209.69089390142</v>
      </c>
      <c r="I19" s="233">
        <v>1.0101010101010102E-2</v>
      </c>
      <c r="J19" s="135">
        <v>25.6147564469914</v>
      </c>
      <c r="K19" s="236">
        <v>1.2061479081949135E-2</v>
      </c>
      <c r="L19" s="231"/>
      <c r="M19" s="231"/>
      <c r="N19" s="231"/>
      <c r="P19" s="215"/>
      <c r="Q19" s="216"/>
      <c r="R19" s="217"/>
      <c r="S19" s="217"/>
      <c r="T19" s="217"/>
      <c r="U19" s="217"/>
      <c r="V19" s="217"/>
      <c r="W19" s="217"/>
      <c r="X19" s="217"/>
      <c r="Y19" s="217"/>
      <c r="Z19" s="217"/>
      <c r="AA19" s="217"/>
      <c r="AB19" s="217"/>
      <c r="AC19" s="217"/>
      <c r="AD19" s="217"/>
    </row>
    <row r="20" spans="1:38">
      <c r="A20" s="249">
        <v>0.55000000000000004</v>
      </c>
      <c r="B20" s="235">
        <v>0</v>
      </c>
      <c r="C20" s="233">
        <v>0</v>
      </c>
      <c r="D20" s="135">
        <v>1436.0316118557901</v>
      </c>
      <c r="E20" s="233">
        <v>6.8886337543053958E-3</v>
      </c>
      <c r="F20" s="233">
        <v>412.13450860094002</v>
      </c>
      <c r="G20" s="233">
        <v>9.1743119266055051E-3</v>
      </c>
      <c r="H20" s="135">
        <v>306.08651911468797</v>
      </c>
      <c r="I20" s="233">
        <v>1.0101010101010102E-2</v>
      </c>
      <c r="J20" s="135">
        <v>29.3172708757638</v>
      </c>
      <c r="K20" s="236">
        <v>1.0751947067337515E-2</v>
      </c>
      <c r="L20" s="231"/>
      <c r="M20" s="231"/>
      <c r="N20" s="231"/>
      <c r="P20" s="215"/>
      <c r="Q20" s="216"/>
      <c r="R20" s="217"/>
      <c r="S20" s="217"/>
      <c r="T20" s="217"/>
      <c r="U20" s="217"/>
      <c r="V20" s="217"/>
      <c r="W20" s="217"/>
      <c r="X20" s="217"/>
      <c r="Y20" s="217"/>
      <c r="Z20" s="217"/>
      <c r="AA20" s="217"/>
      <c r="AB20" s="217"/>
      <c r="AC20" s="217"/>
      <c r="AD20" s="217"/>
    </row>
    <row r="21" spans="1:38">
      <c r="A21" s="249">
        <v>0.65</v>
      </c>
      <c r="B21" s="235">
        <v>0</v>
      </c>
      <c r="C21" s="233">
        <v>0</v>
      </c>
      <c r="D21" s="135">
        <v>1384.7701594180501</v>
      </c>
      <c r="E21" s="233">
        <v>3.4443168771526979E-3</v>
      </c>
      <c r="F21" s="233">
        <v>418.60965121834698</v>
      </c>
      <c r="G21" s="233">
        <v>1.5290519877675841E-3</v>
      </c>
      <c r="H21" s="135">
        <v>0</v>
      </c>
      <c r="I21" s="233">
        <v>0</v>
      </c>
      <c r="J21" s="135">
        <v>19.9119323671496</v>
      </c>
      <c r="K21" s="236">
        <v>3.6253359983458543E-2</v>
      </c>
      <c r="L21" s="231"/>
      <c r="M21" s="231"/>
      <c r="N21" s="231"/>
      <c r="P21" s="215"/>
      <c r="Q21" s="216"/>
      <c r="R21" s="217"/>
      <c r="S21" s="217"/>
      <c r="T21" s="217"/>
      <c r="U21" s="217"/>
      <c r="V21" s="217"/>
      <c r="W21" s="217"/>
      <c r="X21" s="217"/>
      <c r="Y21" s="217"/>
      <c r="Z21" s="217"/>
      <c r="AA21" s="217"/>
      <c r="AB21" s="217"/>
      <c r="AC21" s="217"/>
      <c r="AD21" s="217"/>
    </row>
    <row r="22" spans="1:38">
      <c r="A22" s="249">
        <v>0.75</v>
      </c>
      <c r="B22" s="235">
        <v>0</v>
      </c>
      <c r="C22" s="233">
        <v>0</v>
      </c>
      <c r="D22" s="135">
        <v>962.80071280071297</v>
      </c>
      <c r="E22" s="233">
        <v>3.4443168771526979E-3</v>
      </c>
      <c r="F22" s="233">
        <v>262.825979990159</v>
      </c>
      <c r="G22" s="233">
        <v>3.0581039755351682E-3</v>
      </c>
      <c r="H22" s="135">
        <v>247.42857142857099</v>
      </c>
      <c r="I22" s="233">
        <v>1.0101010101010102E-2</v>
      </c>
      <c r="J22" s="135">
        <v>16.356644767714599</v>
      </c>
      <c r="K22" s="250">
        <v>3.7149355572403335E-2</v>
      </c>
      <c r="L22" s="217"/>
      <c r="M22" s="217"/>
      <c r="N22" s="217"/>
      <c r="R22" s="217"/>
      <c r="S22" s="217"/>
      <c r="T22" s="217"/>
      <c r="U22" s="217"/>
      <c r="V22" s="217"/>
      <c r="W22" s="217"/>
      <c r="X22" s="217"/>
      <c r="Y22" s="217"/>
      <c r="Z22" s="217"/>
      <c r="AA22" s="217"/>
      <c r="AB22" s="217"/>
      <c r="AC22" s="217"/>
      <c r="AD22" s="217"/>
    </row>
    <row r="23" spans="1:38">
      <c r="A23" s="249">
        <v>0.85</v>
      </c>
      <c r="B23" s="235">
        <v>0</v>
      </c>
      <c r="C23" s="233">
        <v>0</v>
      </c>
      <c r="D23" s="135">
        <v>1307.27367870225</v>
      </c>
      <c r="E23" s="233">
        <v>2.2962112514351321E-3</v>
      </c>
      <c r="F23" s="233">
        <v>458.127516048308</v>
      </c>
      <c r="G23" s="233">
        <v>3.0581039755351682E-3</v>
      </c>
      <c r="H23" s="135">
        <v>0</v>
      </c>
      <c r="I23" s="233">
        <v>0</v>
      </c>
      <c r="J23" s="135">
        <v>21.488366483283901</v>
      </c>
      <c r="K23" s="250">
        <v>3.0050313598456131E-2</v>
      </c>
      <c r="L23" s="217"/>
      <c r="M23" s="217"/>
      <c r="N23" s="217"/>
      <c r="P23" s="215"/>
      <c r="Q23" s="215"/>
    </row>
    <row r="24" spans="1:38">
      <c r="A24" s="249">
        <v>0.95</v>
      </c>
      <c r="B24" s="235">
        <v>0</v>
      </c>
      <c r="C24" s="233">
        <v>0</v>
      </c>
      <c r="D24" s="135">
        <v>0</v>
      </c>
      <c r="E24" s="233">
        <v>0</v>
      </c>
      <c r="F24" s="233">
        <v>0</v>
      </c>
      <c r="G24" s="233">
        <v>0</v>
      </c>
      <c r="H24" s="135">
        <v>247.45596868884499</v>
      </c>
      <c r="I24" s="233">
        <v>5.0505050505050509E-3</v>
      </c>
      <c r="J24" s="135">
        <v>14.0836201449562</v>
      </c>
      <c r="K24" s="250">
        <v>0.56840581707905435</v>
      </c>
      <c r="L24" s="231"/>
      <c r="M24" s="231"/>
      <c r="N24" s="231"/>
      <c r="P24" s="215"/>
      <c r="Q24" s="215"/>
      <c r="R24" s="215"/>
      <c r="S24" s="215"/>
      <c r="T24" s="215"/>
      <c r="U24" s="215"/>
      <c r="V24" s="215"/>
      <c r="W24" s="215"/>
      <c r="X24" s="215"/>
      <c r="Y24" s="215"/>
      <c r="Z24" s="215"/>
      <c r="AA24" s="215"/>
      <c r="AB24" s="215"/>
      <c r="AC24" s="215"/>
      <c r="AD24" s="215"/>
    </row>
    <row r="25" spans="1:38">
      <c r="A25" s="260">
        <v>1</v>
      </c>
      <c r="B25" s="241">
        <v>0</v>
      </c>
      <c r="C25" s="241">
        <v>0</v>
      </c>
      <c r="D25" s="241">
        <v>0</v>
      </c>
      <c r="E25" s="241">
        <v>0</v>
      </c>
      <c r="F25" s="261">
        <v>0</v>
      </c>
      <c r="G25" s="261">
        <v>0</v>
      </c>
      <c r="H25" s="230">
        <v>0</v>
      </c>
      <c r="I25" s="230">
        <v>0</v>
      </c>
      <c r="J25" s="241">
        <v>0</v>
      </c>
      <c r="K25" s="262">
        <v>0</v>
      </c>
      <c r="L25" s="215"/>
      <c r="M25" s="215"/>
      <c r="N25" s="215"/>
      <c r="P25" s="215"/>
      <c r="Q25" s="215"/>
      <c r="R25" s="215"/>
      <c r="S25" s="215"/>
      <c r="T25" s="215"/>
      <c r="U25" s="215"/>
      <c r="V25" s="215"/>
      <c r="W25" s="215"/>
      <c r="X25" s="217"/>
      <c r="Z25" s="217"/>
      <c r="AB25" s="215"/>
      <c r="AC25" s="215"/>
      <c r="AD25" s="215"/>
    </row>
    <row r="26" spans="1:38">
      <c r="A26" s="229" t="s">
        <v>253</v>
      </c>
      <c r="B26" s="251">
        <v>5.7142857142857155E-2</v>
      </c>
      <c r="C26" s="252">
        <v>406</v>
      </c>
      <c r="D26" s="251">
        <v>8.8346727898966707E-2</v>
      </c>
      <c r="E26" s="252">
        <v>871</v>
      </c>
      <c r="F26" s="251">
        <v>7.9816513761467894E-2</v>
      </c>
      <c r="G26" s="252">
        <v>654</v>
      </c>
      <c r="H26" s="251">
        <v>8.5353535353535348E-2</v>
      </c>
      <c r="I26" s="252">
        <v>1420.9999999999998</v>
      </c>
      <c r="J26" s="251">
        <v>0.6768385140257771</v>
      </c>
      <c r="K26" s="253">
        <v>14509</v>
      </c>
      <c r="L26" s="216"/>
      <c r="M26" s="216"/>
      <c r="N26" s="216"/>
      <c r="P26" s="215"/>
      <c r="Q26" s="215"/>
      <c r="R26" s="217"/>
      <c r="S26" s="217"/>
      <c r="T26" s="217"/>
      <c r="U26" s="217"/>
      <c r="V26" s="217"/>
      <c r="W26" s="217"/>
      <c r="AB26" s="217"/>
      <c r="AC26" s="217"/>
      <c r="AD26" s="217"/>
      <c r="AE26" s="220"/>
    </row>
    <row r="27" spans="1:38" ht="15" customHeight="1" thickBot="1">
      <c r="A27" s="228" t="s">
        <v>254</v>
      </c>
      <c r="B27" s="138">
        <v>4350</v>
      </c>
      <c r="C27" s="138"/>
      <c r="D27" s="138">
        <v>1500</v>
      </c>
      <c r="E27" s="138"/>
      <c r="F27" s="142">
        <v>712.5</v>
      </c>
      <c r="G27" s="142"/>
      <c r="H27" s="138">
        <v>287.5</v>
      </c>
      <c r="I27" s="138"/>
      <c r="J27" s="138">
        <v>75</v>
      </c>
      <c r="K27" s="254"/>
      <c r="L27" s="217"/>
      <c r="M27" s="217"/>
      <c r="N27" s="217"/>
      <c r="R27" s="217"/>
      <c r="S27" s="217"/>
      <c r="T27" s="217"/>
      <c r="U27" s="217"/>
      <c r="V27" s="217"/>
      <c r="W27" s="217"/>
      <c r="AB27" s="217"/>
      <c r="AC27" s="217"/>
      <c r="AD27" s="217"/>
    </row>
    <row r="28" spans="1:38">
      <c r="A28" s="215"/>
      <c r="B28" s="216"/>
      <c r="C28" s="217"/>
      <c r="D28" s="217"/>
      <c r="E28" s="217"/>
      <c r="F28" s="217"/>
      <c r="G28" s="217"/>
      <c r="H28" s="217"/>
      <c r="I28" s="217"/>
      <c r="J28" s="217"/>
      <c r="K28" s="217"/>
      <c r="L28" s="217"/>
      <c r="M28" s="217"/>
      <c r="N28" s="217"/>
    </row>
    <row r="29" spans="1:38">
      <c r="A29" s="231"/>
      <c r="B29" s="216"/>
      <c r="C29" s="217"/>
      <c r="D29" s="217"/>
      <c r="E29" s="217"/>
      <c r="F29" s="217"/>
      <c r="G29" s="217"/>
      <c r="H29" s="217"/>
      <c r="I29" s="217"/>
      <c r="J29" s="217"/>
      <c r="K29" s="217"/>
      <c r="L29" s="217"/>
      <c r="M29" s="217"/>
      <c r="N29" s="217"/>
    </row>
    <row r="30" spans="1:38" ht="16" thickBot="1">
      <c r="A30" s="231"/>
      <c r="B30" s="216"/>
      <c r="C30" s="217"/>
      <c r="D30" s="217"/>
      <c r="E30" s="217"/>
      <c r="F30" s="217"/>
      <c r="G30" s="217"/>
      <c r="H30" s="217"/>
      <c r="I30" s="217"/>
      <c r="J30" s="217"/>
      <c r="K30" s="217"/>
      <c r="L30" s="217"/>
      <c r="M30" s="217"/>
      <c r="N30" s="217"/>
      <c r="X30" s="215"/>
      <c r="Y30" s="215"/>
      <c r="Z30" s="215"/>
      <c r="AA30" s="215"/>
      <c r="AB30" s="215"/>
      <c r="AC30" s="215"/>
      <c r="AD30" s="215"/>
      <c r="AE30" s="215"/>
      <c r="AF30" s="215"/>
      <c r="AG30" s="215" t="s">
        <v>23</v>
      </c>
      <c r="AH30" s="215" t="s">
        <v>23</v>
      </c>
      <c r="AI30" s="215" t="s">
        <v>23</v>
      </c>
      <c r="AJ30" s="215" t="s">
        <v>23</v>
      </c>
      <c r="AK30" s="215" t="s">
        <v>23</v>
      </c>
    </row>
    <row r="31" spans="1:38" ht="16" customHeight="1">
      <c r="A31" s="279"/>
      <c r="B31" s="405" t="s">
        <v>255</v>
      </c>
      <c r="C31" s="405"/>
      <c r="D31" s="405" t="s">
        <v>293</v>
      </c>
      <c r="E31" s="420" t="s">
        <v>291</v>
      </c>
      <c r="F31" s="405" t="s">
        <v>292</v>
      </c>
      <c r="G31" s="405" t="s">
        <v>256</v>
      </c>
      <c r="H31" s="420" t="s">
        <v>257</v>
      </c>
      <c r="I31" s="420" t="s">
        <v>258</v>
      </c>
      <c r="J31" s="420" t="s">
        <v>259</v>
      </c>
      <c r="K31" s="405" t="s">
        <v>294</v>
      </c>
      <c r="L31" s="414" t="s">
        <v>295</v>
      </c>
      <c r="M31" s="231"/>
      <c r="N31" s="231"/>
      <c r="X31" s="215"/>
      <c r="Y31" s="215"/>
      <c r="Z31" s="215"/>
      <c r="AA31" s="215"/>
      <c r="AB31" s="215"/>
      <c r="AC31" s="215"/>
      <c r="AD31" s="215"/>
      <c r="AE31" s="215"/>
      <c r="AF31" s="215"/>
      <c r="AG31" s="215"/>
      <c r="AH31" s="215"/>
      <c r="AI31" s="215"/>
      <c r="AJ31" s="215"/>
      <c r="AK31" s="215"/>
    </row>
    <row r="32" spans="1:38" ht="15" customHeight="1">
      <c r="A32" s="404"/>
      <c r="B32" s="406"/>
      <c r="C32" s="406"/>
      <c r="D32" s="406"/>
      <c r="E32" s="421"/>
      <c r="F32" s="406"/>
      <c r="G32" s="406"/>
      <c r="H32" s="421"/>
      <c r="I32" s="421"/>
      <c r="J32" s="421"/>
      <c r="K32" s="406"/>
      <c r="L32" s="415"/>
      <c r="M32" s="231"/>
      <c r="N32" s="231"/>
      <c r="X32" s="215"/>
      <c r="Y32" s="215"/>
      <c r="Z32" s="217"/>
      <c r="AA32" s="217"/>
      <c r="AB32" s="217"/>
      <c r="AC32" s="217"/>
      <c r="AD32" s="217"/>
      <c r="AE32" s="217"/>
      <c r="AF32" s="217"/>
      <c r="AG32" s="217"/>
      <c r="AH32" s="217"/>
      <c r="AI32" s="217"/>
      <c r="AJ32" s="217"/>
      <c r="AK32" s="217"/>
      <c r="AL32" s="220"/>
    </row>
    <row r="33" spans="1:38">
      <c r="A33" s="403" t="s">
        <v>8</v>
      </c>
      <c r="B33" s="245">
        <v>0</v>
      </c>
      <c r="C33" s="246">
        <v>0</v>
      </c>
      <c r="D33" s="245">
        <f>100-F33</f>
        <v>100</v>
      </c>
      <c r="E33" s="245">
        <f>C5</f>
        <v>0</v>
      </c>
      <c r="F33" s="245">
        <f>E33</f>
        <v>0</v>
      </c>
      <c r="G33" s="247">
        <f>C14</f>
        <v>54</v>
      </c>
      <c r="H33" s="247"/>
      <c r="I33" s="247"/>
      <c r="J33" s="245"/>
      <c r="K33" s="245">
        <v>0</v>
      </c>
      <c r="L33" s="248">
        <v>0</v>
      </c>
      <c r="M33" s="220"/>
      <c r="N33" s="220"/>
      <c r="X33" s="215"/>
      <c r="Y33" s="215"/>
      <c r="Z33" s="217"/>
      <c r="AA33" s="217"/>
      <c r="AB33" s="217"/>
      <c r="AC33" s="217"/>
      <c r="AD33" s="217"/>
      <c r="AE33" s="217"/>
      <c r="AF33" s="217"/>
      <c r="AG33" s="217"/>
      <c r="AH33" s="217"/>
      <c r="AI33" s="217"/>
      <c r="AJ33" s="217"/>
      <c r="AK33" s="217"/>
      <c r="AL33" s="220"/>
    </row>
    <row r="34" spans="1:38">
      <c r="A34" s="280"/>
      <c r="B34" s="233">
        <v>5</v>
      </c>
      <c r="C34" s="234">
        <v>10</v>
      </c>
      <c r="D34" s="233">
        <f t="shared" ref="D34:D44" si="0">100-F34</f>
        <v>42.418801539308802</v>
      </c>
      <c r="E34" s="233">
        <f>D5</f>
        <v>57.581198460691198</v>
      </c>
      <c r="F34" s="233">
        <f>F33+E34</f>
        <v>57.581198460691198</v>
      </c>
      <c r="G34" s="235">
        <f t="shared" ref="G34:G44" si="1">C15*$C$26</f>
        <v>388</v>
      </c>
      <c r="H34" s="235">
        <f>G33</f>
        <v>54</v>
      </c>
      <c r="I34" s="235">
        <f>SUM(G34:G44)</f>
        <v>406</v>
      </c>
      <c r="J34" s="233">
        <f>(1.96*(((1.25*((F34/100)^2))*((1-(F34/100))^2)*((1/H34)+(1/I34)))^0.5))*100</f>
        <v>7.7529894142043618</v>
      </c>
      <c r="K34" s="233">
        <f>F34-J34</f>
        <v>49.828209046486833</v>
      </c>
      <c r="L34" s="236">
        <f>F34+J34</f>
        <v>65.334187874895562</v>
      </c>
      <c r="M34" s="220"/>
      <c r="N34" s="220"/>
      <c r="X34" s="215"/>
      <c r="Y34" s="215"/>
      <c r="Z34" s="217"/>
      <c r="AA34" s="217"/>
      <c r="AB34" s="217"/>
      <c r="AC34" s="217"/>
      <c r="AD34" s="217"/>
      <c r="AE34" s="217"/>
      <c r="AF34" s="217"/>
      <c r="AG34" s="217"/>
      <c r="AH34" s="217"/>
      <c r="AI34" s="217"/>
      <c r="AJ34" s="217"/>
      <c r="AK34" s="217"/>
      <c r="AL34" s="220"/>
    </row>
    <row r="35" spans="1:38">
      <c r="A35" s="280"/>
      <c r="B35" s="233">
        <v>15</v>
      </c>
      <c r="C35" s="234">
        <v>20</v>
      </c>
      <c r="D35" s="233">
        <f t="shared" si="0"/>
        <v>25.590296464132194</v>
      </c>
      <c r="E35" s="233">
        <f>E5</f>
        <v>16.828505075176601</v>
      </c>
      <c r="F35" s="233">
        <f t="shared" ref="F35:F44" si="2">F34+E35</f>
        <v>74.409703535867806</v>
      </c>
      <c r="G35" s="235">
        <f t="shared" si="1"/>
        <v>10</v>
      </c>
      <c r="H35" s="235">
        <f>G34+H34</f>
        <v>442</v>
      </c>
      <c r="I35" s="235">
        <f>SUM(G35:G44)</f>
        <v>18</v>
      </c>
      <c r="J35" s="233">
        <f t="shared" ref="J35:J37" si="3">(1.96*(((1.25*((F35/100)^2))*((1-(F35/100))^2)*((1/H35)+(1/I35)))^0.5))*100</f>
        <v>10.033385477137074</v>
      </c>
      <c r="K35" s="233">
        <f t="shared" ref="K35:K44" si="4">F35-J35</f>
        <v>64.376318058730732</v>
      </c>
      <c r="L35" s="236">
        <f t="shared" ref="L35:L44" si="5">F35+J35</f>
        <v>84.443089013004879</v>
      </c>
      <c r="M35" s="220"/>
      <c r="N35" s="220"/>
      <c r="X35" s="215"/>
      <c r="Y35" s="215"/>
      <c r="Z35" s="217"/>
      <c r="AA35" s="217"/>
      <c r="AB35" s="217"/>
      <c r="AC35" s="217"/>
      <c r="AD35" s="217"/>
      <c r="AE35" s="217"/>
      <c r="AF35" s="217"/>
      <c r="AG35" s="217"/>
      <c r="AH35" s="217"/>
      <c r="AI35" s="217"/>
      <c r="AJ35" s="217"/>
      <c r="AK35" s="217"/>
      <c r="AL35" s="220"/>
    </row>
    <row r="36" spans="1:38">
      <c r="A36" s="280"/>
      <c r="B36" s="233">
        <v>25</v>
      </c>
      <c r="C36" s="234">
        <v>30</v>
      </c>
      <c r="D36" s="233">
        <f t="shared" si="0"/>
        <v>11.303909717078199</v>
      </c>
      <c r="E36" s="233">
        <f>F5</f>
        <v>14.286386747053999</v>
      </c>
      <c r="F36" s="233">
        <f t="shared" si="2"/>
        <v>88.696090282921801</v>
      </c>
      <c r="G36" s="235">
        <f>C17*$C$26</f>
        <v>5</v>
      </c>
      <c r="H36" s="235">
        <f t="shared" ref="H36:H44" si="6">G35+H35</f>
        <v>452</v>
      </c>
      <c r="I36" s="235">
        <f>SUM(G36:G44)</f>
        <v>8</v>
      </c>
      <c r="J36" s="233">
        <f t="shared" si="3"/>
        <v>7.836261849912443</v>
      </c>
      <c r="K36" s="233">
        <f t="shared" si="4"/>
        <v>80.859828433009355</v>
      </c>
      <c r="L36" s="236">
        <f t="shared" si="5"/>
        <v>96.532352132834248</v>
      </c>
      <c r="M36" s="220"/>
      <c r="N36" s="220"/>
      <c r="X36" s="215"/>
      <c r="Y36" s="215"/>
      <c r="Z36" s="217"/>
      <c r="AA36" s="217"/>
      <c r="AB36" s="217"/>
      <c r="AC36" s="217"/>
      <c r="AD36" s="217"/>
      <c r="AE36" s="217"/>
      <c r="AF36" s="217"/>
      <c r="AG36" s="217"/>
      <c r="AH36" s="217"/>
      <c r="AI36" s="217"/>
      <c r="AJ36" s="217"/>
      <c r="AK36" s="217"/>
      <c r="AL36" s="220"/>
    </row>
    <row r="37" spans="1:38">
      <c r="A37" s="280"/>
      <c r="B37" s="233">
        <v>35</v>
      </c>
      <c r="C37" s="234">
        <v>40</v>
      </c>
      <c r="D37" s="233">
        <f t="shared" si="0"/>
        <v>0</v>
      </c>
      <c r="E37" s="233">
        <f>G5</f>
        <v>11.3039097170782</v>
      </c>
      <c r="F37" s="233">
        <f t="shared" si="2"/>
        <v>100</v>
      </c>
      <c r="G37" s="235">
        <f t="shared" si="1"/>
        <v>3</v>
      </c>
      <c r="H37" s="235">
        <f t="shared" si="6"/>
        <v>457</v>
      </c>
      <c r="I37" s="235">
        <f>SUM(G37:G44)</f>
        <v>3</v>
      </c>
      <c r="J37" s="233">
        <f t="shared" si="3"/>
        <v>0</v>
      </c>
      <c r="K37" s="233">
        <f t="shared" si="4"/>
        <v>100</v>
      </c>
      <c r="L37" s="236">
        <f t="shared" si="5"/>
        <v>100</v>
      </c>
      <c r="M37" s="220"/>
      <c r="N37" s="220"/>
      <c r="X37" s="215"/>
      <c r="Y37" s="215"/>
      <c r="Z37" s="217"/>
      <c r="AA37" s="217"/>
      <c r="AB37" s="217"/>
      <c r="AC37" s="217"/>
      <c r="AD37" s="217"/>
      <c r="AE37" s="217"/>
      <c r="AF37" s="217"/>
      <c r="AG37" s="217"/>
      <c r="AH37" s="217"/>
      <c r="AI37" s="217"/>
      <c r="AJ37" s="217"/>
      <c r="AK37" s="217"/>
      <c r="AL37" s="220"/>
    </row>
    <row r="38" spans="1:38">
      <c r="A38" s="280"/>
      <c r="B38" s="233">
        <v>45</v>
      </c>
      <c r="C38" s="234">
        <v>50</v>
      </c>
      <c r="D38" s="233">
        <f t="shared" si="0"/>
        <v>0</v>
      </c>
      <c r="E38" s="233">
        <f>H5</f>
        <v>0</v>
      </c>
      <c r="F38" s="233">
        <f t="shared" si="2"/>
        <v>100</v>
      </c>
      <c r="G38" s="235">
        <f>C19*$C$26</f>
        <v>0</v>
      </c>
      <c r="H38" s="235">
        <f t="shared" si="6"/>
        <v>460</v>
      </c>
      <c r="I38" s="235">
        <f>SUM(G38:G44)</f>
        <v>0</v>
      </c>
      <c r="J38" s="233">
        <v>0</v>
      </c>
      <c r="K38" s="233">
        <f t="shared" si="4"/>
        <v>100</v>
      </c>
      <c r="L38" s="236">
        <f t="shared" si="5"/>
        <v>100</v>
      </c>
      <c r="M38" s="220"/>
      <c r="N38" s="220"/>
      <c r="X38" s="215"/>
      <c r="Y38" s="215"/>
      <c r="Z38" s="217"/>
      <c r="AA38" s="217"/>
      <c r="AB38" s="217"/>
      <c r="AC38" s="217"/>
      <c r="AD38" s="217"/>
      <c r="AE38" s="217"/>
      <c r="AF38" s="217"/>
      <c r="AG38" s="217"/>
      <c r="AH38" s="217"/>
      <c r="AI38" s="217"/>
      <c r="AJ38" s="217"/>
      <c r="AK38" s="217"/>
      <c r="AL38" s="220"/>
    </row>
    <row r="39" spans="1:38">
      <c r="A39" s="280"/>
      <c r="B39" s="233">
        <v>55</v>
      </c>
      <c r="C39" s="234">
        <v>60</v>
      </c>
      <c r="D39" s="233">
        <f t="shared" si="0"/>
        <v>0</v>
      </c>
      <c r="E39" s="233">
        <f>I5</f>
        <v>0</v>
      </c>
      <c r="F39" s="233">
        <f t="shared" si="2"/>
        <v>100</v>
      </c>
      <c r="G39" s="235">
        <f t="shared" si="1"/>
        <v>0</v>
      </c>
      <c r="H39" s="235">
        <f t="shared" si="6"/>
        <v>460</v>
      </c>
      <c r="I39" s="235">
        <f>SUM(G39:G44)</f>
        <v>0</v>
      </c>
      <c r="J39" s="233">
        <v>0</v>
      </c>
      <c r="K39" s="233">
        <f t="shared" si="4"/>
        <v>100</v>
      </c>
      <c r="L39" s="236">
        <f t="shared" si="5"/>
        <v>100</v>
      </c>
      <c r="M39" s="220"/>
      <c r="N39" s="220"/>
    </row>
    <row r="40" spans="1:38">
      <c r="A40" s="280"/>
      <c r="B40" s="233">
        <v>65</v>
      </c>
      <c r="C40" s="234">
        <v>70</v>
      </c>
      <c r="D40" s="233">
        <f t="shared" si="0"/>
        <v>0</v>
      </c>
      <c r="E40" s="233">
        <f>J5</f>
        <v>0</v>
      </c>
      <c r="F40" s="233">
        <f t="shared" si="2"/>
        <v>100</v>
      </c>
      <c r="G40" s="235">
        <f t="shared" si="1"/>
        <v>0</v>
      </c>
      <c r="H40" s="235">
        <f t="shared" si="6"/>
        <v>460</v>
      </c>
      <c r="I40" s="235">
        <f>SUM(G40:G44)</f>
        <v>0</v>
      </c>
      <c r="J40" s="233">
        <v>0</v>
      </c>
      <c r="K40" s="233">
        <f t="shared" si="4"/>
        <v>100</v>
      </c>
      <c r="L40" s="236">
        <f t="shared" si="5"/>
        <v>100</v>
      </c>
      <c r="M40" s="220"/>
      <c r="N40" s="220"/>
      <c r="X40" s="215"/>
      <c r="Y40" s="215"/>
      <c r="Z40" s="215"/>
      <c r="AA40" s="215"/>
      <c r="AB40" s="215"/>
      <c r="AC40" s="215"/>
      <c r="AD40" s="215"/>
      <c r="AE40" s="215"/>
      <c r="AF40" s="215"/>
      <c r="AG40" s="215"/>
      <c r="AH40" s="215"/>
      <c r="AI40" s="215"/>
      <c r="AJ40" s="215"/>
      <c r="AK40" s="215"/>
    </row>
    <row r="41" spans="1:38">
      <c r="A41" s="280"/>
      <c r="B41" s="233">
        <v>75</v>
      </c>
      <c r="C41" s="234">
        <v>80</v>
      </c>
      <c r="D41" s="233">
        <f t="shared" si="0"/>
        <v>0</v>
      </c>
      <c r="E41" s="233">
        <f>K5</f>
        <v>0</v>
      </c>
      <c r="F41" s="233">
        <f t="shared" si="2"/>
        <v>100</v>
      </c>
      <c r="G41" s="235">
        <f t="shared" si="1"/>
        <v>0</v>
      </c>
      <c r="H41" s="235">
        <f t="shared" si="6"/>
        <v>460</v>
      </c>
      <c r="I41" s="235">
        <f>SUM(G41:G44)</f>
        <v>0</v>
      </c>
      <c r="J41" s="233">
        <v>0</v>
      </c>
      <c r="K41" s="233">
        <f t="shared" si="4"/>
        <v>100</v>
      </c>
      <c r="L41" s="236">
        <f t="shared" si="5"/>
        <v>100</v>
      </c>
      <c r="M41" s="220"/>
      <c r="N41" s="220"/>
      <c r="X41" s="215"/>
      <c r="Y41" s="215"/>
      <c r="Z41" s="215"/>
      <c r="AA41" s="215"/>
      <c r="AB41" s="215"/>
      <c r="AC41" s="215"/>
      <c r="AD41" s="215"/>
      <c r="AE41" s="215"/>
      <c r="AF41" s="215"/>
      <c r="AG41" s="215"/>
      <c r="AH41" s="215"/>
      <c r="AI41" s="215"/>
      <c r="AJ41" s="215"/>
      <c r="AK41" s="215"/>
    </row>
    <row r="42" spans="1:38">
      <c r="A42" s="280"/>
      <c r="B42" s="233">
        <v>85</v>
      </c>
      <c r="C42" s="234">
        <v>90</v>
      </c>
      <c r="D42" s="233">
        <f t="shared" si="0"/>
        <v>0</v>
      </c>
      <c r="E42" s="233">
        <f>L5</f>
        <v>0</v>
      </c>
      <c r="F42" s="233">
        <f t="shared" si="2"/>
        <v>100</v>
      </c>
      <c r="G42" s="235">
        <f t="shared" si="1"/>
        <v>0</v>
      </c>
      <c r="H42" s="235">
        <f t="shared" si="6"/>
        <v>460</v>
      </c>
      <c r="I42" s="235">
        <f>SUM(G42:G44)</f>
        <v>0</v>
      </c>
      <c r="J42" s="233">
        <v>0</v>
      </c>
      <c r="K42" s="233">
        <f t="shared" si="4"/>
        <v>100</v>
      </c>
      <c r="L42" s="236">
        <f t="shared" si="5"/>
        <v>100</v>
      </c>
      <c r="M42" s="220"/>
      <c r="N42" s="220"/>
      <c r="X42" s="215"/>
      <c r="Y42" s="215"/>
      <c r="Z42" s="217"/>
      <c r="AA42" s="217"/>
      <c r="AB42" s="217"/>
      <c r="AC42" s="217"/>
      <c r="AD42" s="217"/>
      <c r="AE42" s="217"/>
      <c r="AF42" s="217"/>
      <c r="AG42" s="217"/>
      <c r="AH42" s="217"/>
      <c r="AI42" s="217"/>
      <c r="AJ42" s="217"/>
      <c r="AK42" s="217"/>
    </row>
    <row r="43" spans="1:38">
      <c r="A43" s="280"/>
      <c r="B43" s="233">
        <v>95</v>
      </c>
      <c r="C43" s="234">
        <v>95</v>
      </c>
      <c r="D43" s="233">
        <f t="shared" si="0"/>
        <v>0</v>
      </c>
      <c r="E43" s="233">
        <f>M5</f>
        <v>0</v>
      </c>
      <c r="F43" s="233">
        <f t="shared" si="2"/>
        <v>100</v>
      </c>
      <c r="G43" s="235">
        <f t="shared" si="1"/>
        <v>0</v>
      </c>
      <c r="H43" s="235">
        <f t="shared" si="6"/>
        <v>460</v>
      </c>
      <c r="I43" s="235">
        <f>SUM(G43:G44)</f>
        <v>0</v>
      </c>
      <c r="J43" s="233">
        <v>0</v>
      </c>
      <c r="K43" s="233">
        <f t="shared" si="4"/>
        <v>100</v>
      </c>
      <c r="L43" s="236">
        <f t="shared" si="5"/>
        <v>100</v>
      </c>
      <c r="M43" s="220"/>
      <c r="N43" s="220"/>
      <c r="X43" s="215"/>
      <c r="Y43" s="215"/>
      <c r="Z43" s="217"/>
      <c r="AA43" s="217"/>
      <c r="AB43" s="217"/>
      <c r="AC43" s="217"/>
      <c r="AD43" s="217"/>
      <c r="AE43" s="217"/>
      <c r="AF43" s="217"/>
      <c r="AG43" s="217"/>
      <c r="AH43" s="217"/>
      <c r="AI43" s="217"/>
      <c r="AJ43" s="217"/>
      <c r="AK43" s="217"/>
    </row>
    <row r="44" spans="1:38">
      <c r="A44" s="404"/>
      <c r="B44" s="241">
        <v>100</v>
      </c>
      <c r="C44" s="242">
        <v>100</v>
      </c>
      <c r="D44" s="241">
        <f t="shared" si="0"/>
        <v>0</v>
      </c>
      <c r="E44" s="241">
        <f>N5</f>
        <v>0</v>
      </c>
      <c r="F44" s="241">
        <f t="shared" si="2"/>
        <v>100</v>
      </c>
      <c r="G44" s="243">
        <f t="shared" si="1"/>
        <v>0</v>
      </c>
      <c r="H44" s="243">
        <f t="shared" si="6"/>
        <v>460</v>
      </c>
      <c r="I44" s="243">
        <f>SUM(G44)</f>
        <v>0</v>
      </c>
      <c r="J44" s="241">
        <v>0</v>
      </c>
      <c r="K44" s="241">
        <f t="shared" si="4"/>
        <v>100</v>
      </c>
      <c r="L44" s="244">
        <f t="shared" si="5"/>
        <v>100</v>
      </c>
      <c r="M44" s="220"/>
      <c r="N44" s="220"/>
      <c r="X44" s="215"/>
      <c r="Y44" s="215"/>
      <c r="Z44" s="217"/>
      <c r="AA44" s="217"/>
      <c r="AB44" s="217"/>
      <c r="AC44" s="217"/>
      <c r="AD44" s="217"/>
      <c r="AE44" s="217"/>
      <c r="AF44" s="217"/>
      <c r="AG44" s="217"/>
      <c r="AH44" s="217"/>
      <c r="AI44" s="217"/>
      <c r="AJ44" s="217"/>
      <c r="AK44" s="217"/>
    </row>
    <row r="45" spans="1:38">
      <c r="A45" s="403" t="s">
        <v>7</v>
      </c>
      <c r="B45" s="245">
        <v>0</v>
      </c>
      <c r="C45" s="246">
        <v>0</v>
      </c>
      <c r="D45" s="245">
        <f>100-F45</f>
        <v>100</v>
      </c>
      <c r="E45" s="245">
        <f>C6</f>
        <v>0</v>
      </c>
      <c r="F45" s="245">
        <f>E45</f>
        <v>0</v>
      </c>
      <c r="G45" s="247">
        <f>E14</f>
        <v>222</v>
      </c>
      <c r="H45" s="247"/>
      <c r="I45" s="247"/>
      <c r="J45" s="245"/>
      <c r="K45" s="245">
        <v>0</v>
      </c>
      <c r="L45" s="248">
        <v>0</v>
      </c>
      <c r="M45" s="220"/>
      <c r="N45" s="220"/>
      <c r="X45" s="215"/>
      <c r="Y45" s="215"/>
      <c r="Z45" s="217"/>
      <c r="AA45" s="217"/>
      <c r="AB45" s="217"/>
      <c r="AC45" s="217"/>
      <c r="AD45" s="217"/>
      <c r="AE45" s="217"/>
      <c r="AF45" s="217"/>
      <c r="AG45" s="217"/>
      <c r="AH45" s="217"/>
      <c r="AI45" s="217"/>
      <c r="AJ45" s="217"/>
      <c r="AK45" s="217"/>
    </row>
    <row r="46" spans="1:38" ht="15" customHeight="1">
      <c r="A46" s="280"/>
      <c r="B46" s="233">
        <v>5</v>
      </c>
      <c r="C46" s="234">
        <v>10</v>
      </c>
      <c r="D46" s="233">
        <f t="shared" ref="D46:D56" si="7">100-F46</f>
        <v>78.474943631347998</v>
      </c>
      <c r="E46" s="233">
        <f>D6</f>
        <v>21.525056368651999</v>
      </c>
      <c r="F46" s="233">
        <f>F45+E46</f>
        <v>21.525056368651999</v>
      </c>
      <c r="G46" s="235">
        <f t="shared" ref="G46:G56" si="8">E15*$E$26</f>
        <v>751</v>
      </c>
      <c r="H46" s="235">
        <f>G45</f>
        <v>222</v>
      </c>
      <c r="I46" s="235">
        <f>SUM(G46:G56)</f>
        <v>871</v>
      </c>
      <c r="J46" s="233">
        <f>(1.96*(((1.25*((F46/100)^2))*((1-(F46/100))^2)*((1/H46)+(1/I46)))^0.5))*100</f>
        <v>2.7829852461973688</v>
      </c>
      <c r="K46" s="233">
        <f>F46-J46</f>
        <v>18.742071122454629</v>
      </c>
      <c r="L46" s="236">
        <f>F46+J46</f>
        <v>24.308041614849369</v>
      </c>
      <c r="M46" s="220"/>
      <c r="N46" s="220"/>
      <c r="X46" s="215"/>
      <c r="Y46" s="215"/>
      <c r="Z46" s="217"/>
      <c r="AA46" s="217"/>
      <c r="AB46" s="217"/>
      <c r="AC46" s="217"/>
      <c r="AD46" s="217"/>
      <c r="AE46" s="217"/>
      <c r="AF46" s="217"/>
      <c r="AG46" s="217"/>
      <c r="AH46" s="217"/>
      <c r="AI46" s="217"/>
      <c r="AJ46" s="217"/>
      <c r="AK46" s="217"/>
    </row>
    <row r="47" spans="1:38">
      <c r="A47" s="280"/>
      <c r="B47" s="233">
        <v>15</v>
      </c>
      <c r="C47" s="234">
        <v>20</v>
      </c>
      <c r="D47" s="233">
        <f t="shared" si="7"/>
        <v>68.719236693069092</v>
      </c>
      <c r="E47" s="233">
        <f>E6</f>
        <v>9.7557069382789106</v>
      </c>
      <c r="F47" s="233">
        <f t="shared" ref="F47:F56" si="9">F46+E47</f>
        <v>31.280763306930908</v>
      </c>
      <c r="G47" s="235">
        <f t="shared" si="8"/>
        <v>34</v>
      </c>
      <c r="H47" s="235">
        <f>G46+H46</f>
        <v>973</v>
      </c>
      <c r="I47" s="235">
        <f>SUM(G47:G56)</f>
        <v>120</v>
      </c>
      <c r="J47" s="233">
        <f t="shared" ref="J47:J54" si="10">(1.96*(((1.25*((F47/100)^2))*((1-(F47/100))^2)*((1/H47)+(1/I47)))^0.5))*100</f>
        <v>4.5575326083045367</v>
      </c>
      <c r="K47" s="233">
        <f t="shared" ref="K47:K56" si="11">F47-J47</f>
        <v>26.72323069862637</v>
      </c>
      <c r="L47" s="236">
        <f t="shared" ref="L47:L56" si="12">F47+J47</f>
        <v>35.838295915235442</v>
      </c>
      <c r="M47" s="220"/>
      <c r="N47" s="220"/>
      <c r="X47" s="215"/>
      <c r="Y47" s="215"/>
      <c r="Z47" s="217"/>
      <c r="AA47" s="217"/>
      <c r="AB47" s="217"/>
      <c r="AC47" s="217"/>
      <c r="AD47" s="217"/>
      <c r="AE47" s="217"/>
      <c r="AF47" s="217"/>
      <c r="AG47" s="217"/>
      <c r="AH47" s="217"/>
      <c r="AI47" s="217"/>
      <c r="AJ47" s="217"/>
      <c r="AK47" s="217"/>
    </row>
    <row r="48" spans="1:38">
      <c r="A48" s="280"/>
      <c r="B48" s="233">
        <v>25</v>
      </c>
      <c r="C48" s="234">
        <v>30</v>
      </c>
      <c r="D48" s="233">
        <f t="shared" si="7"/>
        <v>55.787381923794193</v>
      </c>
      <c r="E48" s="233">
        <f>F6</f>
        <v>12.931854769274899</v>
      </c>
      <c r="F48" s="233">
        <f t="shared" si="9"/>
        <v>44.212618076205807</v>
      </c>
      <c r="G48" s="235">
        <f t="shared" si="8"/>
        <v>24</v>
      </c>
      <c r="H48" s="235">
        <f t="shared" ref="H48:H56" si="13">G47+H47</f>
        <v>1007</v>
      </c>
      <c r="I48" s="235">
        <f>SUM(G48:G56)</f>
        <v>86</v>
      </c>
      <c r="J48" s="233">
        <f t="shared" si="10"/>
        <v>6.0721069350456567</v>
      </c>
      <c r="K48" s="233">
        <f t="shared" si="11"/>
        <v>38.140511141160147</v>
      </c>
      <c r="L48" s="236">
        <f t="shared" si="12"/>
        <v>50.284725011251467</v>
      </c>
      <c r="M48" s="220"/>
      <c r="N48" s="220"/>
      <c r="X48" s="215"/>
      <c r="Y48" s="215"/>
      <c r="Z48" s="217"/>
      <c r="AA48" s="217"/>
      <c r="AB48" s="217"/>
      <c r="AC48" s="217"/>
      <c r="AD48" s="217"/>
      <c r="AE48" s="217"/>
      <c r="AF48" s="217"/>
      <c r="AG48" s="217"/>
      <c r="AH48" s="217"/>
      <c r="AI48" s="217"/>
      <c r="AJ48" s="217"/>
      <c r="AK48" s="217"/>
    </row>
    <row r="49" spans="1:14">
      <c r="A49" s="280"/>
      <c r="B49" s="233">
        <v>35</v>
      </c>
      <c r="C49" s="234">
        <v>40</v>
      </c>
      <c r="D49" s="233">
        <f t="shared" si="7"/>
        <v>37.129035323885091</v>
      </c>
      <c r="E49" s="233">
        <f>G6</f>
        <v>18.658346599909098</v>
      </c>
      <c r="F49" s="233">
        <f t="shared" si="9"/>
        <v>62.870964676114909</v>
      </c>
      <c r="G49" s="235">
        <f t="shared" si="8"/>
        <v>25</v>
      </c>
      <c r="H49" s="235">
        <f t="shared" si="13"/>
        <v>1031</v>
      </c>
      <c r="I49" s="235">
        <f>SUM(G49:G56)</f>
        <v>62</v>
      </c>
      <c r="J49" s="233">
        <f t="shared" si="10"/>
        <v>6.6889780561020755</v>
      </c>
      <c r="K49" s="233">
        <f t="shared" si="11"/>
        <v>56.181986620012836</v>
      </c>
      <c r="L49" s="236">
        <f t="shared" si="12"/>
        <v>69.559942732216982</v>
      </c>
      <c r="M49" s="220"/>
      <c r="N49" s="220"/>
    </row>
    <row r="50" spans="1:14">
      <c r="A50" s="280"/>
      <c r="B50" s="233">
        <v>45</v>
      </c>
      <c r="C50" s="234">
        <v>50</v>
      </c>
      <c r="D50" s="233">
        <f t="shared" si="7"/>
        <v>17.702662022981187</v>
      </c>
      <c r="E50" s="233">
        <f>H6</f>
        <v>19.426373300903901</v>
      </c>
      <c r="F50" s="233">
        <f t="shared" si="9"/>
        <v>82.297337977018813</v>
      </c>
      <c r="G50" s="235">
        <f t="shared" si="8"/>
        <v>23</v>
      </c>
      <c r="H50" s="235">
        <f t="shared" si="13"/>
        <v>1056</v>
      </c>
      <c r="I50" s="235">
        <f>SUM(G50:G56)</f>
        <v>37</v>
      </c>
      <c r="J50" s="233">
        <f t="shared" si="10"/>
        <v>5.3396489194856063</v>
      </c>
      <c r="K50" s="233">
        <f t="shared" si="11"/>
        <v>76.957689057533202</v>
      </c>
      <c r="L50" s="236">
        <f t="shared" si="12"/>
        <v>87.636986896504425</v>
      </c>
      <c r="M50" s="220"/>
      <c r="N50" s="220"/>
    </row>
    <row r="51" spans="1:14">
      <c r="A51" s="280"/>
      <c r="B51" s="233">
        <v>55</v>
      </c>
      <c r="C51" s="234">
        <v>60</v>
      </c>
      <c r="D51" s="233">
        <f t="shared" si="7"/>
        <v>9.8301957219791518</v>
      </c>
      <c r="E51" s="233">
        <f>I6</f>
        <v>7.8724663010020297</v>
      </c>
      <c r="F51" s="233">
        <f t="shared" si="9"/>
        <v>90.169804278020848</v>
      </c>
      <c r="G51" s="235">
        <f t="shared" si="8"/>
        <v>6</v>
      </c>
      <c r="H51" s="235">
        <f t="shared" si="13"/>
        <v>1079</v>
      </c>
      <c r="I51" s="235">
        <f>SUM(G51:G56)</f>
        <v>14</v>
      </c>
      <c r="J51" s="233">
        <f t="shared" si="10"/>
        <v>5.2248004781623854</v>
      </c>
      <c r="K51" s="233">
        <f t="shared" si="11"/>
        <v>84.945003799858469</v>
      </c>
      <c r="L51" s="236">
        <f t="shared" si="12"/>
        <v>95.394604756183227</v>
      </c>
      <c r="M51" s="220"/>
      <c r="N51" s="220"/>
    </row>
    <row r="52" spans="1:14">
      <c r="A52" s="280"/>
      <c r="B52" s="233">
        <v>65</v>
      </c>
      <c r="C52" s="234">
        <v>70</v>
      </c>
      <c r="D52" s="233">
        <f t="shared" si="7"/>
        <v>5.2656396808049379</v>
      </c>
      <c r="E52" s="233">
        <f>J6</f>
        <v>4.5645560411742103</v>
      </c>
      <c r="F52" s="233">
        <f t="shared" si="9"/>
        <v>94.734360319195062</v>
      </c>
      <c r="G52" s="235">
        <f t="shared" si="8"/>
        <v>3</v>
      </c>
      <c r="H52" s="235">
        <f t="shared" si="13"/>
        <v>1085</v>
      </c>
      <c r="I52" s="235">
        <f>SUM(G52:G56)</f>
        <v>8</v>
      </c>
      <c r="J52" s="233">
        <f t="shared" si="10"/>
        <v>3.8790016194575623</v>
      </c>
      <c r="K52" s="233">
        <f t="shared" si="11"/>
        <v>90.855358699737494</v>
      </c>
      <c r="L52" s="236">
        <f t="shared" si="12"/>
        <v>98.613361938652631</v>
      </c>
      <c r="M52" s="220"/>
      <c r="N52" s="220"/>
    </row>
    <row r="53" spans="1:14">
      <c r="A53" s="280"/>
      <c r="B53" s="233">
        <v>75</v>
      </c>
      <c r="C53" s="234">
        <v>80</v>
      </c>
      <c r="D53" s="233">
        <f t="shared" si="7"/>
        <v>2.7464287986942821</v>
      </c>
      <c r="E53" s="233">
        <f>K6</f>
        <v>2.5192108821106598</v>
      </c>
      <c r="F53" s="233">
        <f t="shared" si="9"/>
        <v>97.253571201305718</v>
      </c>
      <c r="G53" s="235">
        <f t="shared" si="8"/>
        <v>3</v>
      </c>
      <c r="H53" s="235">
        <f t="shared" si="13"/>
        <v>1088</v>
      </c>
      <c r="I53" s="235">
        <f>SUM(G53:G56)</f>
        <v>5</v>
      </c>
      <c r="J53" s="233">
        <f t="shared" si="10"/>
        <v>2.6235878512170707</v>
      </c>
      <c r="K53" s="233">
        <f t="shared" si="11"/>
        <v>94.629983350088651</v>
      </c>
      <c r="L53" s="236">
        <f t="shared" si="12"/>
        <v>99.877159052522785</v>
      </c>
      <c r="M53" s="220"/>
      <c r="N53" s="220"/>
    </row>
    <row r="54" spans="1:14">
      <c r="A54" s="280"/>
      <c r="B54" s="233">
        <v>85</v>
      </c>
      <c r="C54" s="234">
        <v>90</v>
      </c>
      <c r="D54" s="233">
        <f t="shared" si="7"/>
        <v>-1.7053025658242404E-13</v>
      </c>
      <c r="E54" s="233">
        <f>L6</f>
        <v>2.74642879869445</v>
      </c>
      <c r="F54" s="233">
        <f t="shared" si="9"/>
        <v>100.00000000000017</v>
      </c>
      <c r="G54" s="235">
        <f t="shared" si="8"/>
        <v>2</v>
      </c>
      <c r="H54" s="235">
        <f t="shared" si="13"/>
        <v>1091</v>
      </c>
      <c r="I54" s="235">
        <f>SUM(G54:G56)</f>
        <v>2</v>
      </c>
      <c r="J54" s="233">
        <f t="shared" si="10"/>
        <v>2.7550151929295891E-13</v>
      </c>
      <c r="K54" s="233">
        <f t="shared" si="11"/>
        <v>99.999999999999901</v>
      </c>
      <c r="L54" s="236">
        <f t="shared" si="12"/>
        <v>100.00000000000044</v>
      </c>
      <c r="M54" s="220"/>
      <c r="N54" s="220"/>
    </row>
    <row r="55" spans="1:14">
      <c r="A55" s="280"/>
      <c r="B55" s="233">
        <v>95</v>
      </c>
      <c r="C55" s="234">
        <v>95</v>
      </c>
      <c r="D55" s="233">
        <f t="shared" si="7"/>
        <v>-1.7053025658242404E-13</v>
      </c>
      <c r="E55" s="233">
        <f>M6</f>
        <v>0</v>
      </c>
      <c r="F55" s="233">
        <f t="shared" si="9"/>
        <v>100.00000000000017</v>
      </c>
      <c r="G55" s="235">
        <f t="shared" si="8"/>
        <v>0</v>
      </c>
      <c r="H55" s="235">
        <f t="shared" si="13"/>
        <v>1093</v>
      </c>
      <c r="I55" s="235">
        <f>SUM(G55:G56)</f>
        <v>0</v>
      </c>
      <c r="J55" s="233">
        <v>0</v>
      </c>
      <c r="K55" s="233">
        <f t="shared" si="11"/>
        <v>100.00000000000017</v>
      </c>
      <c r="L55" s="236">
        <f t="shared" si="12"/>
        <v>100.00000000000017</v>
      </c>
      <c r="M55" s="220"/>
      <c r="N55" s="220"/>
    </row>
    <row r="56" spans="1:14">
      <c r="A56" s="404"/>
      <c r="B56" s="241">
        <v>100</v>
      </c>
      <c r="C56" s="242">
        <v>100</v>
      </c>
      <c r="D56" s="241">
        <f t="shared" si="7"/>
        <v>-1.7053025658242404E-13</v>
      </c>
      <c r="E56" s="241">
        <f>N6</f>
        <v>0</v>
      </c>
      <c r="F56" s="241">
        <f t="shared" si="9"/>
        <v>100.00000000000017</v>
      </c>
      <c r="G56" s="243">
        <f t="shared" si="8"/>
        <v>0</v>
      </c>
      <c r="H56" s="243">
        <f t="shared" si="13"/>
        <v>1093</v>
      </c>
      <c r="I56" s="243">
        <f>SUM(G56)</f>
        <v>0</v>
      </c>
      <c r="J56" s="241">
        <v>0</v>
      </c>
      <c r="K56" s="241">
        <f t="shared" si="11"/>
        <v>100.00000000000017</v>
      </c>
      <c r="L56" s="244">
        <f t="shared" si="12"/>
        <v>100.00000000000017</v>
      </c>
      <c r="M56" s="220"/>
      <c r="N56" s="220"/>
    </row>
    <row r="57" spans="1:14">
      <c r="A57" s="403" t="s">
        <v>6</v>
      </c>
      <c r="B57" s="245">
        <v>0</v>
      </c>
      <c r="C57" s="246">
        <v>0</v>
      </c>
      <c r="D57" s="245">
        <v>100</v>
      </c>
      <c r="E57" s="245">
        <f>C7</f>
        <v>0</v>
      </c>
      <c r="F57" s="245">
        <f>E57</f>
        <v>0</v>
      </c>
      <c r="G57" s="247">
        <f>G14</f>
        <v>778</v>
      </c>
      <c r="H57" s="247"/>
      <c r="I57" s="247"/>
      <c r="J57" s="245"/>
      <c r="K57" s="245">
        <v>0</v>
      </c>
      <c r="L57" s="248">
        <v>0</v>
      </c>
      <c r="M57" s="220"/>
      <c r="N57" s="220"/>
    </row>
    <row r="58" spans="1:14">
      <c r="A58" s="280"/>
      <c r="B58" s="233">
        <v>5</v>
      </c>
      <c r="C58" s="234">
        <v>10</v>
      </c>
      <c r="D58" s="233">
        <f t="shared" ref="D58:D66" si="14">100-F58</f>
        <v>65.983338583019403</v>
      </c>
      <c r="E58" s="233">
        <f>D7</f>
        <v>34.016661416980597</v>
      </c>
      <c r="F58" s="233">
        <f>F57+E58</f>
        <v>34.016661416980597</v>
      </c>
      <c r="G58" s="235">
        <f t="shared" ref="G58:G68" si="15">G15*$G$26</f>
        <v>572</v>
      </c>
      <c r="H58" s="235">
        <f>G57</f>
        <v>778</v>
      </c>
      <c r="I58" s="235">
        <f>SUM(G58:G68)</f>
        <v>654</v>
      </c>
      <c r="J58" s="233">
        <f>(1.96*(((1.25*((F58/100)^2))*((1-(F58/100))^2)*((1/H58)+(1/I58)))^0.5))*100</f>
        <v>2.6093352869259796</v>
      </c>
      <c r="K58" s="233">
        <f>F58-J58</f>
        <v>31.407326130054617</v>
      </c>
      <c r="L58" s="236">
        <f>F58+J58</f>
        <v>36.62599670390658</v>
      </c>
      <c r="M58" s="220"/>
      <c r="N58" s="220"/>
    </row>
    <row r="59" spans="1:14">
      <c r="A59" s="280"/>
      <c r="B59" s="233">
        <v>15</v>
      </c>
      <c r="C59" s="234">
        <v>20</v>
      </c>
      <c r="D59" s="233">
        <f t="shared" si="14"/>
        <v>48.558336682271104</v>
      </c>
      <c r="E59" s="233">
        <f>E7</f>
        <v>17.425001900748299</v>
      </c>
      <c r="F59" s="233">
        <f t="shared" ref="F59:F68" si="16">F58+E59</f>
        <v>51.441663317728896</v>
      </c>
      <c r="G59" s="235">
        <f t="shared" si="15"/>
        <v>37</v>
      </c>
      <c r="H59" s="235">
        <f>G58+H58</f>
        <v>1350</v>
      </c>
      <c r="I59" s="235">
        <f>SUM(G59:G68)</f>
        <v>82</v>
      </c>
      <c r="J59" s="233">
        <f t="shared" ref="J59:J65" si="17">(1.96*(((1.25*((F59/100)^2))*((1-(F59/100))^2)*((1/H59)+(1/I59)))^0.5))*100</f>
        <v>6.2256912798793929</v>
      </c>
      <c r="K59" s="233">
        <f t="shared" ref="K59:K68" si="18">F59-J59</f>
        <v>45.215972037849504</v>
      </c>
      <c r="L59" s="236">
        <f t="shared" ref="L59:L68" si="19">F59+J59</f>
        <v>57.667354597608288</v>
      </c>
      <c r="M59" s="220"/>
      <c r="N59" s="220"/>
    </row>
    <row r="60" spans="1:14" ht="15" customHeight="1">
      <c r="A60" s="280"/>
      <c r="B60" s="233">
        <v>25</v>
      </c>
      <c r="C60" s="234">
        <v>30</v>
      </c>
      <c r="D60" s="233">
        <f t="shared" si="14"/>
        <v>34.843454365747604</v>
      </c>
      <c r="E60" s="233">
        <f>F7</f>
        <v>13.7148823165235</v>
      </c>
      <c r="F60" s="233">
        <f t="shared" si="16"/>
        <v>65.156545634252396</v>
      </c>
      <c r="G60" s="235">
        <f t="shared" si="15"/>
        <v>18</v>
      </c>
      <c r="H60" s="235">
        <f>G59+H59</f>
        <v>1387</v>
      </c>
      <c r="I60" s="235">
        <f>SUM(G60:G68)</f>
        <v>45</v>
      </c>
      <c r="J60" s="233">
        <f t="shared" si="17"/>
        <v>7.5355916320467742</v>
      </c>
      <c r="K60" s="233">
        <f t="shared" si="18"/>
        <v>57.620954002205622</v>
      </c>
      <c r="L60" s="236">
        <f t="shared" si="19"/>
        <v>72.69213726629917</v>
      </c>
      <c r="M60" s="220"/>
      <c r="N60" s="220"/>
    </row>
    <row r="61" spans="1:14">
      <c r="A61" s="280"/>
      <c r="B61" s="233">
        <v>35</v>
      </c>
      <c r="C61" s="234">
        <v>40</v>
      </c>
      <c r="D61" s="233">
        <f t="shared" si="14"/>
        <v>26.199598489538829</v>
      </c>
      <c r="E61" s="233">
        <f>G7</f>
        <v>8.6438558762087805</v>
      </c>
      <c r="F61" s="233">
        <f t="shared" si="16"/>
        <v>73.800401510461171</v>
      </c>
      <c r="G61" s="235">
        <f t="shared" si="15"/>
        <v>8</v>
      </c>
      <c r="H61" s="235">
        <f t="shared" ref="H61:H68" si="20">G60+H60</f>
        <v>1405</v>
      </c>
      <c r="I61" s="235">
        <f>SUM(G61:G68)</f>
        <v>27</v>
      </c>
      <c r="J61" s="233">
        <f t="shared" si="17"/>
        <v>8.2321998110892327</v>
      </c>
      <c r="K61" s="233">
        <f t="shared" si="18"/>
        <v>65.56820169937194</v>
      </c>
      <c r="L61" s="236">
        <f t="shared" si="19"/>
        <v>82.032601321550402</v>
      </c>
      <c r="M61" s="220"/>
      <c r="N61" s="220"/>
    </row>
    <row r="62" spans="1:14">
      <c r="A62" s="280"/>
      <c r="B62" s="233">
        <v>45</v>
      </c>
      <c r="C62" s="234">
        <v>50</v>
      </c>
      <c r="D62" s="233">
        <f t="shared" si="14"/>
        <v>14.298006567538323</v>
      </c>
      <c r="E62" s="233">
        <f>H7</f>
        <v>11.901591922000501</v>
      </c>
      <c r="F62" s="233">
        <f t="shared" si="16"/>
        <v>85.701993432461677</v>
      </c>
      <c r="G62" s="235">
        <f t="shared" si="15"/>
        <v>8</v>
      </c>
      <c r="H62" s="235">
        <f t="shared" si="20"/>
        <v>1413</v>
      </c>
      <c r="I62" s="235">
        <f>SUM(G62:G68)</f>
        <v>19</v>
      </c>
      <c r="J62" s="233">
        <f t="shared" si="17"/>
        <v>6.2015624498674526</v>
      </c>
      <c r="K62" s="233">
        <f t="shared" si="18"/>
        <v>79.500430982594224</v>
      </c>
      <c r="L62" s="236">
        <f t="shared" si="19"/>
        <v>91.90355588232913</v>
      </c>
      <c r="M62" s="220"/>
      <c r="N62" s="220"/>
    </row>
    <row r="63" spans="1:14">
      <c r="A63" s="280"/>
      <c r="B63" s="233">
        <v>55</v>
      </c>
      <c r="C63" s="234">
        <v>60</v>
      </c>
      <c r="D63" s="233">
        <f t="shared" si="14"/>
        <v>7.1547118646524552</v>
      </c>
      <c r="E63" s="233">
        <f>I7</f>
        <v>7.1432947028858704</v>
      </c>
      <c r="F63" s="233">
        <f t="shared" si="16"/>
        <v>92.845288135347545</v>
      </c>
      <c r="G63" s="235">
        <f t="shared" si="15"/>
        <v>6</v>
      </c>
      <c r="H63" s="235">
        <f t="shared" si="20"/>
        <v>1421</v>
      </c>
      <c r="I63" s="235">
        <f>SUM(G63:G68)</f>
        <v>11</v>
      </c>
      <c r="J63" s="233">
        <f t="shared" si="17"/>
        <v>4.405966818548559</v>
      </c>
      <c r="K63" s="233">
        <f t="shared" si="18"/>
        <v>88.439321316798981</v>
      </c>
      <c r="L63" s="236">
        <f t="shared" si="19"/>
        <v>97.251254953896108</v>
      </c>
      <c r="M63" s="220"/>
      <c r="N63" s="220"/>
    </row>
    <row r="64" spans="1:14">
      <c r="A64" s="280"/>
      <c r="B64" s="233">
        <v>65</v>
      </c>
      <c r="C64" s="234">
        <v>70</v>
      </c>
      <c r="D64" s="233">
        <f t="shared" si="14"/>
        <v>5.8514501804808106</v>
      </c>
      <c r="E64" s="233">
        <f>J7</f>
        <v>1.30326168417165</v>
      </c>
      <c r="F64" s="233">
        <f t="shared" si="16"/>
        <v>94.148549819519189</v>
      </c>
      <c r="G64" s="235">
        <f t="shared" si="15"/>
        <v>1</v>
      </c>
      <c r="H64" s="235">
        <f t="shared" si="20"/>
        <v>1427</v>
      </c>
      <c r="I64" s="235">
        <f>SUM(G64:G68)</f>
        <v>5</v>
      </c>
      <c r="J64" s="233">
        <f t="shared" si="17"/>
        <v>5.4083245422475432</v>
      </c>
      <c r="K64" s="233">
        <f t="shared" si="18"/>
        <v>88.740225277271648</v>
      </c>
      <c r="L64" s="236">
        <f t="shared" si="19"/>
        <v>99.556874361766731</v>
      </c>
      <c r="M64" s="220"/>
      <c r="N64" s="220"/>
    </row>
    <row r="65" spans="1:14">
      <c r="A65" s="280"/>
      <c r="B65" s="233">
        <v>75</v>
      </c>
      <c r="C65" s="234">
        <v>80</v>
      </c>
      <c r="D65" s="233">
        <f t="shared" si="14"/>
        <v>4.3492181588448631</v>
      </c>
      <c r="E65" s="233">
        <f>K7</f>
        <v>1.5022320216359499</v>
      </c>
      <c r="F65" s="233">
        <f t="shared" si="16"/>
        <v>95.650781841155137</v>
      </c>
      <c r="G65" s="235">
        <f t="shared" si="15"/>
        <v>2</v>
      </c>
      <c r="H65" s="235">
        <f t="shared" si="20"/>
        <v>1428</v>
      </c>
      <c r="I65" s="235">
        <f>SUM(G65:G68)</f>
        <v>4</v>
      </c>
      <c r="J65" s="233">
        <f t="shared" si="17"/>
        <v>4.5644473753577763</v>
      </c>
      <c r="K65" s="233">
        <f t="shared" si="18"/>
        <v>91.086334465797364</v>
      </c>
      <c r="L65" s="236">
        <f t="shared" si="19"/>
        <v>100.21522921651291</v>
      </c>
      <c r="M65" s="220"/>
      <c r="N65" s="220"/>
    </row>
    <row r="66" spans="1:14">
      <c r="A66" s="280"/>
      <c r="B66" s="233">
        <v>85</v>
      </c>
      <c r="C66" s="234">
        <v>90</v>
      </c>
      <c r="D66" s="233">
        <f t="shared" si="14"/>
        <v>2.2737367544323206E-13</v>
      </c>
      <c r="E66" s="233">
        <f>L7</f>
        <v>4.3492181588446304</v>
      </c>
      <c r="F66" s="233">
        <f t="shared" si="16"/>
        <v>99.999999999999773</v>
      </c>
      <c r="G66" s="235">
        <f t="shared" si="15"/>
        <v>2</v>
      </c>
      <c r="H66" s="235">
        <f t="shared" si="20"/>
        <v>1430</v>
      </c>
      <c r="I66" s="235">
        <f>SUM(G66:G68)</f>
        <v>2</v>
      </c>
      <c r="J66" s="233">
        <v>1.7237524639101637E-14</v>
      </c>
      <c r="K66" s="233">
        <f t="shared" si="18"/>
        <v>99.999999999999758</v>
      </c>
      <c r="L66" s="236">
        <f t="shared" si="19"/>
        <v>99.999999999999787</v>
      </c>
      <c r="M66" s="220"/>
      <c r="N66" s="220"/>
    </row>
    <row r="67" spans="1:14">
      <c r="A67" s="280"/>
      <c r="B67" s="233">
        <v>95</v>
      </c>
      <c r="C67" s="234">
        <v>95</v>
      </c>
      <c r="D67" s="233">
        <v>0</v>
      </c>
      <c r="E67" s="233">
        <f>M7</f>
        <v>0</v>
      </c>
      <c r="F67" s="233">
        <f t="shared" si="16"/>
        <v>99.999999999999773</v>
      </c>
      <c r="G67" s="235">
        <f t="shared" si="15"/>
        <v>0</v>
      </c>
      <c r="H67" s="235">
        <f t="shared" si="20"/>
        <v>1432</v>
      </c>
      <c r="I67" s="235">
        <f>SUM(G67:G68)</f>
        <v>0</v>
      </c>
      <c r="J67" s="233">
        <v>1.7237524639101637E-14</v>
      </c>
      <c r="K67" s="233">
        <f t="shared" si="18"/>
        <v>99.999999999999758</v>
      </c>
      <c r="L67" s="236">
        <f t="shared" si="19"/>
        <v>99.999999999999787</v>
      </c>
      <c r="M67" s="220"/>
      <c r="N67" s="220"/>
    </row>
    <row r="68" spans="1:14">
      <c r="A68" s="404"/>
      <c r="B68" s="241">
        <v>100</v>
      </c>
      <c r="C68" s="242">
        <v>100</v>
      </c>
      <c r="D68" s="241">
        <v>0</v>
      </c>
      <c r="E68" s="241">
        <f>N7</f>
        <v>0</v>
      </c>
      <c r="F68" s="241">
        <f t="shared" si="16"/>
        <v>99.999999999999773</v>
      </c>
      <c r="G68" s="243">
        <f t="shared" si="15"/>
        <v>0</v>
      </c>
      <c r="H68" s="243">
        <f t="shared" si="20"/>
        <v>1432</v>
      </c>
      <c r="I68" s="243">
        <f>SUM(G68)</f>
        <v>0</v>
      </c>
      <c r="J68" s="241">
        <v>1.7237524639101637E-14</v>
      </c>
      <c r="K68" s="241">
        <f t="shared" si="18"/>
        <v>99.999999999999758</v>
      </c>
      <c r="L68" s="244">
        <f t="shared" si="19"/>
        <v>99.999999999999787</v>
      </c>
      <c r="M68" s="220"/>
      <c r="N68" s="220"/>
    </row>
    <row r="69" spans="1:14">
      <c r="A69" s="403" t="s">
        <v>5</v>
      </c>
      <c r="B69" s="245">
        <v>0</v>
      </c>
      <c r="C69" s="246">
        <v>0</v>
      </c>
      <c r="D69" s="245">
        <v>100</v>
      </c>
      <c r="E69" s="245">
        <f>C8</f>
        <v>0</v>
      </c>
      <c r="F69" s="245">
        <f>E69</f>
        <v>0</v>
      </c>
      <c r="G69" s="247">
        <f>I14</f>
        <v>2478</v>
      </c>
      <c r="H69" s="247"/>
      <c r="I69" s="247"/>
      <c r="J69" s="245"/>
      <c r="K69" s="245">
        <v>0</v>
      </c>
      <c r="L69" s="248">
        <v>0</v>
      </c>
      <c r="M69" s="220"/>
      <c r="N69" s="220"/>
    </row>
    <row r="70" spans="1:14">
      <c r="A70" s="280"/>
      <c r="B70" s="233">
        <v>5</v>
      </c>
      <c r="C70" s="234">
        <v>10</v>
      </c>
      <c r="D70" s="233">
        <f t="shared" ref="D70:D80" si="21">100-F70</f>
        <v>70.159764673725803</v>
      </c>
      <c r="E70" s="233">
        <f>D8</f>
        <v>29.8402353262742</v>
      </c>
      <c r="F70" s="233">
        <f>F69+E70</f>
        <v>29.8402353262742</v>
      </c>
      <c r="G70" s="235">
        <f t="shared" ref="G70:G80" si="22">I15*$I$26</f>
        <v>1241.5808080808079</v>
      </c>
      <c r="H70" s="235">
        <f>G69</f>
        <v>2478</v>
      </c>
      <c r="I70" s="235">
        <f>SUM(G70:G80)</f>
        <v>1420.9999999999995</v>
      </c>
      <c r="J70" s="233">
        <f>(1.96*(((1.25*((F70/100)^2))*((1-(F70/100))^2)*((1/H70)+(1/I70)))^0.5))*100</f>
        <v>1.5266179794421262</v>
      </c>
      <c r="K70" s="233">
        <f>F70-J70</f>
        <v>28.313617346832075</v>
      </c>
      <c r="L70" s="236">
        <f>F70+J70</f>
        <v>31.366853305716326</v>
      </c>
      <c r="M70" s="220"/>
      <c r="N70" s="220"/>
    </row>
    <row r="71" spans="1:14">
      <c r="A71" s="280"/>
      <c r="B71" s="233">
        <v>15</v>
      </c>
      <c r="C71" s="234">
        <v>20</v>
      </c>
      <c r="D71" s="233">
        <f t="shared" si="21"/>
        <v>56.427510160651501</v>
      </c>
      <c r="E71" s="233">
        <f>E8</f>
        <v>13.732254513074301</v>
      </c>
      <c r="F71" s="233">
        <f t="shared" ref="F71:F80" si="23">F70+E71</f>
        <v>43.572489839348499</v>
      </c>
      <c r="G71" s="235">
        <f t="shared" si="22"/>
        <v>78.944444444444429</v>
      </c>
      <c r="H71" s="235">
        <f>G70+H70</f>
        <v>3719.5808080808079</v>
      </c>
      <c r="I71" s="235">
        <f>SUM(G71:G80)</f>
        <v>179.41919191919192</v>
      </c>
      <c r="J71" s="233">
        <f t="shared" ref="J71:J79" si="24">(1.96*(((1.25*((F71/100)^2))*((1-(F71/100))^2)*((1/H71)+(1/I71)))^0.5))*100</f>
        <v>4.1182197127586466</v>
      </c>
      <c r="K71" s="233">
        <f t="shared" ref="K71:K80" si="25">F71-J71</f>
        <v>39.454270126589854</v>
      </c>
      <c r="L71" s="236">
        <f t="shared" ref="L71:L80" si="26">F71+J71</f>
        <v>47.690709552107144</v>
      </c>
      <c r="M71" s="220"/>
      <c r="N71" s="220"/>
    </row>
    <row r="72" spans="1:14">
      <c r="A72" s="280"/>
      <c r="B72" s="233">
        <v>25</v>
      </c>
      <c r="C72" s="234">
        <v>30</v>
      </c>
      <c r="D72" s="233">
        <f t="shared" si="21"/>
        <v>49.326741480625614</v>
      </c>
      <c r="E72" s="233">
        <f>F8</f>
        <v>7.1007686800258902</v>
      </c>
      <c r="F72" s="233">
        <f t="shared" si="23"/>
        <v>50.673258519374386</v>
      </c>
      <c r="G72" s="235">
        <f t="shared" si="22"/>
        <v>21.530303030303028</v>
      </c>
      <c r="H72" s="235">
        <f t="shared" ref="H72:H80" si="27">G71+H71</f>
        <v>3798.5252525252522</v>
      </c>
      <c r="I72" s="235">
        <f>SUM(G72:G80)</f>
        <v>100.47474747474746</v>
      </c>
      <c r="J72" s="233">
        <f>(1.96*(((1.25*((F72/100)^2))*((1-(F72/100))^2)*((1/H72)+(1/I72)))^0.5))*100</f>
        <v>5.5362154637019021</v>
      </c>
      <c r="K72" s="233">
        <f t="shared" si="25"/>
        <v>45.137043055672486</v>
      </c>
      <c r="L72" s="236">
        <f t="shared" si="26"/>
        <v>56.209473983076286</v>
      </c>
      <c r="M72" s="220"/>
      <c r="N72" s="220"/>
    </row>
    <row r="73" spans="1:14">
      <c r="A73" s="280"/>
      <c r="B73" s="233">
        <v>35</v>
      </c>
      <c r="C73" s="234">
        <v>40</v>
      </c>
      <c r="D73" s="233">
        <f t="shared" si="21"/>
        <v>38.201323668346717</v>
      </c>
      <c r="E73" s="233">
        <f>G8</f>
        <v>11.125417812278901</v>
      </c>
      <c r="F73" s="233">
        <f t="shared" si="23"/>
        <v>61.798676331653283</v>
      </c>
      <c r="G73" s="235">
        <f t="shared" si="22"/>
        <v>28.707070707070706</v>
      </c>
      <c r="H73" s="235">
        <f>G72+H72</f>
        <v>3820.0555555555552</v>
      </c>
      <c r="I73" s="235">
        <f>SUM(G73:G80)</f>
        <v>78.944444444444443</v>
      </c>
      <c r="J73" s="233">
        <f t="shared" si="24"/>
        <v>5.8823336448670949</v>
      </c>
      <c r="K73" s="233">
        <f t="shared" si="25"/>
        <v>55.916342686786187</v>
      </c>
      <c r="L73" s="236">
        <f t="shared" si="26"/>
        <v>67.681009976520372</v>
      </c>
      <c r="M73" s="220"/>
      <c r="N73" s="220"/>
    </row>
    <row r="74" spans="1:14" ht="15" customHeight="1">
      <c r="A74" s="280"/>
      <c r="B74" s="233">
        <v>45</v>
      </c>
      <c r="C74" s="234">
        <v>50</v>
      </c>
      <c r="D74" s="233">
        <f t="shared" si="21"/>
        <v>30.839522410478935</v>
      </c>
      <c r="E74" s="233">
        <f>H8</f>
        <v>7.3618012578677803</v>
      </c>
      <c r="F74" s="233">
        <f t="shared" si="23"/>
        <v>69.160477589521065</v>
      </c>
      <c r="G74" s="235">
        <f t="shared" si="22"/>
        <v>14.353535353535353</v>
      </c>
      <c r="H74" s="235">
        <f t="shared" si="27"/>
        <v>3848.7626262626259</v>
      </c>
      <c r="I74" s="235">
        <f>SUM(G74:G80)</f>
        <v>50.237373737373737</v>
      </c>
      <c r="J74" s="233">
        <f t="shared" si="24"/>
        <v>6.6371142833918375</v>
      </c>
      <c r="K74" s="233">
        <f t="shared" si="25"/>
        <v>62.523363306129227</v>
      </c>
      <c r="L74" s="236">
        <f t="shared" si="26"/>
        <v>75.797591872912903</v>
      </c>
      <c r="M74" s="220"/>
      <c r="N74" s="220"/>
    </row>
    <row r="75" spans="1:14" ht="27.75" customHeight="1">
      <c r="A75" s="280"/>
      <c r="B75" s="233">
        <v>55</v>
      </c>
      <c r="C75" s="234">
        <v>60</v>
      </c>
      <c r="D75" s="233">
        <f t="shared" si="21"/>
        <v>19.109327330238528</v>
      </c>
      <c r="E75" s="233">
        <f>I8</f>
        <v>11.730195080240399</v>
      </c>
      <c r="F75" s="233">
        <f t="shared" si="23"/>
        <v>80.890672669761472</v>
      </c>
      <c r="G75" s="235">
        <f t="shared" si="22"/>
        <v>14.353535353535353</v>
      </c>
      <c r="H75" s="235">
        <f t="shared" si="27"/>
        <v>3863.1161616161612</v>
      </c>
      <c r="I75" s="235">
        <f>SUM(G75:G80)</f>
        <v>35.883838383838381</v>
      </c>
      <c r="J75" s="233">
        <f t="shared" si="24"/>
        <v>5.6808485650181231</v>
      </c>
      <c r="K75" s="233">
        <f t="shared" si="25"/>
        <v>75.209824104743348</v>
      </c>
      <c r="L75" s="236">
        <f t="shared" si="26"/>
        <v>86.571521234779595</v>
      </c>
      <c r="M75" s="220"/>
      <c r="N75" s="220"/>
    </row>
    <row r="76" spans="1:14">
      <c r="A76" s="280"/>
      <c r="B76" s="233">
        <v>65</v>
      </c>
      <c r="C76" s="234">
        <v>70</v>
      </c>
      <c r="D76" s="233">
        <f t="shared" si="21"/>
        <v>19.109327330238528</v>
      </c>
      <c r="E76" s="233">
        <f>J8</f>
        <v>0</v>
      </c>
      <c r="F76" s="233">
        <f t="shared" si="23"/>
        <v>80.890672669761472</v>
      </c>
      <c r="G76" s="235">
        <f t="shared" si="22"/>
        <v>0</v>
      </c>
      <c r="H76" s="235">
        <f t="shared" si="27"/>
        <v>3877.4696969696965</v>
      </c>
      <c r="I76" s="235">
        <f>SUM(G76:G80)</f>
        <v>21.530303030303031</v>
      </c>
      <c r="J76" s="233">
        <f t="shared" si="24"/>
        <v>7.3203570566020293</v>
      </c>
      <c r="K76" s="233">
        <f t="shared" si="25"/>
        <v>73.570315613159437</v>
      </c>
      <c r="L76" s="236">
        <f t="shared" si="26"/>
        <v>88.211029726363506</v>
      </c>
      <c r="M76" s="220"/>
      <c r="N76" s="220"/>
    </row>
    <row r="77" spans="1:14">
      <c r="A77" s="280"/>
      <c r="B77" s="233">
        <v>75</v>
      </c>
      <c r="C77" s="234">
        <v>80</v>
      </c>
      <c r="D77" s="233">
        <f t="shared" si="21"/>
        <v>8.1035753474510273</v>
      </c>
      <c r="E77" s="233">
        <f>K8</f>
        <v>11.005751982787499</v>
      </c>
      <c r="F77" s="233">
        <f t="shared" si="23"/>
        <v>91.896424652548973</v>
      </c>
      <c r="G77" s="235">
        <f t="shared" si="22"/>
        <v>14.353535353535353</v>
      </c>
      <c r="H77" s="235">
        <f t="shared" si="27"/>
        <v>3877.4696969696965</v>
      </c>
      <c r="I77" s="235">
        <f>SUM(G77:G80)</f>
        <v>21.530303030303031</v>
      </c>
      <c r="J77" s="233">
        <f>(1.96*(((1.25*((F77/100)^2))*((1-(F77/100))^2)*((1/H77)+(1/I77)))^0.5))*100</f>
        <v>3.5266609382960952</v>
      </c>
      <c r="K77" s="233">
        <f t="shared" si="25"/>
        <v>88.369763714252883</v>
      </c>
      <c r="L77" s="236">
        <f t="shared" si="26"/>
        <v>95.423085590845062</v>
      </c>
      <c r="M77" s="220"/>
      <c r="N77" s="220"/>
    </row>
    <row r="78" spans="1:14">
      <c r="A78" s="280"/>
      <c r="B78" s="233">
        <v>85</v>
      </c>
      <c r="C78" s="234">
        <v>90</v>
      </c>
      <c r="D78" s="233">
        <f t="shared" si="21"/>
        <v>8.1035753474510273</v>
      </c>
      <c r="E78" s="233">
        <f>L8</f>
        <v>0</v>
      </c>
      <c r="F78" s="233">
        <f t="shared" si="23"/>
        <v>91.896424652548973</v>
      </c>
      <c r="G78" s="235">
        <f t="shared" si="22"/>
        <v>0</v>
      </c>
      <c r="H78" s="235">
        <f t="shared" si="27"/>
        <v>3891.8232323232319</v>
      </c>
      <c r="I78" s="235">
        <f>SUM(G78:G80)</f>
        <v>7.1767676767676765</v>
      </c>
      <c r="J78" s="233">
        <f t="shared" si="24"/>
        <v>6.0970813271955784</v>
      </c>
      <c r="K78" s="233">
        <f t="shared" si="25"/>
        <v>85.799343325353391</v>
      </c>
      <c r="L78" s="236">
        <f t="shared" si="26"/>
        <v>97.993505979744555</v>
      </c>
      <c r="M78" s="220"/>
      <c r="N78" s="220"/>
    </row>
    <row r="79" spans="1:14">
      <c r="A79" s="280"/>
      <c r="B79" s="233">
        <v>95</v>
      </c>
      <c r="C79" s="234">
        <v>95</v>
      </c>
      <c r="D79" s="233">
        <f t="shared" si="21"/>
        <v>0</v>
      </c>
      <c r="E79" s="233">
        <f>M8</f>
        <v>8.1035753474511303</v>
      </c>
      <c r="F79" s="233">
        <f t="shared" si="23"/>
        <v>100.0000000000001</v>
      </c>
      <c r="G79" s="235">
        <f t="shared" si="22"/>
        <v>7.1767676767676765</v>
      </c>
      <c r="H79" s="235">
        <f t="shared" si="27"/>
        <v>3891.8232323232319</v>
      </c>
      <c r="I79" s="235">
        <f>SUM(G79:G80)</f>
        <v>7.1767676767676765</v>
      </c>
      <c r="J79" s="233">
        <f t="shared" si="24"/>
        <v>7.2718835448705175E-14</v>
      </c>
      <c r="K79" s="233">
        <f t="shared" si="25"/>
        <v>100.00000000000003</v>
      </c>
      <c r="L79" s="236">
        <f t="shared" si="26"/>
        <v>100.00000000000017</v>
      </c>
      <c r="M79" s="220"/>
      <c r="N79" s="220"/>
    </row>
    <row r="80" spans="1:14">
      <c r="A80" s="404"/>
      <c r="B80" s="241">
        <v>100</v>
      </c>
      <c r="C80" s="242">
        <v>100</v>
      </c>
      <c r="D80" s="241">
        <f t="shared" si="21"/>
        <v>0</v>
      </c>
      <c r="E80" s="241">
        <f>N8</f>
        <v>0</v>
      </c>
      <c r="F80" s="241">
        <f t="shared" si="23"/>
        <v>100.0000000000001</v>
      </c>
      <c r="G80" s="243">
        <f t="shared" si="22"/>
        <v>0</v>
      </c>
      <c r="H80" s="243">
        <f t="shared" si="27"/>
        <v>3898.9999999999995</v>
      </c>
      <c r="I80" s="243">
        <f>SUM(G80)</f>
        <v>0</v>
      </c>
      <c r="J80" s="241">
        <v>1.7237524639101637E-14</v>
      </c>
      <c r="K80" s="241">
        <f t="shared" si="25"/>
        <v>100.00000000000009</v>
      </c>
      <c r="L80" s="244">
        <f t="shared" si="26"/>
        <v>100.00000000000011</v>
      </c>
      <c r="M80" s="220"/>
      <c r="N80" s="220"/>
    </row>
    <row r="81" spans="1:14">
      <c r="A81" s="402" t="s">
        <v>4</v>
      </c>
      <c r="B81" s="233">
        <v>0</v>
      </c>
      <c r="C81" s="234">
        <v>0</v>
      </c>
      <c r="D81" s="233">
        <v>100</v>
      </c>
      <c r="E81" s="233">
        <f>C9</f>
        <v>0</v>
      </c>
      <c r="F81" s="233">
        <f>E81</f>
        <v>0</v>
      </c>
      <c r="G81" s="235">
        <f>K14</f>
        <v>213763</v>
      </c>
      <c r="H81" s="233"/>
      <c r="I81" s="233"/>
      <c r="J81" s="233"/>
      <c r="K81" s="233">
        <v>0</v>
      </c>
      <c r="L81" s="236">
        <v>0</v>
      </c>
      <c r="M81" s="220"/>
      <c r="N81" s="220"/>
    </row>
    <row r="82" spans="1:14">
      <c r="A82" s="280"/>
      <c r="B82" s="233">
        <v>5</v>
      </c>
      <c r="C82" s="234">
        <v>10</v>
      </c>
      <c r="D82" s="233">
        <f t="shared" ref="D82:D91" si="28">100-F82</f>
        <v>93.589561548180583</v>
      </c>
      <c r="E82" s="233">
        <f>D9</f>
        <v>6.4104384518194202</v>
      </c>
      <c r="F82" s="233">
        <f>F81+E82</f>
        <v>6.4104384518194202</v>
      </c>
      <c r="G82" s="235">
        <f t="shared" ref="G82:G92" si="29">K15*$K$26</f>
        <v>1821.0000000000002</v>
      </c>
      <c r="H82" s="235">
        <f>G81</f>
        <v>213763</v>
      </c>
      <c r="I82" s="235">
        <f>SUM(G82:G92)</f>
        <v>14509</v>
      </c>
      <c r="J82" s="233">
        <f>(1.96*(((1.25*((F82/100)^2))*((1-(F82/100))^2)*((1/H82)+(1/I82)))^0.5))*100</f>
        <v>0.11278920590324802</v>
      </c>
      <c r="K82" s="233">
        <f>F82-J82</f>
        <v>6.2976492459161726</v>
      </c>
      <c r="L82" s="236">
        <f>F82+J82</f>
        <v>6.5232276577226678</v>
      </c>
      <c r="M82" s="220"/>
      <c r="N82" s="220"/>
    </row>
    <row r="83" spans="1:14">
      <c r="A83" s="280"/>
      <c r="B83" s="233">
        <v>15</v>
      </c>
      <c r="C83" s="234">
        <v>20</v>
      </c>
      <c r="D83" s="233">
        <f t="shared" si="28"/>
        <v>88.018633619260441</v>
      </c>
      <c r="E83" s="233">
        <f>E9</f>
        <v>5.5709279289201401</v>
      </c>
      <c r="F83" s="233">
        <f t="shared" ref="F83:F92" si="30">F82+E83</f>
        <v>11.98136638073956</v>
      </c>
      <c r="G83" s="235">
        <f t="shared" si="29"/>
        <v>1201</v>
      </c>
      <c r="H83" s="235">
        <f>G82+H82</f>
        <v>215584</v>
      </c>
      <c r="I83" s="235">
        <f>SUM(G83:G92)</f>
        <v>12688</v>
      </c>
      <c r="J83" s="233">
        <f>(1.96*(((1.25*((F83/100)^2))*((1-(F83/100))^2)*((1/H83)+(1/I83)))^0.5))*100</f>
        <v>0.21111229312738589</v>
      </c>
      <c r="K83" s="233">
        <f t="shared" ref="K83:K92" si="31">F83-J83</f>
        <v>11.770254087612175</v>
      </c>
      <c r="L83" s="236">
        <f t="shared" ref="L83:L92" si="32">F83+J83</f>
        <v>12.192478673866946</v>
      </c>
      <c r="M83" s="220"/>
      <c r="N83" s="220"/>
    </row>
    <row r="84" spans="1:14">
      <c r="A84" s="280"/>
      <c r="B84" s="233">
        <v>25</v>
      </c>
      <c r="C84" s="234">
        <v>30</v>
      </c>
      <c r="D84" s="233">
        <f t="shared" si="28"/>
        <v>84.482844318563238</v>
      </c>
      <c r="E84" s="233">
        <f>F9</f>
        <v>3.5357893006971999</v>
      </c>
      <c r="F84" s="233">
        <f t="shared" si="30"/>
        <v>15.51715568143676</v>
      </c>
      <c r="G84" s="235">
        <f t="shared" si="29"/>
        <v>597</v>
      </c>
      <c r="H84" s="235">
        <f t="shared" ref="H84:H92" si="33">G83+H83</f>
        <v>216785</v>
      </c>
      <c r="I84" s="235">
        <f>SUM(G84:G92)</f>
        <v>11487</v>
      </c>
      <c r="J84" s="233">
        <f t="shared" ref="J84:J89" si="34">(1.96*(((1.25*((F84/100)^2))*((1-(F84/100))^2)*((1/H84)+(1/I84)))^0.5))*100</f>
        <v>0.27504269783332069</v>
      </c>
      <c r="K84" s="233">
        <f t="shared" si="31"/>
        <v>15.242112983603439</v>
      </c>
      <c r="L84" s="236">
        <f t="shared" si="32"/>
        <v>15.792198379270081</v>
      </c>
      <c r="M84" s="220"/>
      <c r="N84" s="220"/>
    </row>
    <row r="85" spans="1:14">
      <c r="A85" s="280"/>
      <c r="B85" s="233">
        <v>35</v>
      </c>
      <c r="C85" s="234">
        <v>40</v>
      </c>
      <c r="D85" s="233">
        <f t="shared" si="28"/>
        <v>80.011014872795911</v>
      </c>
      <c r="E85" s="233">
        <f>G9</f>
        <v>4.4718294457673302</v>
      </c>
      <c r="F85" s="233">
        <f t="shared" si="30"/>
        <v>19.988985127204089</v>
      </c>
      <c r="G85" s="235">
        <f t="shared" si="29"/>
        <v>811</v>
      </c>
      <c r="H85" s="235">
        <f t="shared" si="33"/>
        <v>217382</v>
      </c>
      <c r="I85" s="235">
        <f>SUM(G85:G92)</f>
        <v>10890</v>
      </c>
      <c r="J85" s="233">
        <f t="shared" si="34"/>
        <v>0.34415350253271515</v>
      </c>
      <c r="K85" s="233">
        <f t="shared" si="31"/>
        <v>19.644831624671372</v>
      </c>
      <c r="L85" s="236">
        <f t="shared" si="32"/>
        <v>20.333138629736805</v>
      </c>
      <c r="M85" s="220"/>
      <c r="N85" s="220"/>
    </row>
    <row r="86" spans="1:14">
      <c r="A86" s="280"/>
      <c r="B86" s="233">
        <v>45</v>
      </c>
      <c r="C86" s="234">
        <v>50</v>
      </c>
      <c r="D86" s="233">
        <f t="shared" si="28"/>
        <v>75.167712781356428</v>
      </c>
      <c r="E86" s="233">
        <f>H9</f>
        <v>4.8433020914394804</v>
      </c>
      <c r="F86" s="233">
        <f t="shared" si="30"/>
        <v>24.832287218643568</v>
      </c>
      <c r="G86" s="235">
        <f t="shared" si="29"/>
        <v>175</v>
      </c>
      <c r="H86" s="235">
        <f t="shared" si="33"/>
        <v>218193</v>
      </c>
      <c r="I86" s="235">
        <f>SUM(G86:G92)</f>
        <v>10079</v>
      </c>
      <c r="J86" s="233">
        <f t="shared" si="34"/>
        <v>0.4167314996328898</v>
      </c>
      <c r="K86" s="233">
        <f t="shared" si="31"/>
        <v>24.41555571901068</v>
      </c>
      <c r="L86" s="236">
        <f t="shared" si="32"/>
        <v>25.249018718276456</v>
      </c>
      <c r="M86" s="220"/>
      <c r="N86" s="220"/>
    </row>
    <row r="87" spans="1:14">
      <c r="A87" s="280"/>
      <c r="B87" s="233">
        <v>55</v>
      </c>
      <c r="C87" s="234">
        <v>60</v>
      </c>
      <c r="D87" s="233">
        <f t="shared" si="28"/>
        <v>70.967631900575384</v>
      </c>
      <c r="E87" s="233">
        <f>I9</f>
        <v>4.2000808807810399</v>
      </c>
      <c r="F87" s="233">
        <f t="shared" si="30"/>
        <v>29.032368099424609</v>
      </c>
      <c r="G87" s="235">
        <f t="shared" si="29"/>
        <v>156</v>
      </c>
      <c r="H87" s="235">
        <f t="shared" si="33"/>
        <v>218368</v>
      </c>
      <c r="I87" s="235">
        <f>SUM(G87:G92)</f>
        <v>9904</v>
      </c>
      <c r="J87" s="233">
        <f t="shared" si="34"/>
        <v>0.4638529905968079</v>
      </c>
      <c r="K87" s="233">
        <f t="shared" si="31"/>
        <v>28.5685151088278</v>
      </c>
      <c r="L87" s="236">
        <f t="shared" si="32"/>
        <v>29.496221090021418</v>
      </c>
      <c r="M87" s="220"/>
      <c r="N87" s="220"/>
    </row>
    <row r="88" spans="1:14" ht="15" customHeight="1">
      <c r="A88" s="280"/>
      <c r="B88" s="233">
        <v>65</v>
      </c>
      <c r="C88" s="234">
        <v>70</v>
      </c>
      <c r="D88" s="233">
        <f t="shared" si="28"/>
        <v>65.160495055908143</v>
      </c>
      <c r="E88" s="233">
        <f>J9</f>
        <v>5.8071368446672498</v>
      </c>
      <c r="F88" s="233">
        <f t="shared" si="30"/>
        <v>34.839504944091857</v>
      </c>
      <c r="G88" s="235">
        <f t="shared" si="29"/>
        <v>526</v>
      </c>
      <c r="H88" s="235">
        <f t="shared" si="33"/>
        <v>218524</v>
      </c>
      <c r="I88" s="235">
        <f>SUM(G88:G92)</f>
        <v>9748</v>
      </c>
      <c r="J88" s="233">
        <f t="shared" si="34"/>
        <v>0.51497532364665</v>
      </c>
      <c r="K88" s="233">
        <f t="shared" si="31"/>
        <v>34.324529620445205</v>
      </c>
      <c r="L88" s="236">
        <f t="shared" si="32"/>
        <v>35.354480267738509</v>
      </c>
      <c r="M88" s="220"/>
      <c r="N88" s="220"/>
    </row>
    <row r="89" spans="1:14">
      <c r="A89" s="280"/>
      <c r="B89" s="233">
        <v>75</v>
      </c>
      <c r="C89" s="234">
        <v>80</v>
      </c>
      <c r="D89" s="233">
        <f t="shared" si="28"/>
        <v>58.733001192741121</v>
      </c>
      <c r="E89" s="233">
        <f>K9</f>
        <v>6.4274938631670198</v>
      </c>
      <c r="F89" s="233">
        <f t="shared" si="30"/>
        <v>41.266998807258879</v>
      </c>
      <c r="G89" s="235">
        <f t="shared" si="29"/>
        <v>539</v>
      </c>
      <c r="H89" s="235">
        <f t="shared" si="33"/>
        <v>219050</v>
      </c>
      <c r="I89" s="235">
        <f>SUM(G89:G92)</f>
        <v>9222</v>
      </c>
      <c r="J89" s="233">
        <f t="shared" si="34"/>
        <v>0.56459664216164984</v>
      </c>
      <c r="K89" s="233">
        <f t="shared" si="31"/>
        <v>40.702402165097233</v>
      </c>
      <c r="L89" s="236">
        <f t="shared" si="32"/>
        <v>41.831595449420526</v>
      </c>
      <c r="M89" s="220"/>
      <c r="N89" s="220"/>
    </row>
    <row r="90" spans="1:14">
      <c r="A90" s="280"/>
      <c r="B90" s="233">
        <v>85</v>
      </c>
      <c r="C90" s="234">
        <v>90</v>
      </c>
      <c r="D90" s="233">
        <f t="shared" si="28"/>
        <v>47.547879932996324</v>
      </c>
      <c r="E90" s="233">
        <f>L9</f>
        <v>11.1851212597448</v>
      </c>
      <c r="F90" s="233">
        <f t="shared" si="30"/>
        <v>52.452120067003676</v>
      </c>
      <c r="G90" s="235">
        <f t="shared" si="29"/>
        <v>436</v>
      </c>
      <c r="H90" s="235">
        <f t="shared" si="33"/>
        <v>219589</v>
      </c>
      <c r="I90" s="235">
        <f>SUM(G90:G92)</f>
        <v>8683</v>
      </c>
      <c r="J90" s="233">
        <v>1.7237524639101637E-14</v>
      </c>
      <c r="K90" s="233">
        <f t="shared" si="31"/>
        <v>52.452120067003662</v>
      </c>
      <c r="L90" s="236">
        <f t="shared" si="32"/>
        <v>52.45212006700369</v>
      </c>
      <c r="M90" s="220"/>
      <c r="N90" s="220"/>
    </row>
    <row r="91" spans="1:14">
      <c r="A91" s="280"/>
      <c r="B91" s="233">
        <v>95</v>
      </c>
      <c r="C91" s="234">
        <v>95</v>
      </c>
      <c r="D91" s="233">
        <f t="shared" si="28"/>
        <v>25.881778862052428</v>
      </c>
      <c r="E91" s="233">
        <f>M9</f>
        <v>21.666101070943899</v>
      </c>
      <c r="F91" s="233">
        <f t="shared" si="30"/>
        <v>74.118221137947572</v>
      </c>
      <c r="G91" s="235">
        <f t="shared" si="29"/>
        <v>8247</v>
      </c>
      <c r="H91" s="235">
        <f t="shared" si="33"/>
        <v>220025</v>
      </c>
      <c r="I91" s="235">
        <f>SUM(G91:G92)</f>
        <v>8247</v>
      </c>
      <c r="J91" s="233">
        <v>1.7237524639101637E-14</v>
      </c>
      <c r="K91" s="233">
        <f t="shared" si="31"/>
        <v>74.118221137947558</v>
      </c>
      <c r="L91" s="236">
        <f t="shared" si="32"/>
        <v>74.118221137947586</v>
      </c>
      <c r="M91" s="220"/>
      <c r="N91" s="220"/>
    </row>
    <row r="92" spans="1:14" ht="16" thickBot="1">
      <c r="A92" s="281"/>
      <c r="B92" s="237">
        <v>100</v>
      </c>
      <c r="C92" s="238">
        <v>100</v>
      </c>
      <c r="D92" s="237">
        <v>0</v>
      </c>
      <c r="E92" s="237">
        <f>N9</f>
        <v>25.8817788620395</v>
      </c>
      <c r="F92" s="237">
        <f t="shared" si="30"/>
        <v>99.999999999987068</v>
      </c>
      <c r="G92" s="239">
        <f t="shared" si="29"/>
        <v>0</v>
      </c>
      <c r="H92" s="239">
        <f t="shared" si="33"/>
        <v>228272</v>
      </c>
      <c r="I92" s="239">
        <f>SUM(G92)</f>
        <v>0</v>
      </c>
      <c r="J92" s="237">
        <v>1.7237524639101637E-14</v>
      </c>
      <c r="K92" s="237">
        <f t="shared" si="31"/>
        <v>99.999999999987054</v>
      </c>
      <c r="L92" s="240">
        <f t="shared" si="32"/>
        <v>99.999999999987082</v>
      </c>
      <c r="M92" s="220"/>
      <c r="N92" s="220"/>
    </row>
    <row r="93" spans="1:14">
      <c r="M93" s="220"/>
      <c r="N93" s="220"/>
    </row>
    <row r="94" spans="1:14">
      <c r="M94" s="220"/>
      <c r="N94" s="220"/>
    </row>
    <row r="95" spans="1:14">
      <c r="M95" s="220"/>
      <c r="N95" s="220"/>
    </row>
    <row r="96" spans="1:14">
      <c r="M96" s="220"/>
      <c r="N96" s="220"/>
    </row>
    <row r="97" spans="13:14">
      <c r="M97" s="220"/>
      <c r="N97" s="220"/>
    </row>
    <row r="98" spans="13:14">
      <c r="M98" s="220"/>
      <c r="N98" s="220"/>
    </row>
    <row r="99" spans="13:14">
      <c r="M99" s="220"/>
      <c r="N99" s="220"/>
    </row>
    <row r="100" spans="13:14">
      <c r="M100" s="220"/>
      <c r="N100" s="220"/>
    </row>
  </sheetData>
  <mergeCells count="25">
    <mergeCell ref="L31:L32"/>
    <mergeCell ref="G31:G32"/>
    <mergeCell ref="H31:H32"/>
    <mergeCell ref="I31:I32"/>
    <mergeCell ref="J31:J32"/>
    <mergeCell ref="K31:K32"/>
    <mergeCell ref="A2:N2"/>
    <mergeCell ref="B12:C12"/>
    <mergeCell ref="D12:E12"/>
    <mergeCell ref="F12:G12"/>
    <mergeCell ref="H12:I12"/>
    <mergeCell ref="J12:K12"/>
    <mergeCell ref="C3:N3"/>
    <mergeCell ref="A5:A10"/>
    <mergeCell ref="A12:A13"/>
    <mergeCell ref="F31:F32"/>
    <mergeCell ref="A33:A44"/>
    <mergeCell ref="B31:C32"/>
    <mergeCell ref="D31:D32"/>
    <mergeCell ref="E31:E32"/>
    <mergeCell ref="A81:A92"/>
    <mergeCell ref="A45:A56"/>
    <mergeCell ref="A57:A68"/>
    <mergeCell ref="A69:A80"/>
    <mergeCell ref="A31:A3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8A7B31-A208-C749-BE92-F10BED9BF186}">
  <dimension ref="A1:O85"/>
  <sheetViews>
    <sheetView workbookViewId="0">
      <selection activeCell="J19" sqref="J19"/>
    </sheetView>
  </sheetViews>
  <sheetFormatPr baseColWidth="10" defaultRowHeight="15"/>
  <cols>
    <col min="2" max="2" width="14.6640625" customWidth="1"/>
    <col min="4" max="4" width="25.5" customWidth="1"/>
    <col min="8" max="8" width="15.5" customWidth="1"/>
  </cols>
  <sheetData>
    <row r="1" spans="1:15" ht="16" thickBot="1">
      <c r="A1" s="283" t="s">
        <v>262</v>
      </c>
      <c r="B1" s="283"/>
      <c r="C1" s="283"/>
      <c r="D1" s="283"/>
      <c r="E1" s="283"/>
      <c r="F1" s="283"/>
      <c r="G1" s="283"/>
      <c r="H1" s="283"/>
      <c r="J1" s="290" t="s">
        <v>264</v>
      </c>
      <c r="K1" s="290"/>
      <c r="L1" s="290"/>
      <c r="M1" s="290"/>
      <c r="N1" s="290"/>
      <c r="O1" s="290"/>
    </row>
    <row r="2" spans="1:15" ht="17" thickBot="1">
      <c r="A2" s="40" t="s">
        <v>110</v>
      </c>
      <c r="B2" s="41" t="s">
        <v>111</v>
      </c>
      <c r="C2" s="313" t="s">
        <v>112</v>
      </c>
      <c r="D2" s="296"/>
      <c r="E2" s="294" t="s">
        <v>125</v>
      </c>
      <c r="F2" s="332"/>
      <c r="G2" s="332"/>
      <c r="H2" s="295"/>
      <c r="J2" s="284"/>
      <c r="K2" s="285"/>
      <c r="L2" s="285"/>
      <c r="M2" s="285"/>
      <c r="N2" s="285"/>
      <c r="O2" s="286"/>
    </row>
    <row r="3" spans="1:15">
      <c r="A3" s="307" t="s">
        <v>2</v>
      </c>
      <c r="B3" s="302" t="s">
        <v>113</v>
      </c>
      <c r="C3" s="305" t="s">
        <v>114</v>
      </c>
      <c r="D3" s="318"/>
      <c r="E3" s="310" t="s">
        <v>130</v>
      </c>
      <c r="F3" s="282"/>
      <c r="G3" s="282"/>
      <c r="H3" s="314"/>
      <c r="J3" s="287"/>
      <c r="K3" s="288"/>
      <c r="L3" s="288"/>
      <c r="M3" s="288"/>
      <c r="N3" s="288"/>
      <c r="O3" s="289"/>
    </row>
    <row r="4" spans="1:15">
      <c r="A4" s="308"/>
      <c r="B4" s="303"/>
      <c r="C4" s="298" t="s">
        <v>115</v>
      </c>
      <c r="D4" s="299"/>
      <c r="E4" s="311"/>
      <c r="F4" s="271"/>
      <c r="G4" s="271"/>
      <c r="H4" s="315"/>
      <c r="J4" s="287"/>
      <c r="K4" s="288"/>
      <c r="L4" s="288"/>
      <c r="M4" s="288"/>
      <c r="N4" s="288"/>
      <c r="O4" s="289"/>
    </row>
    <row r="5" spans="1:15" ht="16" thickBot="1">
      <c r="A5" s="308"/>
      <c r="B5" s="303"/>
      <c r="C5" s="298" t="s">
        <v>116</v>
      </c>
      <c r="D5" s="299"/>
      <c r="E5" s="311"/>
      <c r="F5" s="271"/>
      <c r="G5" s="271"/>
      <c r="H5" s="315"/>
      <c r="J5" s="291" t="s">
        <v>265</v>
      </c>
      <c r="K5" s="292"/>
      <c r="L5" s="292"/>
      <c r="M5" s="292"/>
      <c r="N5" s="292"/>
      <c r="O5" s="293"/>
    </row>
    <row r="6" spans="1:15" ht="17" customHeight="1" thickBot="1">
      <c r="A6" s="308"/>
      <c r="B6" s="303"/>
      <c r="C6" s="298" t="s">
        <v>117</v>
      </c>
      <c r="D6" s="299"/>
      <c r="E6" s="311"/>
      <c r="F6" s="271"/>
      <c r="G6" s="271"/>
      <c r="H6" s="315"/>
      <c r="J6" s="40" t="s">
        <v>110</v>
      </c>
      <c r="K6" s="294" t="s">
        <v>111</v>
      </c>
      <c r="L6" s="295"/>
      <c r="M6" s="296" t="s">
        <v>125</v>
      </c>
      <c r="N6" s="296"/>
      <c r="O6" s="297"/>
    </row>
    <row r="7" spans="1:15" ht="17" customHeight="1">
      <c r="A7" s="308"/>
      <c r="B7" s="303"/>
      <c r="C7" s="298"/>
      <c r="D7" s="299"/>
      <c r="E7" s="311"/>
      <c r="F7" s="271"/>
      <c r="G7" s="271"/>
      <c r="H7" s="315"/>
      <c r="J7" s="279" t="s">
        <v>271</v>
      </c>
      <c r="K7" s="282" t="s">
        <v>274</v>
      </c>
      <c r="L7" s="282"/>
      <c r="M7" s="273" t="s">
        <v>278</v>
      </c>
      <c r="N7" s="273"/>
      <c r="O7" s="274"/>
    </row>
    <row r="8" spans="1:15">
      <c r="A8" s="308"/>
      <c r="B8" s="303"/>
      <c r="C8" s="298"/>
      <c r="D8" s="299"/>
      <c r="E8" s="311"/>
      <c r="F8" s="271"/>
      <c r="G8" s="271"/>
      <c r="H8" s="315"/>
      <c r="J8" s="280"/>
      <c r="K8" s="271"/>
      <c r="L8" s="271"/>
      <c r="M8" s="275"/>
      <c r="N8" s="275"/>
      <c r="O8" s="276"/>
    </row>
    <row r="9" spans="1:15" ht="16" thickBot="1">
      <c r="A9" s="308"/>
      <c r="B9" s="303"/>
      <c r="C9" s="298"/>
      <c r="D9" s="299"/>
      <c r="E9" s="311"/>
      <c r="F9" s="271"/>
      <c r="G9" s="271"/>
      <c r="H9" s="315"/>
      <c r="J9" s="281"/>
      <c r="K9" s="272"/>
      <c r="L9" s="272"/>
      <c r="M9" s="277"/>
      <c r="N9" s="277"/>
      <c r="O9" s="278"/>
    </row>
    <row r="10" spans="1:15" ht="17" customHeight="1">
      <c r="A10" s="308"/>
      <c r="B10" s="303"/>
      <c r="C10" s="298"/>
      <c r="D10" s="299"/>
      <c r="E10" s="311"/>
      <c r="F10" s="271"/>
      <c r="G10" s="271"/>
      <c r="H10" s="315"/>
      <c r="J10" s="279" t="s">
        <v>272</v>
      </c>
      <c r="K10" s="282" t="s">
        <v>275</v>
      </c>
      <c r="L10" s="282"/>
      <c r="M10" s="273" t="s">
        <v>277</v>
      </c>
      <c r="N10" s="273"/>
      <c r="O10" s="274"/>
    </row>
    <row r="11" spans="1:15" ht="16" thickBot="1">
      <c r="A11" s="309"/>
      <c r="B11" s="304"/>
      <c r="C11" s="300"/>
      <c r="D11" s="301"/>
      <c r="E11" s="323" t="s">
        <v>47</v>
      </c>
      <c r="F11" s="330"/>
      <c r="G11" s="330"/>
      <c r="H11" s="324"/>
      <c r="J11" s="280"/>
      <c r="K11" s="271"/>
      <c r="L11" s="271"/>
      <c r="M11" s="275"/>
      <c r="N11" s="275"/>
      <c r="O11" s="276"/>
    </row>
    <row r="12" spans="1:15" ht="16" thickBot="1">
      <c r="A12" s="279" t="s">
        <v>0</v>
      </c>
      <c r="B12" s="310" t="s">
        <v>46</v>
      </c>
      <c r="C12" s="305" t="s">
        <v>118</v>
      </c>
      <c r="D12" s="306"/>
      <c r="E12" s="282" t="s">
        <v>120</v>
      </c>
      <c r="F12" s="282"/>
      <c r="G12" s="282"/>
      <c r="H12" s="314"/>
      <c r="J12" s="281"/>
      <c r="K12" s="272"/>
      <c r="L12" s="272"/>
      <c r="M12" s="277"/>
      <c r="N12" s="277"/>
      <c r="O12" s="278"/>
    </row>
    <row r="13" spans="1:15" ht="17">
      <c r="A13" s="280"/>
      <c r="B13" s="311"/>
      <c r="C13" s="298" t="s">
        <v>140</v>
      </c>
      <c r="D13" s="317"/>
      <c r="E13" s="271"/>
      <c r="F13" s="271"/>
      <c r="G13" s="271"/>
      <c r="H13" s="315"/>
      <c r="J13" s="269" t="s">
        <v>273</v>
      </c>
      <c r="K13" s="271" t="s">
        <v>276</v>
      </c>
      <c r="L13" s="271"/>
      <c r="M13" s="275" t="s">
        <v>277</v>
      </c>
      <c r="N13" s="275"/>
      <c r="O13" s="276"/>
    </row>
    <row r="14" spans="1:15" ht="17">
      <c r="A14" s="280"/>
      <c r="B14" s="311"/>
      <c r="C14" s="298" t="s">
        <v>141</v>
      </c>
      <c r="D14" s="317"/>
      <c r="E14" s="271"/>
      <c r="F14" s="271"/>
      <c r="G14" s="271"/>
      <c r="H14" s="315"/>
      <c r="J14" s="269"/>
      <c r="K14" s="271"/>
      <c r="L14" s="271"/>
      <c r="M14" s="275"/>
      <c r="N14" s="275"/>
      <c r="O14" s="276"/>
    </row>
    <row r="15" spans="1:15" ht="16" thickBot="1">
      <c r="A15" s="280"/>
      <c r="B15" s="311"/>
      <c r="C15" s="311" t="s">
        <v>142</v>
      </c>
      <c r="D15" s="315"/>
      <c r="E15" s="271"/>
      <c r="F15" s="271"/>
      <c r="G15" s="271"/>
      <c r="H15" s="315"/>
      <c r="J15" s="270"/>
      <c r="K15" s="272"/>
      <c r="L15" s="272"/>
      <c r="M15" s="277"/>
      <c r="N15" s="277"/>
      <c r="O15" s="278"/>
    </row>
    <row r="16" spans="1:15" ht="16" thickBot="1">
      <c r="A16" s="281"/>
      <c r="B16" s="312"/>
      <c r="C16" s="312"/>
      <c r="D16" s="316"/>
      <c r="E16" s="301" t="s">
        <v>119</v>
      </c>
      <c r="F16" s="301"/>
      <c r="G16" s="301"/>
      <c r="H16" s="333"/>
    </row>
    <row r="17" spans="1:8">
      <c r="A17" s="279" t="s">
        <v>44</v>
      </c>
      <c r="B17" s="310" t="s">
        <v>121</v>
      </c>
      <c r="C17" s="310" t="s">
        <v>122</v>
      </c>
      <c r="D17" s="314"/>
      <c r="E17" s="282" t="s">
        <v>143</v>
      </c>
      <c r="F17" s="282"/>
      <c r="G17" s="282"/>
      <c r="H17" s="314"/>
    </row>
    <row r="18" spans="1:8">
      <c r="A18" s="280"/>
      <c r="B18" s="311"/>
      <c r="C18" s="311"/>
      <c r="D18" s="315"/>
      <c r="E18" s="271"/>
      <c r="F18" s="271"/>
      <c r="G18" s="271"/>
      <c r="H18" s="315"/>
    </row>
    <row r="19" spans="1:8">
      <c r="A19" s="280"/>
      <c r="B19" s="311"/>
      <c r="C19" s="311"/>
      <c r="D19" s="315"/>
      <c r="E19" s="271"/>
      <c r="F19" s="271"/>
      <c r="G19" s="271"/>
      <c r="H19" s="315"/>
    </row>
    <row r="20" spans="1:8">
      <c r="A20" s="280"/>
      <c r="B20" s="311"/>
      <c r="C20" s="311" t="s">
        <v>123</v>
      </c>
      <c r="D20" s="315"/>
      <c r="E20" s="271"/>
      <c r="F20" s="271"/>
      <c r="G20" s="271"/>
      <c r="H20" s="315"/>
    </row>
    <row r="21" spans="1:8">
      <c r="A21" s="280"/>
      <c r="B21" s="311"/>
      <c r="C21" s="311"/>
      <c r="D21" s="315"/>
      <c r="E21" s="271"/>
      <c r="F21" s="271"/>
      <c r="G21" s="271"/>
      <c r="H21" s="315"/>
    </row>
    <row r="22" spans="1:8">
      <c r="A22" s="280"/>
      <c r="B22" s="311"/>
      <c r="C22" s="311"/>
      <c r="D22" s="315"/>
      <c r="E22" s="271"/>
      <c r="F22" s="271"/>
      <c r="G22" s="271"/>
      <c r="H22" s="315"/>
    </row>
    <row r="23" spans="1:8" ht="16" thickBot="1">
      <c r="A23" s="281"/>
      <c r="B23" s="312"/>
      <c r="C23" s="312"/>
      <c r="D23" s="316"/>
      <c r="E23" s="330" t="s">
        <v>85</v>
      </c>
      <c r="F23" s="330"/>
      <c r="G23" s="330"/>
      <c r="H23" s="324"/>
    </row>
    <row r="24" spans="1:8">
      <c r="A24" s="279" t="s">
        <v>37</v>
      </c>
      <c r="B24" s="310" t="s">
        <v>124</v>
      </c>
      <c r="C24" s="319" t="s">
        <v>83</v>
      </c>
      <c r="D24" s="320"/>
      <c r="E24" s="282" t="s">
        <v>132</v>
      </c>
      <c r="F24" s="282"/>
      <c r="G24" s="282"/>
      <c r="H24" s="314"/>
    </row>
    <row r="25" spans="1:8">
      <c r="A25" s="280"/>
      <c r="B25" s="311"/>
      <c r="C25" s="321"/>
      <c r="D25" s="322"/>
      <c r="E25" s="271"/>
      <c r="F25" s="271"/>
      <c r="G25" s="271"/>
      <c r="H25" s="315"/>
    </row>
    <row r="26" spans="1:8" ht="16" thickBot="1">
      <c r="A26" s="281"/>
      <c r="B26" s="312"/>
      <c r="C26" s="323"/>
      <c r="D26" s="324"/>
      <c r="E26" s="272"/>
      <c r="F26" s="272"/>
      <c r="G26" s="272"/>
      <c r="H26" s="316"/>
    </row>
    <row r="27" spans="1:8">
      <c r="A27" s="279" t="s">
        <v>144</v>
      </c>
      <c r="B27" s="310" t="s">
        <v>126</v>
      </c>
      <c r="C27" s="319" t="s">
        <v>83</v>
      </c>
      <c r="D27" s="325"/>
      <c r="E27" s="282" t="s">
        <v>145</v>
      </c>
      <c r="F27" s="282"/>
      <c r="G27" s="282"/>
      <c r="H27" s="314"/>
    </row>
    <row r="28" spans="1:8">
      <c r="A28" s="280"/>
      <c r="B28" s="311"/>
      <c r="C28" s="326"/>
      <c r="D28" s="327"/>
      <c r="E28" s="271"/>
      <c r="F28" s="271"/>
      <c r="G28" s="271"/>
      <c r="H28" s="315"/>
    </row>
    <row r="29" spans="1:8">
      <c r="A29" s="280"/>
      <c r="B29" s="311"/>
      <c r="C29" s="326"/>
      <c r="D29" s="327"/>
      <c r="E29" s="271"/>
      <c r="F29" s="271"/>
      <c r="G29" s="271"/>
      <c r="H29" s="315"/>
    </row>
    <row r="30" spans="1:8" ht="16" thickBot="1">
      <c r="A30" s="281"/>
      <c r="B30" s="312"/>
      <c r="C30" s="328"/>
      <c r="D30" s="329"/>
      <c r="E30" s="272"/>
      <c r="F30" s="272"/>
      <c r="G30" s="272"/>
      <c r="H30" s="316"/>
    </row>
    <row r="31" spans="1:8">
      <c r="A31" s="279" t="s">
        <v>146</v>
      </c>
      <c r="B31" s="310" t="s">
        <v>127</v>
      </c>
      <c r="C31" s="319" t="s">
        <v>83</v>
      </c>
      <c r="D31" s="320"/>
      <c r="E31" s="282" t="s">
        <v>133</v>
      </c>
      <c r="F31" s="282"/>
      <c r="G31" s="282"/>
      <c r="H31" s="314"/>
    </row>
    <row r="32" spans="1:8">
      <c r="A32" s="280"/>
      <c r="B32" s="311"/>
      <c r="C32" s="321"/>
      <c r="D32" s="322"/>
      <c r="E32" s="271"/>
      <c r="F32" s="271"/>
      <c r="G32" s="271"/>
      <c r="H32" s="315"/>
    </row>
    <row r="33" spans="1:8" ht="16" thickBot="1">
      <c r="A33" s="281"/>
      <c r="B33" s="312"/>
      <c r="C33" s="323"/>
      <c r="D33" s="324"/>
      <c r="E33" s="272"/>
      <c r="F33" s="272"/>
      <c r="G33" s="272"/>
      <c r="H33" s="316"/>
    </row>
    <row r="34" spans="1:8">
      <c r="A34" s="334" t="s">
        <v>1</v>
      </c>
      <c r="B34" s="342" t="s">
        <v>128</v>
      </c>
      <c r="C34" s="319" t="s">
        <v>83</v>
      </c>
      <c r="D34" s="325"/>
      <c r="E34" s="331"/>
      <c r="F34" s="331"/>
      <c r="G34" s="331"/>
      <c r="H34" s="320"/>
    </row>
    <row r="35" spans="1:8">
      <c r="A35" s="335"/>
      <c r="B35" s="343"/>
      <c r="C35" s="326"/>
      <c r="D35" s="327"/>
      <c r="E35" s="341"/>
      <c r="F35" s="341"/>
      <c r="G35" s="341"/>
      <c r="H35" s="322"/>
    </row>
    <row r="36" spans="1:8" ht="16" thickBot="1">
      <c r="A36" s="336"/>
      <c r="B36" s="344"/>
      <c r="C36" s="328"/>
      <c r="D36" s="329"/>
      <c r="E36" s="330" t="s">
        <v>48</v>
      </c>
      <c r="F36" s="330"/>
      <c r="G36" s="330"/>
      <c r="H36" s="324"/>
    </row>
    <row r="37" spans="1:8">
      <c r="A37" s="279" t="s">
        <v>3</v>
      </c>
      <c r="B37" s="302" t="s">
        <v>129</v>
      </c>
      <c r="C37" s="337" t="s">
        <v>83</v>
      </c>
      <c r="D37" s="338"/>
      <c r="E37" s="331"/>
      <c r="F37" s="331"/>
      <c r="G37" s="331"/>
      <c r="H37" s="320"/>
    </row>
    <row r="38" spans="1:8" ht="16" thickBot="1">
      <c r="A38" s="281"/>
      <c r="B38" s="304"/>
      <c r="C38" s="339"/>
      <c r="D38" s="340"/>
      <c r="E38" s="330" t="s">
        <v>47</v>
      </c>
      <c r="F38" s="330"/>
      <c r="G38" s="330"/>
      <c r="H38" s="324"/>
    </row>
    <row r="39" spans="1:8" ht="19" thickBot="1">
      <c r="A39" s="42" t="s">
        <v>147</v>
      </c>
      <c r="B39" s="39" t="s">
        <v>148</v>
      </c>
      <c r="C39" s="345" t="s">
        <v>83</v>
      </c>
      <c r="D39" s="346"/>
      <c r="E39" s="347" t="s">
        <v>136</v>
      </c>
      <c r="F39" s="347"/>
      <c r="G39" s="347"/>
      <c r="H39" s="348"/>
    </row>
    <row r="40" spans="1:8">
      <c r="A40" s="349" t="s">
        <v>149</v>
      </c>
      <c r="B40" s="352" t="s">
        <v>150</v>
      </c>
      <c r="C40" s="355" t="s">
        <v>83</v>
      </c>
      <c r="D40" s="356"/>
      <c r="E40" s="370" t="s">
        <v>138</v>
      </c>
      <c r="F40" s="370"/>
      <c r="G40" s="370"/>
      <c r="H40" s="371"/>
    </row>
    <row r="41" spans="1:8" ht="16" thickBot="1">
      <c r="A41" s="350"/>
      <c r="B41" s="353"/>
      <c r="C41" s="359"/>
      <c r="D41" s="360"/>
      <c r="E41" s="363"/>
      <c r="F41" s="363"/>
      <c r="G41" s="363"/>
      <c r="H41" s="364"/>
    </row>
    <row r="42" spans="1:8">
      <c r="A42" s="349" t="s">
        <v>151</v>
      </c>
      <c r="B42" s="352" t="s">
        <v>137</v>
      </c>
      <c r="C42" s="355" t="s">
        <v>83</v>
      </c>
      <c r="D42" s="356"/>
      <c r="E42" s="361" t="s">
        <v>139</v>
      </c>
      <c r="F42" s="361"/>
      <c r="G42" s="361"/>
      <c r="H42" s="362"/>
    </row>
    <row r="43" spans="1:8">
      <c r="A43" s="350"/>
      <c r="B43" s="353"/>
      <c r="C43" s="357"/>
      <c r="D43" s="358"/>
      <c r="E43" s="361"/>
      <c r="F43" s="361"/>
      <c r="G43" s="361"/>
      <c r="H43" s="362"/>
    </row>
    <row r="44" spans="1:8" ht="16" thickBot="1">
      <c r="A44" s="351"/>
      <c r="B44" s="354"/>
      <c r="C44" s="359"/>
      <c r="D44" s="360"/>
      <c r="E44" s="363"/>
      <c r="F44" s="363"/>
      <c r="G44" s="363"/>
      <c r="H44" s="364"/>
    </row>
    <row r="45" spans="1:8">
      <c r="A45" s="365" t="s">
        <v>93</v>
      </c>
      <c r="B45" s="342" t="s">
        <v>152</v>
      </c>
      <c r="C45" s="369" t="s">
        <v>83</v>
      </c>
      <c r="D45" s="331"/>
      <c r="E45" s="352" t="s">
        <v>153</v>
      </c>
      <c r="F45" s="370"/>
      <c r="G45" s="370"/>
      <c r="H45" s="371"/>
    </row>
    <row r="46" spans="1:8" ht="16" thickBot="1">
      <c r="A46" s="366"/>
      <c r="B46" s="343"/>
      <c r="C46" s="341"/>
      <c r="D46" s="341"/>
      <c r="E46" s="353"/>
      <c r="F46" s="361"/>
      <c r="G46" s="361"/>
      <c r="H46" s="362"/>
    </row>
    <row r="47" spans="1:8">
      <c r="A47" s="334" t="s">
        <v>94</v>
      </c>
      <c r="B47" s="367" t="s">
        <v>155</v>
      </c>
      <c r="C47" s="369" t="s">
        <v>83</v>
      </c>
      <c r="D47" s="331"/>
      <c r="E47" s="352" t="s">
        <v>156</v>
      </c>
      <c r="F47" s="370"/>
      <c r="G47" s="370"/>
      <c r="H47" s="371"/>
    </row>
    <row r="48" spans="1:8" ht="16" thickBot="1">
      <c r="A48" s="335"/>
      <c r="B48" s="368"/>
      <c r="C48" s="341"/>
      <c r="D48" s="341"/>
      <c r="E48" s="353"/>
      <c r="F48" s="361"/>
      <c r="G48" s="361"/>
      <c r="H48" s="362"/>
    </row>
    <row r="49" spans="1:8">
      <c r="A49" s="334" t="s">
        <v>164</v>
      </c>
      <c r="B49" s="367" t="s">
        <v>157</v>
      </c>
      <c r="C49" s="369" t="s">
        <v>83</v>
      </c>
      <c r="D49" s="331"/>
      <c r="E49" s="352" t="s">
        <v>159</v>
      </c>
      <c r="F49" s="370"/>
      <c r="G49" s="370"/>
      <c r="H49" s="371"/>
    </row>
    <row r="50" spans="1:8">
      <c r="A50" s="335"/>
      <c r="B50" s="368"/>
      <c r="C50" s="341"/>
      <c r="D50" s="341"/>
      <c r="E50" s="353"/>
      <c r="F50" s="361"/>
      <c r="G50" s="361"/>
      <c r="H50" s="362"/>
    </row>
    <row r="51" spans="1:8">
      <c r="A51" s="335"/>
      <c r="B51" s="368"/>
      <c r="C51" s="341"/>
      <c r="D51" s="341"/>
      <c r="E51" s="353"/>
      <c r="F51" s="361"/>
      <c r="G51" s="361"/>
      <c r="H51" s="362"/>
    </row>
    <row r="52" spans="1:8" ht="16" thickBot="1">
      <c r="A52" s="335"/>
      <c r="B52" s="368"/>
      <c r="C52" s="341"/>
      <c r="D52" s="341"/>
      <c r="E52" s="353"/>
      <c r="F52" s="361"/>
      <c r="G52" s="361"/>
      <c r="H52" s="362"/>
    </row>
    <row r="53" spans="1:8">
      <c r="A53" s="334" t="s">
        <v>165</v>
      </c>
      <c r="B53" s="367" t="s">
        <v>158</v>
      </c>
      <c r="C53" s="369" t="s">
        <v>83</v>
      </c>
      <c r="D53" s="369"/>
      <c r="E53" s="373"/>
      <c r="F53" s="331"/>
      <c r="G53" s="331"/>
      <c r="H53" s="320"/>
    </row>
    <row r="54" spans="1:8">
      <c r="A54" s="335"/>
      <c r="B54" s="368"/>
      <c r="C54" s="372"/>
      <c r="D54" s="372"/>
      <c r="E54" s="321"/>
      <c r="F54" s="341"/>
      <c r="G54" s="341"/>
      <c r="H54" s="322"/>
    </row>
    <row r="55" spans="1:8">
      <c r="A55" s="335"/>
      <c r="B55" s="368"/>
      <c r="C55" s="372"/>
      <c r="D55" s="372"/>
      <c r="E55" s="321"/>
      <c r="F55" s="341"/>
      <c r="G55" s="341"/>
      <c r="H55" s="322"/>
    </row>
    <row r="56" spans="1:8">
      <c r="A56" s="335"/>
      <c r="B56" s="368"/>
      <c r="C56" s="372"/>
      <c r="D56" s="372"/>
      <c r="E56" s="321"/>
      <c r="F56" s="341"/>
      <c r="G56" s="341"/>
      <c r="H56" s="322"/>
    </row>
    <row r="57" spans="1:8" ht="16" thickBot="1">
      <c r="A57" s="335"/>
      <c r="B57" s="368"/>
      <c r="C57" s="372"/>
      <c r="D57" s="372"/>
      <c r="E57" s="321" t="s">
        <v>47</v>
      </c>
      <c r="F57" s="341"/>
      <c r="G57" s="341"/>
      <c r="H57" s="322"/>
    </row>
    <row r="58" spans="1:8" ht="16" thickBot="1">
      <c r="A58" s="44" t="s">
        <v>11</v>
      </c>
      <c r="B58" s="83" t="s">
        <v>160</v>
      </c>
      <c r="C58" s="369" t="s">
        <v>83</v>
      </c>
      <c r="D58" s="331"/>
      <c r="E58" s="373" t="s">
        <v>161</v>
      </c>
      <c r="F58" s="331"/>
      <c r="G58" s="331"/>
      <c r="H58" s="320"/>
    </row>
    <row r="59" spans="1:8">
      <c r="A59" s="349" t="s">
        <v>98</v>
      </c>
      <c r="B59" s="367" t="s">
        <v>162</v>
      </c>
      <c r="C59" s="369" t="s">
        <v>83</v>
      </c>
      <c r="D59" s="369"/>
      <c r="E59" s="373" t="s">
        <v>161</v>
      </c>
      <c r="F59" s="331"/>
      <c r="G59" s="331"/>
      <c r="H59" s="320"/>
    </row>
    <row r="60" spans="1:8" ht="16" thickBot="1">
      <c r="A60" s="351"/>
      <c r="B60" s="374"/>
      <c r="C60" s="375"/>
      <c r="D60" s="375"/>
      <c r="E60" s="323"/>
      <c r="F60" s="330"/>
      <c r="G60" s="330"/>
      <c r="H60" s="324"/>
    </row>
    <row r="61" spans="1:8">
      <c r="A61" s="350" t="s">
        <v>10</v>
      </c>
      <c r="B61" s="343" t="s">
        <v>166</v>
      </c>
      <c r="C61" s="372" t="s">
        <v>83</v>
      </c>
      <c r="D61" s="372"/>
      <c r="E61" s="321"/>
      <c r="F61" s="341"/>
      <c r="G61" s="341"/>
      <c r="H61" s="322"/>
    </row>
    <row r="62" spans="1:8" ht="16" thickBot="1">
      <c r="A62" s="351"/>
      <c r="B62" s="344"/>
      <c r="C62" s="375"/>
      <c r="D62" s="375"/>
      <c r="E62" s="323"/>
      <c r="F62" s="330"/>
      <c r="G62" s="330"/>
      <c r="H62" s="324"/>
    </row>
    <row r="63" spans="1:8" ht="16" thickBot="1">
      <c r="A63" s="43" t="s">
        <v>9</v>
      </c>
      <c r="B63" s="84" t="s">
        <v>12</v>
      </c>
      <c r="C63" s="376" t="s">
        <v>83</v>
      </c>
      <c r="D63" s="377"/>
      <c r="E63" s="323"/>
      <c r="F63" s="330"/>
      <c r="G63" s="330"/>
      <c r="H63" s="324"/>
    </row>
    <row r="64" spans="1:8">
      <c r="A64" s="335" t="s">
        <v>99</v>
      </c>
      <c r="B64" s="368" t="s">
        <v>167</v>
      </c>
      <c r="C64" s="372" t="s">
        <v>83</v>
      </c>
      <c r="D64" s="372"/>
      <c r="E64" s="321"/>
      <c r="F64" s="341"/>
      <c r="G64" s="341"/>
      <c r="H64" s="322"/>
    </row>
    <row r="65" spans="1:8">
      <c r="A65" s="335"/>
      <c r="B65" s="368"/>
      <c r="C65" s="372"/>
      <c r="D65" s="372"/>
      <c r="E65" s="321"/>
      <c r="F65" s="341"/>
      <c r="G65" s="341"/>
      <c r="H65" s="322"/>
    </row>
    <row r="66" spans="1:8">
      <c r="A66" s="335"/>
      <c r="B66" s="368"/>
      <c r="C66" s="372"/>
      <c r="D66" s="372"/>
      <c r="E66" s="321"/>
      <c r="F66" s="341"/>
      <c r="G66" s="341"/>
      <c r="H66" s="322"/>
    </row>
    <row r="67" spans="1:8" ht="16" thickBot="1">
      <c r="A67" s="336"/>
      <c r="B67" s="374"/>
      <c r="C67" s="375"/>
      <c r="D67" s="375"/>
      <c r="E67" s="323" t="s">
        <v>63</v>
      </c>
      <c r="F67" s="330"/>
      <c r="G67" s="330"/>
      <c r="H67" s="324"/>
    </row>
    <row r="68" spans="1:8">
      <c r="A68" s="335" t="s">
        <v>100</v>
      </c>
      <c r="B68" s="368" t="s">
        <v>168</v>
      </c>
      <c r="C68" s="372" t="s">
        <v>83</v>
      </c>
      <c r="D68" s="372"/>
      <c r="E68" s="321"/>
      <c r="F68" s="341"/>
      <c r="G68" s="341"/>
      <c r="H68" s="322"/>
    </row>
    <row r="69" spans="1:8">
      <c r="A69" s="335"/>
      <c r="B69" s="368"/>
      <c r="C69" s="372"/>
      <c r="D69" s="372"/>
      <c r="E69" s="321"/>
      <c r="F69" s="341"/>
      <c r="G69" s="341"/>
      <c r="H69" s="322"/>
    </row>
    <row r="70" spans="1:8">
      <c r="A70" s="335"/>
      <c r="B70" s="368"/>
      <c r="C70" s="372"/>
      <c r="D70" s="372"/>
      <c r="E70" s="321"/>
      <c r="F70" s="341"/>
      <c r="G70" s="341"/>
      <c r="H70" s="322"/>
    </row>
    <row r="71" spans="1:8" ht="16" thickBot="1">
      <c r="A71" s="336"/>
      <c r="B71" s="374"/>
      <c r="C71" s="375"/>
      <c r="D71" s="375"/>
      <c r="E71" s="323" t="s">
        <v>63</v>
      </c>
      <c r="F71" s="330"/>
      <c r="G71" s="330"/>
      <c r="H71" s="324"/>
    </row>
    <row r="73" spans="1:8">
      <c r="A73" s="1" t="s">
        <v>263</v>
      </c>
    </row>
    <row r="74" spans="1:8" s="183" customFormat="1">
      <c r="A74" s="182" t="s">
        <v>266</v>
      </c>
    </row>
    <row r="75" spans="1:8" s="183" customFormat="1">
      <c r="A75" s="183" t="s">
        <v>267</v>
      </c>
    </row>
    <row r="76" spans="1:8" s="183" customFormat="1">
      <c r="A76" s="184" t="s">
        <v>268</v>
      </c>
    </row>
    <row r="77" spans="1:8" s="183" customFormat="1">
      <c r="A77" s="184" t="s">
        <v>269</v>
      </c>
    </row>
    <row r="78" spans="1:8" s="183" customFormat="1">
      <c r="A78" s="182" t="s">
        <v>270</v>
      </c>
    </row>
    <row r="84" spans="2:9">
      <c r="B84" s="2"/>
      <c r="C84" s="2"/>
      <c r="D84" s="2"/>
      <c r="E84" s="2"/>
      <c r="F84" s="2"/>
      <c r="G84" s="2"/>
      <c r="H84" s="2"/>
      <c r="I84" s="2"/>
    </row>
    <row r="85" spans="2:9">
      <c r="B85" s="2"/>
      <c r="C85" s="2"/>
      <c r="D85" s="2"/>
      <c r="E85" s="2"/>
      <c r="F85" s="2"/>
      <c r="G85" s="2"/>
      <c r="H85" s="2"/>
      <c r="I85" s="2"/>
    </row>
  </sheetData>
  <mergeCells count="111">
    <mergeCell ref="A68:A71"/>
    <mergeCell ref="B68:B71"/>
    <mergeCell ref="C68:D71"/>
    <mergeCell ref="E71:H71"/>
    <mergeCell ref="E68:H70"/>
    <mergeCell ref="E63:H63"/>
    <mergeCell ref="C63:D63"/>
    <mergeCell ref="A64:A67"/>
    <mergeCell ref="C64:D67"/>
    <mergeCell ref="E67:H67"/>
    <mergeCell ref="C58:D58"/>
    <mergeCell ref="E58:H58"/>
    <mergeCell ref="A59:A60"/>
    <mergeCell ref="B59:B60"/>
    <mergeCell ref="C59:D60"/>
    <mergeCell ref="E59:H60"/>
    <mergeCell ref="E64:H66"/>
    <mergeCell ref="B64:B67"/>
    <mergeCell ref="C61:D62"/>
    <mergeCell ref="B61:B62"/>
    <mergeCell ref="A61:A62"/>
    <mergeCell ref="E61:H62"/>
    <mergeCell ref="A49:A52"/>
    <mergeCell ref="E57:H57"/>
    <mergeCell ref="B49:B52"/>
    <mergeCell ref="B53:B57"/>
    <mergeCell ref="A53:A57"/>
    <mergeCell ref="C53:D57"/>
    <mergeCell ref="E53:H56"/>
    <mergeCell ref="C49:D52"/>
    <mergeCell ref="E49:H52"/>
    <mergeCell ref="A42:A44"/>
    <mergeCell ref="B42:B44"/>
    <mergeCell ref="C42:D44"/>
    <mergeCell ref="E42:H44"/>
    <mergeCell ref="A40:A41"/>
    <mergeCell ref="B40:B41"/>
    <mergeCell ref="A45:A46"/>
    <mergeCell ref="A47:A48"/>
    <mergeCell ref="B47:B48"/>
    <mergeCell ref="C47:D48"/>
    <mergeCell ref="E47:H48"/>
    <mergeCell ref="C40:D41"/>
    <mergeCell ref="E40:H41"/>
    <mergeCell ref="E45:H46"/>
    <mergeCell ref="C45:D46"/>
    <mergeCell ref="B45:B46"/>
    <mergeCell ref="A34:A36"/>
    <mergeCell ref="C37:D38"/>
    <mergeCell ref="A37:A38"/>
    <mergeCell ref="B37:B38"/>
    <mergeCell ref="C34:D36"/>
    <mergeCell ref="E34:H35"/>
    <mergeCell ref="E36:H36"/>
    <mergeCell ref="B34:B36"/>
    <mergeCell ref="C39:D39"/>
    <mergeCell ref="E39:H39"/>
    <mergeCell ref="E23:H23"/>
    <mergeCell ref="E24:H26"/>
    <mergeCell ref="E31:H33"/>
    <mergeCell ref="E27:H30"/>
    <mergeCell ref="E37:H37"/>
    <mergeCell ref="E38:H38"/>
    <mergeCell ref="E2:H2"/>
    <mergeCell ref="E3:H10"/>
    <mergeCell ref="E11:H11"/>
    <mergeCell ref="E12:H15"/>
    <mergeCell ref="E16:H16"/>
    <mergeCell ref="E17:H22"/>
    <mergeCell ref="C31:D33"/>
    <mergeCell ref="A31:A33"/>
    <mergeCell ref="B31:B33"/>
    <mergeCell ref="A24:A26"/>
    <mergeCell ref="B24:B26"/>
    <mergeCell ref="C24:D26"/>
    <mergeCell ref="A27:A30"/>
    <mergeCell ref="B27:B30"/>
    <mergeCell ref="C27:D30"/>
    <mergeCell ref="C12:D12"/>
    <mergeCell ref="A3:A11"/>
    <mergeCell ref="B12:B16"/>
    <mergeCell ref="A12:A16"/>
    <mergeCell ref="C2:D2"/>
    <mergeCell ref="C17:D19"/>
    <mergeCell ref="B17:B23"/>
    <mergeCell ref="C20:D23"/>
    <mergeCell ref="A17:A23"/>
    <mergeCell ref="C13:D13"/>
    <mergeCell ref="C14:D14"/>
    <mergeCell ref="C15:D16"/>
    <mergeCell ref="C3:D3"/>
    <mergeCell ref="C4:D4"/>
    <mergeCell ref="A1:H1"/>
    <mergeCell ref="J2:O4"/>
    <mergeCell ref="J1:O1"/>
    <mergeCell ref="J5:O5"/>
    <mergeCell ref="K6:L6"/>
    <mergeCell ref="M6:O6"/>
    <mergeCell ref="C5:D5"/>
    <mergeCell ref="C6:D6"/>
    <mergeCell ref="C7:D11"/>
    <mergeCell ref="B3:B11"/>
    <mergeCell ref="J13:J15"/>
    <mergeCell ref="K13:L15"/>
    <mergeCell ref="M7:O9"/>
    <mergeCell ref="M10:O12"/>
    <mergeCell ref="M13:O15"/>
    <mergeCell ref="J7:J9"/>
    <mergeCell ref="K7:L9"/>
    <mergeCell ref="J10:J12"/>
    <mergeCell ref="K10:L1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937FAB-DF83-9949-8581-EB052822A758}">
  <dimension ref="A1:AA63"/>
  <sheetViews>
    <sheetView zoomScale="83" workbookViewId="0">
      <selection sqref="A1:A2"/>
    </sheetView>
  </sheetViews>
  <sheetFormatPr baseColWidth="10" defaultRowHeight="15"/>
  <cols>
    <col min="1" max="1" width="18.33203125" style="15" customWidth="1"/>
    <col min="2" max="2" width="14.33203125" style="15" customWidth="1"/>
    <col min="3" max="3" width="9.83203125" style="15" customWidth="1"/>
    <col min="4" max="4" width="13.6640625" style="15" bestFit="1" customWidth="1"/>
    <col min="5" max="5" width="13.33203125" style="15" customWidth="1"/>
    <col min="6" max="6" width="8.33203125" style="15" customWidth="1"/>
    <col min="7" max="7" width="9.5" style="15" customWidth="1"/>
    <col min="8" max="8" width="25" style="15" bestFit="1" customWidth="1"/>
    <col min="9" max="9" width="11.83203125" style="15" bestFit="1" customWidth="1"/>
    <col min="10" max="10" width="11.83203125" style="15" customWidth="1"/>
    <col min="11" max="11" width="10.83203125" style="15"/>
    <col min="12" max="13" width="9" style="15" customWidth="1"/>
    <col min="14" max="15" width="10.83203125" style="15"/>
    <col min="16" max="16" width="13.33203125" style="15" customWidth="1"/>
    <col min="17" max="17" width="16.5" style="15" customWidth="1"/>
    <col min="18" max="18" width="13.83203125" style="15" customWidth="1"/>
    <col min="19" max="19" width="10.83203125" style="15"/>
    <col min="20" max="20" width="12.33203125" style="15" customWidth="1"/>
    <col min="21" max="21" width="12" style="15" customWidth="1"/>
    <col min="22" max="22" width="14.5" style="15" customWidth="1"/>
    <col min="23" max="23" width="12.33203125" style="15" customWidth="1"/>
    <col min="24" max="24" width="10.83203125" style="15"/>
    <col min="25" max="25" width="11" style="15" customWidth="1"/>
    <col min="26" max="26" width="16" style="15" customWidth="1"/>
    <col min="27" max="27" width="19.1640625" style="15" customWidth="1"/>
    <col min="28" max="16384" width="10.83203125" style="15"/>
  </cols>
  <sheetData>
    <row r="1" spans="1:27" ht="80">
      <c r="A1" s="334" t="s">
        <v>25</v>
      </c>
      <c r="B1" s="383" t="s">
        <v>49</v>
      </c>
      <c r="C1" s="45" t="s">
        <v>41</v>
      </c>
      <c r="D1" s="45"/>
      <c r="E1" s="45" t="s">
        <v>46</v>
      </c>
      <c r="F1" s="45"/>
      <c r="G1" s="45" t="s">
        <v>42</v>
      </c>
      <c r="H1" s="45" t="s">
        <v>43</v>
      </c>
      <c r="I1" s="46" t="s">
        <v>45</v>
      </c>
      <c r="J1" s="45" t="s">
        <v>101</v>
      </c>
      <c r="K1" s="45" t="s">
        <v>102</v>
      </c>
      <c r="L1" s="45" t="s">
        <v>103</v>
      </c>
      <c r="M1" s="45" t="s">
        <v>104</v>
      </c>
      <c r="N1" s="45" t="s">
        <v>105</v>
      </c>
      <c r="O1" s="45" t="s">
        <v>40</v>
      </c>
      <c r="P1" s="45" t="s">
        <v>58</v>
      </c>
      <c r="Q1" s="45" t="s">
        <v>81</v>
      </c>
      <c r="R1" s="45" t="s">
        <v>84</v>
      </c>
      <c r="S1" s="45" t="s">
        <v>82</v>
      </c>
      <c r="T1" s="45" t="s">
        <v>62</v>
      </c>
      <c r="U1" s="45" t="s">
        <v>59</v>
      </c>
      <c r="V1" s="45" t="s">
        <v>60</v>
      </c>
      <c r="W1" s="45" t="s">
        <v>61</v>
      </c>
      <c r="X1" s="45" t="s">
        <v>12</v>
      </c>
      <c r="Y1" s="45" t="s">
        <v>106</v>
      </c>
      <c r="Z1" s="45" t="s">
        <v>64</v>
      </c>
      <c r="AA1" s="47" t="s">
        <v>65</v>
      </c>
    </row>
    <row r="2" spans="1:27" ht="20" thickBot="1">
      <c r="A2" s="336"/>
      <c r="B2" s="384"/>
      <c r="C2" s="62" t="s">
        <v>2</v>
      </c>
      <c r="D2" s="62" t="s">
        <v>88</v>
      </c>
      <c r="E2" s="62" t="s">
        <v>0</v>
      </c>
      <c r="F2" s="62" t="s">
        <v>36</v>
      </c>
      <c r="G2" s="63" t="s">
        <v>44</v>
      </c>
      <c r="H2" s="63" t="s">
        <v>1</v>
      </c>
      <c r="I2" s="64" t="s">
        <v>37</v>
      </c>
      <c r="J2" s="63" t="s">
        <v>131</v>
      </c>
      <c r="K2" s="63" t="s">
        <v>89</v>
      </c>
      <c r="L2" s="63" t="s">
        <v>90</v>
      </c>
      <c r="M2" s="63" t="s">
        <v>91</v>
      </c>
      <c r="N2" s="63" t="s">
        <v>92</v>
      </c>
      <c r="O2" s="62" t="s">
        <v>3</v>
      </c>
      <c r="P2" s="62" t="s">
        <v>93</v>
      </c>
      <c r="Q2" s="62" t="s">
        <v>94</v>
      </c>
      <c r="R2" s="65" t="s">
        <v>95</v>
      </c>
      <c r="S2" s="65" t="s">
        <v>96</v>
      </c>
      <c r="T2" s="62" t="s">
        <v>97</v>
      </c>
      <c r="U2" s="62" t="s">
        <v>11</v>
      </c>
      <c r="V2" s="62" t="s">
        <v>98</v>
      </c>
      <c r="W2" s="62" t="s">
        <v>10</v>
      </c>
      <c r="X2" s="62" t="s">
        <v>9</v>
      </c>
      <c r="Y2" s="62" t="s">
        <v>97</v>
      </c>
      <c r="Z2" s="62" t="s">
        <v>99</v>
      </c>
      <c r="AA2" s="66" t="s">
        <v>100</v>
      </c>
    </row>
    <row r="3" spans="1:27" ht="16">
      <c r="A3" s="385" t="s">
        <v>56</v>
      </c>
      <c r="B3" s="67" t="s">
        <v>107</v>
      </c>
      <c r="C3" s="68">
        <v>0.3</v>
      </c>
      <c r="D3" s="69">
        <f>K3/L3</f>
        <v>1340</v>
      </c>
      <c r="E3" s="70">
        <f>IF(D3=1,1,(IF((AND(D3&gt;1,D3&lt;2)),0.75,(IF((AND(D3&gt;2,D3&lt;4)),0.5,(IF(D3&gt;4,0.25,0)))))))</f>
        <v>0.25</v>
      </c>
      <c r="F3" s="70">
        <v>1</v>
      </c>
      <c r="G3" s="69">
        <f>(J3/K3)^F3</f>
        <v>3.2835820895522387E-2</v>
      </c>
      <c r="H3" s="71">
        <f>((1-I3)/I3)*(((1-I3)*M3)+(I3*N3))</f>
        <v>66.194622065608741</v>
      </c>
      <c r="I3" s="72">
        <f>'4. Mineralogy wt.%'!B5/100</f>
        <v>6.3898827117177148E-2</v>
      </c>
      <c r="J3" s="70">
        <f>'6. Grain Size Distribution'!R29/10000</f>
        <v>2.1999999999999999E-2</v>
      </c>
      <c r="K3" s="70">
        <f>6700/10000</f>
        <v>0.67</v>
      </c>
      <c r="L3" s="70">
        <f>5/10000</f>
        <v>5.0000000000000001E-4</v>
      </c>
      <c r="M3" s="70">
        <v>4.6100000000000003</v>
      </c>
      <c r="N3" s="69">
        <f>'4. Mineralogy wt.%'!B13</f>
        <v>3.1778074558844294</v>
      </c>
      <c r="O3" s="69">
        <f>C3*E3*G3*H3</f>
        <v>0.16301660657948419</v>
      </c>
      <c r="P3" s="73">
        <v>120000</v>
      </c>
      <c r="Q3" s="73">
        <v>3750</v>
      </c>
      <c r="R3" s="74">
        <f>(O3*((K3)^3)*((1/Q3)-(1/P3)))+(O3*((K3)^3)*((1/P3)))</f>
        <v>1.3074496971910778E-5</v>
      </c>
      <c r="S3" s="75" t="s">
        <v>83</v>
      </c>
      <c r="T3" s="72">
        <f>SQRT(R3)</f>
        <v>3.6158673885958231E-3</v>
      </c>
      <c r="U3" s="70">
        <v>189792</v>
      </c>
      <c r="V3" s="70">
        <v>24201</v>
      </c>
      <c r="W3" s="69">
        <f>V3/U3</f>
        <v>0.12751327769347495</v>
      </c>
      <c r="X3" s="69">
        <f>1-W3</f>
        <v>0.87248672230652502</v>
      </c>
      <c r="Y3" s="72">
        <f>SQRT(R3)</f>
        <v>3.6158673885958231E-3</v>
      </c>
      <c r="Z3" s="181" t="s">
        <v>83</v>
      </c>
      <c r="AA3" s="76">
        <f>SQRT((T3^2))</f>
        <v>3.6158673885958231E-3</v>
      </c>
    </row>
    <row r="4" spans="1:27" ht="16">
      <c r="A4" s="386"/>
      <c r="B4" s="34" t="s">
        <v>8</v>
      </c>
      <c r="C4" s="19">
        <f>'5. Roundness'!I6</f>
        <v>0.30705647840531564</v>
      </c>
      <c r="D4" s="20">
        <f>K4/L4</f>
        <v>3.35</v>
      </c>
      <c r="E4" s="21">
        <f>IF(D4=1,1,(IF((AND(D4&gt;1,D4&lt;2)),0.75,(IF((AND(D4&gt;2,D4&lt;4)),0.5,(IF(D4&gt;4,0.25,0)))))))</f>
        <v>0.5</v>
      </c>
      <c r="F4" s="21">
        <v>1</v>
      </c>
      <c r="G4" s="20">
        <f t="shared" ref="G4:G9" si="0">(J4/K4)^F4</f>
        <v>3.7313432835820892E-2</v>
      </c>
      <c r="H4" s="22">
        <f t="shared" ref="H4:H8" si="1">((1-I4)/I4)*(((1-I4)*M4)+(I4*N4))</f>
        <v>76.693145448429661</v>
      </c>
      <c r="I4" s="23">
        <f>'4. Mineralogy wt.%'!C5/100</f>
        <v>5.5778465330423702E-2</v>
      </c>
      <c r="J4" s="21">
        <f>'6. Grain Size Distribution'!R30/10000</f>
        <v>2.5000000000000001E-2</v>
      </c>
      <c r="K4" s="21">
        <f>6700/10000</f>
        <v>0.67</v>
      </c>
      <c r="L4" s="21">
        <f>2000/10000</f>
        <v>0.2</v>
      </c>
      <c r="M4" s="21">
        <v>4.6100000000000003</v>
      </c>
      <c r="N4" s="20">
        <f>'4. Mineralogy wt.%'!C13</f>
        <v>3.1852939160404103</v>
      </c>
      <c r="O4" s="20">
        <f t="shared" ref="O4:O9" si="2">C4*E4*G4*H4</f>
        <v>0.43934938729890805</v>
      </c>
      <c r="P4" s="24">
        <v>849.15</v>
      </c>
      <c r="Q4" s="25">
        <v>30.09</v>
      </c>
      <c r="R4" s="26" t="s">
        <v>83</v>
      </c>
      <c r="S4" s="27">
        <f t="shared" ref="S4:S9" si="3">(O4*((K4)^3)*((1/Q4)-(1/P4)))+$R$3</f>
        <v>4.2489535240373306E-3</v>
      </c>
      <c r="T4" s="23">
        <f>SQRT(S4)</f>
        <v>6.5183997453649084E-2</v>
      </c>
      <c r="U4" s="21">
        <v>306</v>
      </c>
      <c r="V4" s="21">
        <v>280</v>
      </c>
      <c r="W4" s="20">
        <f t="shared" ref="W4:W9" si="4">V4/U4</f>
        <v>0.91503267973856206</v>
      </c>
      <c r="X4" s="20">
        <f t="shared" ref="X4:X9" si="5">1-W4</f>
        <v>8.496732026143794E-2</v>
      </c>
      <c r="Y4" s="23">
        <f>SQRT(S4)</f>
        <v>6.5183997453649084E-2</v>
      </c>
      <c r="Z4" s="23">
        <f t="shared" ref="Z4:Z8" si="6">SQRT((W4*X4)/U4)</f>
        <v>1.5939825032152882E-2</v>
      </c>
      <c r="AA4" s="48">
        <f t="shared" ref="AA4:AA8" si="7">SQRT((T4^2)+(Z4^2))</f>
        <v>6.7104631331175488E-2</v>
      </c>
    </row>
    <row r="5" spans="1:27" ht="16">
      <c r="A5" s="386"/>
      <c r="B5" s="34" t="s">
        <v>7</v>
      </c>
      <c r="C5" s="19">
        <f>'5. Roundness'!I8</f>
        <v>0.28859733333333332</v>
      </c>
      <c r="D5" s="20">
        <f t="shared" ref="D5:D9" si="8">K5/L5</f>
        <v>2</v>
      </c>
      <c r="E5" s="21">
        <v>0.5</v>
      </c>
      <c r="F5" s="21">
        <v>1</v>
      </c>
      <c r="G5" s="20">
        <f t="shared" si="0"/>
        <v>0.10999999999999999</v>
      </c>
      <c r="H5" s="22">
        <f t="shared" si="1"/>
        <v>66.905785480645235</v>
      </c>
      <c r="I5" s="23">
        <f>'4. Mineralogy wt.%'!D5/100</f>
        <v>6.3292073512769498E-2</v>
      </c>
      <c r="J5" s="21">
        <f>'6. Grain Size Distribution'!R31/10000</f>
        <v>2.1999999999999999E-2</v>
      </c>
      <c r="K5" s="21">
        <f>2000/10000</f>
        <v>0.2</v>
      </c>
      <c r="L5" s="21">
        <f>1000/10000</f>
        <v>0.1</v>
      </c>
      <c r="M5" s="21">
        <v>4.6100000000000003</v>
      </c>
      <c r="N5" s="20">
        <f>'4. Mineralogy wt.%'!D13</f>
        <v>3.1995930848845782</v>
      </c>
      <c r="O5" s="20">
        <f t="shared" si="2"/>
        <v>1.0619857200857443</v>
      </c>
      <c r="P5" s="24">
        <f>6.7+57.73+40.01-1.23-1.24-1.18</f>
        <v>100.78999999999999</v>
      </c>
      <c r="Q5" s="25">
        <v>10.92</v>
      </c>
      <c r="R5" s="26" t="s">
        <v>83</v>
      </c>
      <c r="S5" s="27">
        <f t="shared" si="3"/>
        <v>7.0679307016388365E-4</v>
      </c>
      <c r="T5" s="23">
        <f t="shared" ref="T5:T9" si="9">SQRT(S5)</f>
        <v>2.6585580117121456E-2</v>
      </c>
      <c r="U5" s="21">
        <v>1125</v>
      </c>
      <c r="V5" s="21">
        <v>875</v>
      </c>
      <c r="W5" s="20">
        <f t="shared" si="4"/>
        <v>0.77777777777777779</v>
      </c>
      <c r="X5" s="20">
        <f t="shared" si="5"/>
        <v>0.22222222222222221</v>
      </c>
      <c r="Y5" s="23">
        <f t="shared" ref="Y5:Y7" si="10">SQRT(S5)</f>
        <v>2.6585580117121456E-2</v>
      </c>
      <c r="Z5" s="23">
        <f t="shared" si="6"/>
        <v>1.2394963356060378E-2</v>
      </c>
      <c r="AA5" s="48">
        <f t="shared" si="7"/>
        <v>2.9333056212436561E-2</v>
      </c>
    </row>
    <row r="6" spans="1:27" ht="16">
      <c r="A6" s="386"/>
      <c r="B6" s="34" t="s">
        <v>6</v>
      </c>
      <c r="C6" s="19">
        <f>'5. Roundness'!I10</f>
        <v>0.26186107470511139</v>
      </c>
      <c r="D6" s="20">
        <f t="shared" si="8"/>
        <v>2.3529411764705883</v>
      </c>
      <c r="E6" s="21">
        <f t="shared" ref="E6:E8" si="11">IF(D6=1,1,(IF((AND(D6&gt;1,D6&lt;2)),0.75,(IF((AND(D6&gt;2,D6&lt;4)),0.5,(IF(D6&gt;4,0.25,0)))))))</f>
        <v>0.5</v>
      </c>
      <c r="F6" s="21">
        <v>1</v>
      </c>
      <c r="G6" s="20">
        <f t="shared" si="0"/>
        <v>0.21999999999999997</v>
      </c>
      <c r="H6" s="22">
        <f t="shared" si="1"/>
        <v>65.515431791607881</v>
      </c>
      <c r="I6" s="23">
        <f>'4. Mineralogy wt.%'!E5/100</f>
        <v>6.4409832064960801E-2</v>
      </c>
      <c r="J6" s="21">
        <f>'6. Grain Size Distribution'!R32/10000</f>
        <v>2.1999999999999999E-2</v>
      </c>
      <c r="K6" s="21">
        <f>1000/10000</f>
        <v>0.1</v>
      </c>
      <c r="L6" s="21">
        <f>425/10000</f>
        <v>4.2500000000000003E-2</v>
      </c>
      <c r="M6" s="21">
        <v>4.6100000000000003</v>
      </c>
      <c r="N6" s="20">
        <f>'4. Mineralogy wt.%'!E13</f>
        <v>3.0628567941185234</v>
      </c>
      <c r="O6" s="20">
        <f t="shared" si="2"/>
        <v>1.8871535516591844</v>
      </c>
      <c r="P6" s="24">
        <v>16.98</v>
      </c>
      <c r="Q6" s="25">
        <v>4.0199999999999996</v>
      </c>
      <c r="R6" s="26" t="s">
        <v>83</v>
      </c>
      <c r="S6" s="27">
        <f t="shared" si="3"/>
        <v>3.7137589383774418E-4</v>
      </c>
      <c r="T6" s="23">
        <f t="shared" si="9"/>
        <v>1.9271115531741906E-2</v>
      </c>
      <c r="U6" s="28">
        <v>763</v>
      </c>
      <c r="V6" s="21">
        <v>386</v>
      </c>
      <c r="W6" s="20">
        <f t="shared" si="4"/>
        <v>0.50589777195281782</v>
      </c>
      <c r="X6" s="20">
        <f t="shared" si="5"/>
        <v>0.49410222804718218</v>
      </c>
      <c r="Y6" s="23">
        <f t="shared" si="10"/>
        <v>1.9271115531741906E-2</v>
      </c>
      <c r="Z6" s="23">
        <f t="shared" si="6"/>
        <v>1.8099956057599013E-2</v>
      </c>
      <c r="AA6" s="48">
        <f t="shared" si="7"/>
        <v>2.643831127596389E-2</v>
      </c>
    </row>
    <row r="7" spans="1:27" ht="16">
      <c r="A7" s="386"/>
      <c r="B7" s="34" t="s">
        <v>5</v>
      </c>
      <c r="C7" s="19">
        <f>'5. Roundness'!I12</f>
        <v>0.26225067873303165</v>
      </c>
      <c r="D7" s="20">
        <f t="shared" si="8"/>
        <v>2.8333333333333335</v>
      </c>
      <c r="E7" s="21">
        <f t="shared" si="11"/>
        <v>0.5</v>
      </c>
      <c r="F7" s="21">
        <v>1</v>
      </c>
      <c r="G7" s="20">
        <f t="shared" si="0"/>
        <v>0.4</v>
      </c>
      <c r="H7" s="22">
        <f t="shared" si="1"/>
        <v>51.222916681537498</v>
      </c>
      <c r="I7" s="23">
        <f>'4. Mineralogy wt.%'!F5/100</f>
        <v>8.0596176753480811E-2</v>
      </c>
      <c r="J7" s="21">
        <f>'6. Grain Size Distribution'!R33/10000</f>
        <v>1.7000000000000001E-2</v>
      </c>
      <c r="K7" s="21">
        <f>425/10000</f>
        <v>4.2500000000000003E-2</v>
      </c>
      <c r="L7" s="21">
        <f>150/10000</f>
        <v>1.4999999999999999E-2</v>
      </c>
      <c r="M7" s="21">
        <v>4.6100000000000003</v>
      </c>
      <c r="N7" s="20">
        <f>'4. Mineralogy wt.%'!F13</f>
        <v>3.1244435201370528</v>
      </c>
      <c r="O7" s="20">
        <f t="shared" si="2"/>
        <v>2.686648933283748</v>
      </c>
      <c r="P7" s="24">
        <f>6.07+5.24+4-1.18-1.22-1.19</f>
        <v>11.72</v>
      </c>
      <c r="Q7" s="25">
        <v>3.95</v>
      </c>
      <c r="R7" s="26" t="s">
        <v>83</v>
      </c>
      <c r="S7" s="27">
        <f t="shared" si="3"/>
        <v>4.7690269009615161E-5</v>
      </c>
      <c r="T7" s="23">
        <f t="shared" si="9"/>
        <v>6.9058141453137269E-3</v>
      </c>
      <c r="U7" s="28">
        <v>4420</v>
      </c>
      <c r="V7" s="21">
        <v>2861</v>
      </c>
      <c r="W7" s="20">
        <f t="shared" si="4"/>
        <v>0.6472850678733032</v>
      </c>
      <c r="X7" s="20">
        <f t="shared" si="5"/>
        <v>0.3527149321266968</v>
      </c>
      <c r="Y7" s="23">
        <f t="shared" si="10"/>
        <v>6.9058141453137269E-3</v>
      </c>
      <c r="Z7" s="23">
        <f t="shared" si="6"/>
        <v>7.1870155163340473E-3</v>
      </c>
      <c r="AA7" s="48">
        <f t="shared" si="7"/>
        <v>9.9671189940544764E-3</v>
      </c>
    </row>
    <row r="8" spans="1:27" ht="16">
      <c r="A8" s="386"/>
      <c r="B8" s="34" t="s">
        <v>4</v>
      </c>
      <c r="C8" s="19">
        <f>'5. Roundness'!I14</f>
        <v>0.29694973716067197</v>
      </c>
      <c r="D8" s="20">
        <f t="shared" si="8"/>
        <v>30</v>
      </c>
      <c r="E8" s="21">
        <f t="shared" si="11"/>
        <v>0.25</v>
      </c>
      <c r="F8" s="21">
        <v>1</v>
      </c>
      <c r="G8" s="20">
        <f t="shared" si="0"/>
        <v>0.35333333333333333</v>
      </c>
      <c r="H8" s="22">
        <f t="shared" si="1"/>
        <v>32.911199825280043</v>
      </c>
      <c r="I8" s="23">
        <f>'4. Mineralogy wt.%'!G5/100</f>
        <v>0.118957467561778</v>
      </c>
      <c r="J8" s="21">
        <f>'6. Grain Size Distribution'!R34/10000</f>
        <v>5.3E-3</v>
      </c>
      <c r="K8" s="21">
        <f>150/10000</f>
        <v>1.4999999999999999E-2</v>
      </c>
      <c r="L8" s="21">
        <f>5/10000</f>
        <v>5.0000000000000001E-4</v>
      </c>
      <c r="M8" s="21">
        <v>4.6100000000000003</v>
      </c>
      <c r="N8" s="20">
        <f>'4. Mineralogy wt.%'!G13</f>
        <v>3.2114897437203997</v>
      </c>
      <c r="O8" s="20">
        <f t="shared" si="2"/>
        <v>0.86327920550206816</v>
      </c>
      <c r="P8" s="24">
        <v>12.1</v>
      </c>
      <c r="Q8" s="25">
        <v>3.95</v>
      </c>
      <c r="R8" s="26" t="s">
        <v>83</v>
      </c>
      <c r="S8" s="27">
        <f t="shared" si="3"/>
        <v>1.3571318263810376E-5</v>
      </c>
      <c r="T8" s="23">
        <f t="shared" si="9"/>
        <v>3.6839270166237519E-3</v>
      </c>
      <c r="U8" s="21">
        <v>183183</v>
      </c>
      <c r="V8" s="21">
        <v>19799</v>
      </c>
      <c r="W8" s="20">
        <f t="shared" si="4"/>
        <v>0.10808317365694414</v>
      </c>
      <c r="X8" s="20">
        <f t="shared" si="5"/>
        <v>0.89191682634305591</v>
      </c>
      <c r="Y8" s="29">
        <f>SQRT(S8)</f>
        <v>3.6839270166237519E-3</v>
      </c>
      <c r="Z8" s="23">
        <f t="shared" si="6"/>
        <v>7.2543522392695898E-4</v>
      </c>
      <c r="AA8" s="48">
        <f t="shared" si="7"/>
        <v>3.7546736912712313E-3</v>
      </c>
    </row>
    <row r="9" spans="1:27" ht="17" thickBot="1">
      <c r="A9" s="49" t="s">
        <v>57</v>
      </c>
      <c r="B9" s="50" t="s">
        <v>35</v>
      </c>
      <c r="C9" s="51">
        <v>0.3</v>
      </c>
      <c r="D9" s="52">
        <f t="shared" si="8"/>
        <v>30</v>
      </c>
      <c r="E9" s="53">
        <v>0.5</v>
      </c>
      <c r="F9" s="53">
        <v>1</v>
      </c>
      <c r="G9" s="52">
        <f t="shared" si="0"/>
        <v>0.23333333333333334</v>
      </c>
      <c r="H9" s="54">
        <f>((1-I9)/I9)*(((1-I9)*M9)+(I9*N9))</f>
        <v>62.019318812213882</v>
      </c>
      <c r="I9" s="55">
        <f>'4. Mineralogy wt.%'!H5/100</f>
        <v>6.7925359875684002E-2</v>
      </c>
      <c r="J9" s="53">
        <f>'6. Grain Size Distribution'!R35/10000</f>
        <v>3.5000000000000001E-3</v>
      </c>
      <c r="K9" s="53">
        <f>150/10000</f>
        <v>1.4999999999999999E-2</v>
      </c>
      <c r="L9" s="53">
        <f>5/10000</f>
        <v>5.0000000000000001E-4</v>
      </c>
      <c r="M9" s="53">
        <v>4.6100000000000003</v>
      </c>
      <c r="N9" s="52">
        <f>'4. Mineralogy wt.%'!H13</f>
        <v>3.280391093560135</v>
      </c>
      <c r="O9" s="52">
        <f t="shared" si="2"/>
        <v>2.1706761584274856</v>
      </c>
      <c r="P9" s="56">
        <v>3750</v>
      </c>
      <c r="Q9" s="56">
        <v>4</v>
      </c>
      <c r="R9" s="57" t="s">
        <v>83</v>
      </c>
      <c r="S9" s="58">
        <f t="shared" si="3"/>
        <v>1.4904051372041385E-5</v>
      </c>
      <c r="T9" s="55">
        <f t="shared" si="9"/>
        <v>3.8605765595363323E-3</v>
      </c>
      <c r="U9" s="59">
        <v>82200</v>
      </c>
      <c r="V9" s="59">
        <v>75829</v>
      </c>
      <c r="W9" s="52">
        <f t="shared" si="4"/>
        <v>0.92249391727493912</v>
      </c>
      <c r="X9" s="52">
        <f t="shared" si="5"/>
        <v>7.7506082725060876E-2</v>
      </c>
      <c r="Y9" s="55">
        <f>SQRT(S9)</f>
        <v>3.8605765595363323E-3</v>
      </c>
      <c r="Z9" s="55">
        <f t="shared" ref="Z9" si="12">SQRT((W9*X9)/U9)</f>
        <v>9.3263936139032909E-4</v>
      </c>
      <c r="AA9" s="60">
        <f t="shared" ref="AA9" si="13">SQRT((T9^2)+(Z9^2))</f>
        <v>3.9716328569564365E-3</v>
      </c>
    </row>
    <row r="10" spans="1:27" ht="16" thickBot="1">
      <c r="A10" s="77"/>
      <c r="B10" s="78"/>
      <c r="C10" s="79"/>
      <c r="D10" s="79"/>
      <c r="E10" s="79"/>
      <c r="F10" s="79"/>
      <c r="G10" s="79"/>
      <c r="H10" s="79"/>
      <c r="I10" s="80"/>
      <c r="J10" s="79"/>
      <c r="K10" s="79"/>
      <c r="L10" s="79"/>
      <c r="M10" s="79"/>
      <c r="N10" s="79"/>
      <c r="O10" s="79"/>
      <c r="P10" s="81"/>
      <c r="Q10" s="81"/>
      <c r="R10" s="79"/>
      <c r="S10" s="79"/>
      <c r="T10" s="79"/>
      <c r="U10" s="79"/>
      <c r="V10" s="79"/>
      <c r="W10" s="79"/>
      <c r="X10" s="79"/>
      <c r="Y10" s="79"/>
      <c r="Z10" s="79"/>
      <c r="AA10" s="82"/>
    </row>
    <row r="11" spans="1:27" ht="16">
      <c r="A11" s="385" t="s">
        <v>77</v>
      </c>
      <c r="B11" s="67" t="s">
        <v>107</v>
      </c>
      <c r="C11" s="68">
        <v>0.3</v>
      </c>
      <c r="D11" s="69">
        <f>K11/L11</f>
        <v>1340</v>
      </c>
      <c r="E11" s="70">
        <f>IF(D11=1,1,(IF((AND(D11&gt;1,D11&lt;2)),0.75,(IF((AND(D11&gt;2,D11&lt;4)),0.5,(IF(D11&gt;4,0.25,0)))))))</f>
        <v>0.25</v>
      </c>
      <c r="F11" s="70">
        <v>1</v>
      </c>
      <c r="G11" s="69">
        <f>(J11/K11)^F11</f>
        <v>2.8358208955223878E-2</v>
      </c>
      <c r="H11" s="71">
        <f>((1-I11)/I11)*(((1-I11)*M11)+(I11*N11))</f>
        <v>51.653709150613452</v>
      </c>
      <c r="I11" s="72">
        <f>'4. Mineralogy wt.%'!B20/100</f>
        <v>8.5528296447526839E-2</v>
      </c>
      <c r="J11" s="70">
        <f>'6. Grain Size Distribution'!R67/10000</f>
        <v>1.9E-2</v>
      </c>
      <c r="K11" s="70">
        <f>6700/10000</f>
        <v>0.67</v>
      </c>
      <c r="L11" s="70">
        <f>5/10000</f>
        <v>5.0000000000000001E-4</v>
      </c>
      <c r="M11" s="70">
        <v>5.01</v>
      </c>
      <c r="N11" s="69">
        <f>'4. Mineralogy wt.%'!B28</f>
        <v>2.9176489467374549</v>
      </c>
      <c r="O11" s="69">
        <f>C11*E11*G11*H11</f>
        <v>0.10986050080540918</v>
      </c>
      <c r="P11" s="73">
        <v>116000</v>
      </c>
      <c r="Q11" s="73">
        <v>2854.74</v>
      </c>
      <c r="R11" s="74">
        <f>(O11*((K11)^3)*((1/Q11)-(1/P11)))+(O11*((K11)^3)*((1/P11)))</f>
        <v>1.1574424922668017E-5</v>
      </c>
      <c r="S11" s="75" t="s">
        <v>83</v>
      </c>
      <c r="T11" s="72">
        <f>SQRT(R11)</f>
        <v>3.4021206508100233E-3</v>
      </c>
      <c r="U11" s="70">
        <v>689173</v>
      </c>
      <c r="V11" s="70">
        <v>52273</v>
      </c>
      <c r="W11" s="69">
        <f>V11/U11</f>
        <v>7.5848879744273207E-2</v>
      </c>
      <c r="X11" s="69">
        <f>1-W11</f>
        <v>0.92415112025572677</v>
      </c>
      <c r="Y11" s="72">
        <f>SQRT(R11)</f>
        <v>3.4021206508100233E-3</v>
      </c>
      <c r="Z11" s="181" t="s">
        <v>83</v>
      </c>
      <c r="AA11" s="76">
        <f>SQRT((T11^2))</f>
        <v>3.4021206508100233E-3</v>
      </c>
    </row>
    <row r="12" spans="1:27" ht="16">
      <c r="A12" s="386"/>
      <c r="B12" s="34" t="s">
        <v>8</v>
      </c>
      <c r="C12" s="19">
        <f>'5. Roundness'!I20</f>
        <v>0.29807321772639694</v>
      </c>
      <c r="D12" s="20">
        <f>K12/L12</f>
        <v>3.35</v>
      </c>
      <c r="E12" s="21">
        <f>IF(D12=1,1,(IF((AND(D12&gt;1,D12&lt;2)),0.75,(IF((AND(D12&gt;2,D12&lt;4)),0.5,(IF(D12&gt;4,0.25,0)))))))</f>
        <v>0.5</v>
      </c>
      <c r="F12" s="21">
        <v>1</v>
      </c>
      <c r="G12" s="20">
        <f t="shared" ref="G12:G17" si="14">(J12/K12)^F12</f>
        <v>3.4328358208955224E-2</v>
      </c>
      <c r="H12" s="22">
        <f t="shared" ref="H12:H17" si="15">((1-I12)/I12)*(((1-I12)*M12)+(I12*N12))</f>
        <v>52.353702908748389</v>
      </c>
      <c r="I12" s="23">
        <f>'4. Mineralogy wt.%'!C20/100</f>
        <v>8.45189070934598E-2</v>
      </c>
      <c r="J12" s="21">
        <f>'6. Grain Size Distribution'!R68/10000</f>
        <v>2.3E-2</v>
      </c>
      <c r="K12" s="21">
        <f>6700/10000</f>
        <v>0.67</v>
      </c>
      <c r="L12" s="21">
        <f>2000/10000</f>
        <v>0.2</v>
      </c>
      <c r="M12" s="21">
        <v>5.01</v>
      </c>
      <c r="N12" s="20">
        <f>'4. Mineralogy wt.%'!C28</f>
        <v>2.9204160373903636</v>
      </c>
      <c r="O12" s="20">
        <f t="shared" ref="O12:O17" si="16">C12*E12*G12*H12</f>
        <v>0.26785107744459447</v>
      </c>
      <c r="P12" s="24">
        <v>605.35</v>
      </c>
      <c r="Q12" s="25">
        <v>47.06</v>
      </c>
      <c r="R12" s="26" t="s">
        <v>83</v>
      </c>
      <c r="S12" s="27">
        <f>(O12*((K12)^3)*((1/Q12)-(1/P12)))+$R$11</f>
        <v>1.5903455875733738E-3</v>
      </c>
      <c r="T12" s="23">
        <f t="shared" ref="T12:T17" si="17">SQRT(S12)</f>
        <v>3.98791372471042E-2</v>
      </c>
      <c r="U12" s="21">
        <v>519</v>
      </c>
      <c r="V12" s="21">
        <v>470</v>
      </c>
      <c r="W12" s="20">
        <f t="shared" ref="W12:W16" si="18">V12/U12</f>
        <v>0.90558766859344897</v>
      </c>
      <c r="X12" s="20">
        <f t="shared" ref="X12:X17" si="19">1-W12</f>
        <v>9.4412331406551031E-2</v>
      </c>
      <c r="Y12" s="23">
        <f>SQRT(S12)</f>
        <v>3.98791372471042E-2</v>
      </c>
      <c r="Z12" s="23">
        <f t="shared" ref="Z12:Z17" si="20">SQRT((W12*X12)/U12)</f>
        <v>1.2835001749636074E-2</v>
      </c>
      <c r="AA12" s="48">
        <f t="shared" ref="AA12:AA17" si="21">SQRT((T12^2)+(Z12^2))</f>
        <v>4.1893709044276979E-2</v>
      </c>
    </row>
    <row r="13" spans="1:27" ht="16">
      <c r="A13" s="386"/>
      <c r="B13" s="34" t="s">
        <v>7</v>
      </c>
      <c r="C13" s="19">
        <f>'5. Roundness'!I22</f>
        <v>0.29474825068845062</v>
      </c>
      <c r="D13" s="20">
        <f t="shared" ref="D13:D17" si="22">K13/L13</f>
        <v>2</v>
      </c>
      <c r="E13" s="21">
        <v>0.5</v>
      </c>
      <c r="F13" s="21">
        <v>1</v>
      </c>
      <c r="G13" s="20">
        <f t="shared" si="14"/>
        <v>0.10999999999999999</v>
      </c>
      <c r="H13" s="22">
        <f t="shared" si="15"/>
        <v>56.898408838944874</v>
      </c>
      <c r="I13" s="23">
        <f>'4. Mineralogy wt.%'!D20/100</f>
        <v>7.8497697230399399E-2</v>
      </c>
      <c r="J13" s="21">
        <f>'6. Grain Size Distribution'!R69/10000</f>
        <v>2.1999999999999999E-2</v>
      </c>
      <c r="K13" s="21">
        <f>2000/10000</f>
        <v>0.2</v>
      </c>
      <c r="L13" s="21">
        <f>1000/10000</f>
        <v>0.1</v>
      </c>
      <c r="M13" s="21">
        <v>5.01</v>
      </c>
      <c r="N13" s="20">
        <f>'4. Mineralogy wt.%'!D28</f>
        <v>2.9317420870531485</v>
      </c>
      <c r="O13" s="20">
        <f t="shared" si="16"/>
        <v>0.92238885597294029</v>
      </c>
      <c r="P13" s="24">
        <v>100.55</v>
      </c>
      <c r="Q13" s="25">
        <v>30</v>
      </c>
      <c r="R13" s="26" t="s">
        <v>83</v>
      </c>
      <c r="S13" s="27">
        <f t="shared" ref="S13:S17" si="23">(O13*((K13)^3)*((1/Q13)-(1/P13)))+$R$11</f>
        <v>1.8415730916305511E-4</v>
      </c>
      <c r="T13" s="23">
        <f t="shared" si="17"/>
        <v>1.3570457220118086E-2</v>
      </c>
      <c r="U13" s="21">
        <v>1803</v>
      </c>
      <c r="V13" s="21">
        <v>1297</v>
      </c>
      <c r="W13" s="20">
        <f t="shared" si="18"/>
        <v>0.71935662784248477</v>
      </c>
      <c r="X13" s="20">
        <f t="shared" si="19"/>
        <v>0.28064337215751523</v>
      </c>
      <c r="Y13" s="23">
        <f t="shared" ref="Y13:Y15" si="24">SQRT(S13)</f>
        <v>1.3570457220118086E-2</v>
      </c>
      <c r="Z13" s="23">
        <f t="shared" si="20"/>
        <v>1.0581607695465211E-2</v>
      </c>
      <c r="AA13" s="48">
        <f t="shared" si="21"/>
        <v>1.7208362228398832E-2</v>
      </c>
    </row>
    <row r="14" spans="1:27" ht="18" customHeight="1">
      <c r="A14" s="386"/>
      <c r="B14" s="34" t="s">
        <v>6</v>
      </c>
      <c r="C14" s="19">
        <f>'5. Roundness'!I24</f>
        <v>0.25448471615720525</v>
      </c>
      <c r="D14" s="20">
        <f t="shared" si="22"/>
        <v>2.3529411764705883</v>
      </c>
      <c r="E14" s="21">
        <f t="shared" ref="E14:E16" si="25">IF(D14=1,1,(IF((AND(D14&gt;1,D14&lt;2)),0.75,(IF((AND(D14&gt;2,D14&lt;4)),0.5,(IF(D14&gt;4,0.25,0)))))))</f>
        <v>0.5</v>
      </c>
      <c r="F14" s="21">
        <v>1</v>
      </c>
      <c r="G14" s="20">
        <f t="shared" si="14"/>
        <v>0.21999999999999997</v>
      </c>
      <c r="H14" s="22">
        <f t="shared" si="15"/>
        <v>78.801107916855585</v>
      </c>
      <c r="I14" s="23">
        <f>'4. Mineralogy wt.%'!E20/100</f>
        <v>5.8359239800927505E-2</v>
      </c>
      <c r="J14" s="21">
        <f>'6. Grain Size Distribution'!R70/10000</f>
        <v>2.1999999999999999E-2</v>
      </c>
      <c r="K14" s="21">
        <f>1000/10000</f>
        <v>0.1</v>
      </c>
      <c r="L14" s="21">
        <f>425/10000</f>
        <v>4.2500000000000003E-2</v>
      </c>
      <c r="M14" s="21">
        <v>5.01</v>
      </c>
      <c r="N14" s="20">
        <f>'4. Mineralogy wt.%'!E28</f>
        <v>2.8473063194734642</v>
      </c>
      <c r="O14" s="20">
        <f t="shared" si="16"/>
        <v>2.2059045339203718</v>
      </c>
      <c r="P14" s="24">
        <v>87.54</v>
      </c>
      <c r="Q14" s="25">
        <v>8.17</v>
      </c>
      <c r="R14" s="26" t="s">
        <v>83</v>
      </c>
      <c r="S14" s="27">
        <f t="shared" si="23"/>
        <v>2.5637616179925292E-4</v>
      </c>
      <c r="T14" s="23">
        <f t="shared" si="17"/>
        <v>1.601175074122917E-2</v>
      </c>
      <c r="U14" s="28">
        <v>2748</v>
      </c>
      <c r="V14" s="21">
        <v>1120</v>
      </c>
      <c r="W14" s="20">
        <f t="shared" si="18"/>
        <v>0.40756914119359533</v>
      </c>
      <c r="X14" s="20">
        <f t="shared" si="19"/>
        <v>0.59243085880640467</v>
      </c>
      <c r="Y14" s="23">
        <f t="shared" si="24"/>
        <v>1.601175074122917E-2</v>
      </c>
      <c r="Z14" s="23">
        <f t="shared" si="20"/>
        <v>9.3737014887301517E-3</v>
      </c>
      <c r="AA14" s="48">
        <f t="shared" si="21"/>
        <v>1.8553771621939157E-2</v>
      </c>
    </row>
    <row r="15" spans="1:27" ht="16">
      <c r="A15" s="386"/>
      <c r="B15" s="34" t="s">
        <v>5</v>
      </c>
      <c r="C15" s="19">
        <f>'5. Roundness'!I26</f>
        <v>0.26603429654192323</v>
      </c>
      <c r="D15" s="20">
        <f t="shared" si="22"/>
        <v>2.8333333333333335</v>
      </c>
      <c r="E15" s="21">
        <f t="shared" si="25"/>
        <v>0.5</v>
      </c>
      <c r="F15" s="21">
        <v>1</v>
      </c>
      <c r="G15" s="20">
        <f t="shared" si="14"/>
        <v>0.44705882352941173</v>
      </c>
      <c r="H15" s="22">
        <f t="shared" si="15"/>
        <v>52.629351825124381</v>
      </c>
      <c r="I15" s="23">
        <f>'4. Mineralogy wt.%'!F20/100</f>
        <v>8.408308407031051E-2</v>
      </c>
      <c r="J15" s="21">
        <f>'6. Grain Size Distribution'!R71/10000</f>
        <v>1.9E-2</v>
      </c>
      <c r="K15" s="21">
        <f>425/10000</f>
        <v>4.2500000000000003E-2</v>
      </c>
      <c r="L15" s="21">
        <f>150/10000</f>
        <v>1.4999999999999999E-2</v>
      </c>
      <c r="M15" s="21">
        <v>5.01</v>
      </c>
      <c r="N15" s="20">
        <f>'4. Mineralogy wt.%'!F28</f>
        <v>2.8869132225714633</v>
      </c>
      <c r="O15" s="20">
        <f t="shared" si="16"/>
        <v>3.1296828142921482</v>
      </c>
      <c r="P15" s="24">
        <v>55.86</v>
      </c>
      <c r="Q15" s="25">
        <v>8.1300000000000008</v>
      </c>
      <c r="R15" s="26" t="s">
        <v>83</v>
      </c>
      <c r="S15" s="27">
        <f t="shared" si="23"/>
        <v>3.6824755754347584E-5</v>
      </c>
      <c r="T15" s="23">
        <f t="shared" si="17"/>
        <v>6.0683404448290132E-3</v>
      </c>
      <c r="U15" s="28">
        <v>10555</v>
      </c>
      <c r="V15" s="21">
        <v>3060</v>
      </c>
      <c r="W15" s="20">
        <f t="shared" si="18"/>
        <v>0.28990999526290856</v>
      </c>
      <c r="X15" s="20">
        <f t="shared" si="19"/>
        <v>0.7100900047370915</v>
      </c>
      <c r="Y15" s="23">
        <f t="shared" si="24"/>
        <v>6.0683404448290132E-3</v>
      </c>
      <c r="Z15" s="23">
        <f t="shared" si="20"/>
        <v>4.4163061821624466E-3</v>
      </c>
      <c r="AA15" s="48">
        <f t="shared" si="21"/>
        <v>7.5052325779387963E-3</v>
      </c>
    </row>
    <row r="16" spans="1:27" ht="18" customHeight="1">
      <c r="A16" s="386"/>
      <c r="B16" s="34" t="s">
        <v>4</v>
      </c>
      <c r="C16" s="19">
        <f>'5. Roundness'!I28</f>
        <v>0.29719747501956761</v>
      </c>
      <c r="D16" s="20">
        <f t="shared" si="22"/>
        <v>30</v>
      </c>
      <c r="E16" s="21">
        <f t="shared" si="25"/>
        <v>0.25</v>
      </c>
      <c r="F16" s="21">
        <v>1</v>
      </c>
      <c r="G16" s="20">
        <f t="shared" si="14"/>
        <v>0.6</v>
      </c>
      <c r="H16" s="22">
        <f t="shared" si="15"/>
        <v>27.891813254236354</v>
      </c>
      <c r="I16" s="23">
        <f>'4. Mineralogy wt.%'!G20/100</f>
        <v>0.14470553034914599</v>
      </c>
      <c r="J16" s="21">
        <f>'6. Grain Size Distribution'!R72/10000</f>
        <v>8.9999999999999993E-3</v>
      </c>
      <c r="K16" s="21">
        <f>150/10000</f>
        <v>1.4999999999999999E-2</v>
      </c>
      <c r="L16" s="21">
        <f>5/10000</f>
        <v>5.0000000000000001E-4</v>
      </c>
      <c r="M16" s="21">
        <v>5.01</v>
      </c>
      <c r="N16" s="20">
        <f>'4. Mineralogy wt.%'!G28</f>
        <v>2.9987369250838265</v>
      </c>
      <c r="O16" s="20">
        <f t="shared" si="16"/>
        <v>1.243406470931453</v>
      </c>
      <c r="P16" s="24">
        <v>59.15</v>
      </c>
      <c r="Q16" s="25">
        <v>4</v>
      </c>
      <c r="R16" s="26" t="s">
        <v>83</v>
      </c>
      <c r="S16" s="27">
        <f t="shared" si="23"/>
        <v>1.2552602440388051E-5</v>
      </c>
      <c r="T16" s="23">
        <f t="shared" si="17"/>
        <v>3.5429652045127469E-3</v>
      </c>
      <c r="U16" s="21">
        <v>673548</v>
      </c>
      <c r="V16" s="21">
        <v>46326</v>
      </c>
      <c r="W16" s="20">
        <f t="shared" si="18"/>
        <v>6.8779062516702599E-2</v>
      </c>
      <c r="X16" s="20">
        <f t="shared" si="19"/>
        <v>0.93122093748329737</v>
      </c>
      <c r="Y16" s="29">
        <f>SQRT(S16)</f>
        <v>3.5429652045127469E-3</v>
      </c>
      <c r="Z16" s="23">
        <f t="shared" si="20"/>
        <v>3.0836864790397971E-4</v>
      </c>
      <c r="AA16" s="48">
        <f t="shared" si="21"/>
        <v>3.5563596082789743E-3</v>
      </c>
    </row>
    <row r="17" spans="1:27" ht="17" thickBot="1">
      <c r="A17" s="49" t="s">
        <v>80</v>
      </c>
      <c r="B17" s="50" t="s">
        <v>35</v>
      </c>
      <c r="C17" s="51">
        <v>0.3</v>
      </c>
      <c r="D17" s="52">
        <f t="shared" si="22"/>
        <v>30</v>
      </c>
      <c r="E17" s="53">
        <v>0.5</v>
      </c>
      <c r="F17" s="53">
        <v>1</v>
      </c>
      <c r="G17" s="52">
        <f t="shared" si="14"/>
        <v>0.32</v>
      </c>
      <c r="H17" s="54">
        <f t="shared" si="15"/>
        <v>50.123612730625574</v>
      </c>
      <c r="I17" s="55">
        <f>'4. Mineralogy wt.%'!H20/100</f>
        <v>8.766606732341399E-2</v>
      </c>
      <c r="J17" s="53">
        <f>'6. Grain Size Distribution'!R73/10000</f>
        <v>4.7999999999999996E-3</v>
      </c>
      <c r="K17" s="53">
        <f>150/10000</f>
        <v>1.4999999999999999E-2</v>
      </c>
      <c r="L17" s="53">
        <f>5/10000</f>
        <v>5.0000000000000001E-4</v>
      </c>
      <c r="M17" s="53">
        <v>5.01</v>
      </c>
      <c r="N17" s="52">
        <f>'4. Mineralogy wt.%'!H28</f>
        <v>2.8013054923099969</v>
      </c>
      <c r="O17" s="52">
        <f t="shared" si="16"/>
        <v>2.4059334110700275</v>
      </c>
      <c r="P17" s="56">
        <v>2854.74</v>
      </c>
      <c r="Q17" s="56">
        <v>4</v>
      </c>
      <c r="R17" s="57" t="s">
        <v>83</v>
      </c>
      <c r="S17" s="58">
        <f t="shared" si="23"/>
        <v>1.3601586837275299E-5</v>
      </c>
      <c r="T17" s="55">
        <f t="shared" si="17"/>
        <v>3.6880329224771432E-3</v>
      </c>
      <c r="U17" s="59">
        <v>172658</v>
      </c>
      <c r="V17" s="59">
        <v>6395</v>
      </c>
      <c r="W17" s="52">
        <f t="shared" ref="W17" si="26">V17/U17</f>
        <v>3.7038538613907261E-2</v>
      </c>
      <c r="X17" s="52">
        <f t="shared" si="19"/>
        <v>0.96296146138609273</v>
      </c>
      <c r="Y17" s="55">
        <f>SQRT(S17)</f>
        <v>3.6880329224771432E-3</v>
      </c>
      <c r="Z17" s="55">
        <f t="shared" si="20"/>
        <v>4.5450432660273883E-4</v>
      </c>
      <c r="AA17" s="60">
        <f t="shared" si="21"/>
        <v>3.7159333982427494E-3</v>
      </c>
    </row>
    <row r="18" spans="1:27" ht="16" thickBot="1">
      <c r="A18" s="77"/>
      <c r="B18" s="78"/>
      <c r="C18" s="79"/>
      <c r="D18" s="79"/>
      <c r="E18" s="79"/>
      <c r="F18" s="79"/>
      <c r="G18" s="79"/>
      <c r="H18" s="79"/>
      <c r="I18" s="80"/>
      <c r="J18" s="79"/>
      <c r="K18" s="79"/>
      <c r="L18" s="79"/>
      <c r="M18" s="79"/>
      <c r="N18" s="79"/>
      <c r="O18" s="79"/>
      <c r="P18" s="81"/>
      <c r="Q18" s="81"/>
      <c r="R18" s="79"/>
      <c r="S18" s="79"/>
      <c r="T18" s="79"/>
      <c r="U18" s="79"/>
      <c r="V18" s="79"/>
      <c r="W18" s="79"/>
      <c r="X18" s="79"/>
      <c r="Y18" s="79"/>
      <c r="Z18" s="79"/>
      <c r="AA18" s="82"/>
    </row>
    <row r="19" spans="1:27" ht="16">
      <c r="A19" s="385" t="s">
        <v>78</v>
      </c>
      <c r="B19" s="67" t="s">
        <v>107</v>
      </c>
      <c r="C19" s="68">
        <v>0.3</v>
      </c>
      <c r="D19" s="69">
        <f>K19/L19</f>
        <v>1340</v>
      </c>
      <c r="E19" s="70">
        <f>IF(D19=1,1,(IF((AND(D19&gt;1,D19&lt;2)),0.75,(IF((AND(D19&gt;2,D19&lt;4)),0.5,(IF(D19&gt;4,0.25,0)))))))</f>
        <v>0.25</v>
      </c>
      <c r="F19" s="70">
        <v>1</v>
      </c>
      <c r="G19" s="69">
        <f>(J19/K19)^F19</f>
        <v>7.7611940298507459E-2</v>
      </c>
      <c r="H19" s="71">
        <f>((1-I19)/I19)*(((1-I19)*M19)+(I19*N19))</f>
        <v>10.859070476404877</v>
      </c>
      <c r="I19" s="72">
        <f>'4. Mineralogy wt.%'!K5/100</f>
        <v>0.27955628725861659</v>
      </c>
      <c r="J19" s="70">
        <f>'6. Grain Size Distribution'!R106/10000</f>
        <v>5.1999999999999998E-2</v>
      </c>
      <c r="K19" s="70">
        <f>6700/10000</f>
        <v>0.67</v>
      </c>
      <c r="L19" s="70">
        <f>5/10000</f>
        <v>5.0000000000000001E-4</v>
      </c>
      <c r="M19" s="70">
        <v>4.6100000000000003</v>
      </c>
      <c r="N19" s="69">
        <f>'4. Mineralogy wt.%'!K13</f>
        <v>3.1923355896786902</v>
      </c>
      <c r="O19" s="69">
        <f>C19*E19*G19*H19</f>
        <v>6.3209514713401527E-2</v>
      </c>
      <c r="P19" s="73">
        <v>16764.73</v>
      </c>
      <c r="Q19" s="73">
        <v>1045.8200000000002</v>
      </c>
      <c r="R19" s="74">
        <f>(O19*((K19)^3)*((1/Q19)-(1/P19)))+(O19*((K19)^3)*((1/P19)))</f>
        <v>1.8178159983311454E-5</v>
      </c>
      <c r="S19" s="75" t="s">
        <v>83</v>
      </c>
      <c r="T19" s="72">
        <f>SQRT(R19)</f>
        <v>4.2635853437349479E-3</v>
      </c>
      <c r="U19" s="70">
        <v>216960</v>
      </c>
      <c r="V19" s="70">
        <v>60897</v>
      </c>
      <c r="W19" s="69">
        <f>V19/U19</f>
        <v>0.28068307522123892</v>
      </c>
      <c r="X19" s="69">
        <f>1-W19</f>
        <v>0.71931692477876108</v>
      </c>
      <c r="Y19" s="72">
        <f>SQRT(R19)</f>
        <v>4.2635853437349479E-3</v>
      </c>
      <c r="Z19" s="181" t="s">
        <v>83</v>
      </c>
      <c r="AA19" s="76">
        <f>SQRT((T19^2))</f>
        <v>4.2635853437349479E-3</v>
      </c>
    </row>
    <row r="20" spans="1:27" ht="15" customHeight="1">
      <c r="A20" s="386"/>
      <c r="B20" s="34" t="s">
        <v>8</v>
      </c>
      <c r="C20" s="19">
        <f>'5. Roundness'!S6</f>
        <v>0.29827956989247312</v>
      </c>
      <c r="D20" s="20">
        <f>K20/L20</f>
        <v>3.35</v>
      </c>
      <c r="E20" s="21">
        <f>IF(D20=1,1,(IF((AND(D20&gt;1,D20&lt;2)),0.75,(IF((AND(D20&gt;2,D20&lt;4)),0.5,(IF(D20&gt;4,0.25,0)))))))</f>
        <v>0.5</v>
      </c>
      <c r="F20" s="21">
        <v>1</v>
      </c>
      <c r="G20" s="20">
        <f t="shared" ref="G20:G25" si="27">(J20/K20)^F20</f>
        <v>8.8805970149253718E-2</v>
      </c>
      <c r="H20" s="22">
        <f t="shared" ref="H20:H25" si="28">((1-I20)/I20)*(((1-I20)*M20)+(I20*N20))</f>
        <v>12.071391197962944</v>
      </c>
      <c r="I20" s="23">
        <f>'4. Mineralogy wt.%'!L5/100</f>
        <v>0.25883212916494697</v>
      </c>
      <c r="J20" s="21">
        <f>'6. Grain Size Distribution'!R107/10000</f>
        <v>5.9499999999999997E-2</v>
      </c>
      <c r="K20" s="21">
        <f>6700/10000</f>
        <v>0.67</v>
      </c>
      <c r="L20" s="21">
        <f>2000/10000</f>
        <v>0.2</v>
      </c>
      <c r="M20" s="21">
        <v>4.6100000000000003</v>
      </c>
      <c r="N20" s="20">
        <f>'4. Mineralogy wt.%'!L13</f>
        <v>3.0862147733965961</v>
      </c>
      <c r="O20" s="20">
        <f t="shared" ref="O20:O25" si="29">C20*E20*G20*H20</f>
        <v>0.15987958043631659</v>
      </c>
      <c r="P20" s="24">
        <v>594.22</v>
      </c>
      <c r="Q20" s="25">
        <v>61.19</v>
      </c>
      <c r="R20" s="26" t="s">
        <v>83</v>
      </c>
      <c r="S20" s="27">
        <f>(O20*((K20)^3)*((1/Q20)-(1/P20)))+$R$19</f>
        <v>7.2310061079415133E-4</v>
      </c>
      <c r="T20" s="23">
        <f t="shared" ref="T20:T25" si="30">SQRT(S20)</f>
        <v>2.689053013226313E-2</v>
      </c>
      <c r="U20" s="21">
        <v>465</v>
      </c>
      <c r="V20" s="21">
        <v>465</v>
      </c>
      <c r="W20" s="20">
        <f t="shared" ref="W20:W24" si="31">V20/U20</f>
        <v>1</v>
      </c>
      <c r="X20" s="20">
        <f t="shared" ref="X20:X25" si="32">1-W20</f>
        <v>0</v>
      </c>
      <c r="Y20" s="23">
        <f>SQRT(S20)</f>
        <v>2.689053013226313E-2</v>
      </c>
      <c r="Z20" s="23">
        <f t="shared" ref="Z20:Z25" si="33">SQRT((W20*X20)/U20)</f>
        <v>0</v>
      </c>
      <c r="AA20" s="48">
        <f t="shared" ref="AA20:AA25" si="34">SQRT((T20^2)+(Z20^2))</f>
        <v>2.689053013226313E-2</v>
      </c>
    </row>
    <row r="21" spans="1:27" ht="16">
      <c r="A21" s="386"/>
      <c r="B21" s="34" t="s">
        <v>7</v>
      </c>
      <c r="C21" s="19">
        <f>'5. Roundness'!S8</f>
        <v>0.29211963190184048</v>
      </c>
      <c r="D21" s="20">
        <f t="shared" ref="D21:D24" si="35">K21/L21</f>
        <v>2</v>
      </c>
      <c r="E21" s="21">
        <v>0.5</v>
      </c>
      <c r="F21" s="21">
        <v>1</v>
      </c>
      <c r="G21" s="20">
        <f t="shared" si="27"/>
        <v>0.30499999999999999</v>
      </c>
      <c r="H21" s="22">
        <f t="shared" si="28"/>
        <v>8.9673572127574239</v>
      </c>
      <c r="I21" s="23">
        <f>'4. Mineralogy wt.%'!M5/100</f>
        <v>0.31670433428552497</v>
      </c>
      <c r="J21" s="21">
        <f>'6. Grain Size Distribution'!R108/10000</f>
        <v>6.0999999999999999E-2</v>
      </c>
      <c r="K21" s="21">
        <f>2000/10000</f>
        <v>0.2</v>
      </c>
      <c r="L21" s="21">
        <f>1000/10000</f>
        <v>0.1</v>
      </c>
      <c r="M21" s="21">
        <v>4.6100000000000003</v>
      </c>
      <c r="N21" s="20">
        <f>'4. Mineralogy wt.%'!M13</f>
        <v>3.177521920432465</v>
      </c>
      <c r="O21" s="20">
        <f t="shared" si="29"/>
        <v>0.39948001593875948</v>
      </c>
      <c r="P21" s="24">
        <v>134.61000000000001</v>
      </c>
      <c r="Q21" s="25">
        <v>17.079999999999998</v>
      </c>
      <c r="R21" s="26" t="s">
        <v>83</v>
      </c>
      <c r="S21" s="27">
        <f t="shared" ref="S21:S25" si="36">(O21*((K21)^3)*((1/Q21)-(1/P21)))+$R$19</f>
        <v>1.8154676138582758E-4</v>
      </c>
      <c r="T21" s="23">
        <f t="shared" si="30"/>
        <v>1.3473928951342574E-2</v>
      </c>
      <c r="U21" s="21">
        <v>1304</v>
      </c>
      <c r="V21" s="21">
        <v>1302</v>
      </c>
      <c r="W21" s="20">
        <f t="shared" si="31"/>
        <v>0.99846625766871167</v>
      </c>
      <c r="X21" s="20">
        <f t="shared" si="32"/>
        <v>1.5337423312883347E-3</v>
      </c>
      <c r="Y21" s="23">
        <f t="shared" ref="Y21:Y23" si="37">SQRT(S21)</f>
        <v>1.3473928951342574E-2</v>
      </c>
      <c r="Z21" s="23">
        <f t="shared" si="33"/>
        <v>1.0836875970915902E-3</v>
      </c>
      <c r="AA21" s="48">
        <f t="shared" si="34"/>
        <v>1.351743837396412E-2</v>
      </c>
    </row>
    <row r="22" spans="1:27" ht="16">
      <c r="A22" s="386"/>
      <c r="B22" s="34" t="s">
        <v>6</v>
      </c>
      <c r="C22" s="19">
        <f>'5. Roundness'!S10</f>
        <v>0.26344725111441308</v>
      </c>
      <c r="D22" s="20">
        <f t="shared" si="35"/>
        <v>2.3529411764705883</v>
      </c>
      <c r="E22" s="21">
        <f t="shared" ref="E22:E24" si="38">IF(D22=1,1,(IF((AND(D22&gt;1,D22&lt;2)),0.75,(IF((AND(D22&gt;2,D22&lt;4)),0.5,(IF(D22&gt;4,0.25,0)))))))</f>
        <v>0.5</v>
      </c>
      <c r="F22" s="21">
        <v>1</v>
      </c>
      <c r="G22" s="20">
        <f t="shared" si="27"/>
        <v>0.34</v>
      </c>
      <c r="H22" s="22">
        <f t="shared" si="28"/>
        <v>13.25467212955161</v>
      </c>
      <c r="I22" s="23">
        <f>'4. Mineralogy wt.%'!N5/100</f>
        <v>0.24171781063887898</v>
      </c>
      <c r="J22" s="21">
        <f>'6. Grain Size Distribution'!R109/10000</f>
        <v>3.4000000000000002E-2</v>
      </c>
      <c r="K22" s="21">
        <f>1000/10000</f>
        <v>0.1</v>
      </c>
      <c r="L22" s="21">
        <f>425/10000</f>
        <v>4.2500000000000003E-2</v>
      </c>
      <c r="M22" s="21">
        <v>4.6100000000000003</v>
      </c>
      <c r="N22" s="20">
        <f>'4. Mineralogy wt.%'!N13</f>
        <v>3.0180415161360079</v>
      </c>
      <c r="O22" s="20">
        <f>C22*E22*G22*H22</f>
        <v>0.59362417928204325</v>
      </c>
      <c r="P22" s="24">
        <v>111.86</v>
      </c>
      <c r="Q22" s="25">
        <v>8.02</v>
      </c>
      <c r="R22" s="26" t="s">
        <v>83</v>
      </c>
      <c r="S22" s="27">
        <f t="shared" si="36"/>
        <v>8.6889288001643273E-5</v>
      </c>
      <c r="T22" s="23">
        <f t="shared" si="30"/>
        <v>9.3214423777462294E-3</v>
      </c>
      <c r="U22" s="28">
        <v>1346</v>
      </c>
      <c r="V22" s="21">
        <v>1316</v>
      </c>
      <c r="W22" s="20">
        <f t="shared" si="31"/>
        <v>0.97771173848439819</v>
      </c>
      <c r="X22" s="20">
        <f t="shared" si="32"/>
        <v>2.2288261515601815E-2</v>
      </c>
      <c r="Y22" s="23">
        <f t="shared" si="37"/>
        <v>9.3214423777462294E-3</v>
      </c>
      <c r="Z22" s="23">
        <f t="shared" si="33"/>
        <v>4.0236572810645249E-3</v>
      </c>
      <c r="AA22" s="48">
        <f t="shared" si="34"/>
        <v>1.0152788085895757E-2</v>
      </c>
    </row>
    <row r="23" spans="1:27" ht="16">
      <c r="A23" s="386"/>
      <c r="B23" s="34" t="s">
        <v>5</v>
      </c>
      <c r="C23" s="19">
        <f>'5. Roundness'!S12</f>
        <v>0.2681012244897959</v>
      </c>
      <c r="D23" s="20">
        <f t="shared" si="35"/>
        <v>2.8333333333333335</v>
      </c>
      <c r="E23" s="21">
        <f t="shared" si="38"/>
        <v>0.5</v>
      </c>
      <c r="F23" s="21">
        <v>1</v>
      </c>
      <c r="G23" s="20">
        <f t="shared" si="27"/>
        <v>0.41176470588235298</v>
      </c>
      <c r="H23" s="22">
        <f t="shared" si="28"/>
        <v>10.857944292031577</v>
      </c>
      <c r="I23" s="23">
        <f>'4. Mineralogy wt.%'!O5/100</f>
        <v>0.27710462290522497</v>
      </c>
      <c r="J23" s="21">
        <f>'6. Grain Size Distribution'!R110/10000</f>
        <v>1.7500000000000002E-2</v>
      </c>
      <c r="K23" s="21">
        <f>425/10000</f>
        <v>4.2500000000000003E-2</v>
      </c>
      <c r="L23" s="21">
        <f>150/10000</f>
        <v>1.4999999999999999E-2</v>
      </c>
      <c r="M23" s="21">
        <v>4.6100000000000003</v>
      </c>
      <c r="N23" s="20">
        <f>'4. Mineralogy wt.%'!O13</f>
        <v>2.9937613488786714</v>
      </c>
      <c r="O23" s="20">
        <f t="shared" si="29"/>
        <v>0.59932932708675268</v>
      </c>
      <c r="P23" s="24">
        <v>90.73</v>
      </c>
      <c r="Q23" s="25">
        <v>8.0299999999999994</v>
      </c>
      <c r="R23" s="26" t="s">
        <v>83</v>
      </c>
      <c r="S23" s="27">
        <f t="shared" si="36"/>
        <v>2.3400574899577403E-5</v>
      </c>
      <c r="T23" s="23">
        <f t="shared" si="30"/>
        <v>4.8374140715445688E-3</v>
      </c>
      <c r="U23" s="28">
        <v>2450</v>
      </c>
      <c r="V23" s="21">
        <v>2215</v>
      </c>
      <c r="W23" s="20">
        <f t="shared" si="31"/>
        <v>0.90408163265306118</v>
      </c>
      <c r="X23" s="20">
        <f t="shared" si="32"/>
        <v>9.5918367346938815E-2</v>
      </c>
      <c r="Y23" s="23">
        <f t="shared" si="37"/>
        <v>4.8374140715445688E-3</v>
      </c>
      <c r="Z23" s="23">
        <f t="shared" si="33"/>
        <v>5.9493794618082933E-3</v>
      </c>
      <c r="AA23" s="48">
        <f t="shared" si="34"/>
        <v>7.6678348234794245E-3</v>
      </c>
    </row>
    <row r="24" spans="1:27" ht="16">
      <c r="A24" s="386"/>
      <c r="B24" s="34" t="s">
        <v>4</v>
      </c>
      <c r="C24" s="19">
        <f>'5. Roundness'!S14</f>
        <v>0.3010854049874348</v>
      </c>
      <c r="D24" s="20">
        <f t="shared" si="35"/>
        <v>30</v>
      </c>
      <c r="E24" s="21">
        <f t="shared" si="38"/>
        <v>0.25</v>
      </c>
      <c r="F24" s="21">
        <v>1</v>
      </c>
      <c r="G24" s="20">
        <f t="shared" si="27"/>
        <v>0.5</v>
      </c>
      <c r="H24" s="22">
        <f t="shared" si="28"/>
        <v>6.7909144438966056</v>
      </c>
      <c r="I24" s="23">
        <f>'4. Mineralogy wt.%'!P5/100</f>
        <v>0.37609864862166903</v>
      </c>
      <c r="J24" s="21">
        <f>'6. Grain Size Distribution'!R111/10000</f>
        <v>7.4999999999999997E-3</v>
      </c>
      <c r="K24" s="21">
        <f>150/10000</f>
        <v>1.4999999999999999E-2</v>
      </c>
      <c r="L24" s="21">
        <f>5/10000</f>
        <v>5.0000000000000001E-4</v>
      </c>
      <c r="M24" s="21">
        <v>4.6100000000000003</v>
      </c>
      <c r="N24" s="20">
        <f>'4. Mineralogy wt.%'!P13</f>
        <v>3.2371740658791581</v>
      </c>
      <c r="O24" s="20">
        <f t="shared" si="29"/>
        <v>0.25558065319695378</v>
      </c>
      <c r="P24" s="24">
        <v>114.4</v>
      </c>
      <c r="Q24" s="25">
        <v>7.93</v>
      </c>
      <c r="R24" s="26" t="s">
        <v>83</v>
      </c>
      <c r="S24" s="27">
        <f t="shared" si="36"/>
        <v>1.827939477538672E-5</v>
      </c>
      <c r="T24" s="23">
        <f t="shared" si="30"/>
        <v>4.2754408866673291E-3</v>
      </c>
      <c r="U24" s="21">
        <v>211395</v>
      </c>
      <c r="V24" s="21">
        <v>55599</v>
      </c>
      <c r="W24" s="20">
        <f t="shared" si="31"/>
        <v>0.26301000496700488</v>
      </c>
      <c r="X24" s="20">
        <f t="shared" si="32"/>
        <v>0.73698999503299512</v>
      </c>
      <c r="Y24" s="29">
        <f>SQRT(S24)</f>
        <v>4.2754408866673291E-3</v>
      </c>
      <c r="Z24" s="23">
        <f t="shared" si="33"/>
        <v>9.5756789181459037E-4</v>
      </c>
      <c r="AA24" s="48">
        <f t="shared" si="34"/>
        <v>4.3813617794951553E-3</v>
      </c>
    </row>
    <row r="25" spans="1:27" s="16" customFormat="1" ht="17" thickBot="1">
      <c r="A25" s="49" t="s">
        <v>86</v>
      </c>
      <c r="B25" s="50" t="s">
        <v>35</v>
      </c>
      <c r="C25" s="51">
        <v>0.3</v>
      </c>
      <c r="D25" s="52">
        <f>K25/L25</f>
        <v>30</v>
      </c>
      <c r="E25" s="53">
        <v>0.5</v>
      </c>
      <c r="F25" s="53">
        <v>1</v>
      </c>
      <c r="G25" s="52">
        <f t="shared" si="27"/>
        <v>0.27999999999999997</v>
      </c>
      <c r="H25" s="54">
        <f t="shared" si="28"/>
        <v>10.008956485694801</v>
      </c>
      <c r="I25" s="55">
        <f>'4. Mineralogy wt.%'!Q5/100</f>
        <v>0.294097177688665</v>
      </c>
      <c r="J25" s="53">
        <f>'6. Grain Size Distribution'!R112/10000</f>
        <v>4.1999999999999997E-3</v>
      </c>
      <c r="K25" s="53">
        <f>150/10000</f>
        <v>1.4999999999999999E-2</v>
      </c>
      <c r="L25" s="53">
        <f>5/10000</f>
        <v>5.0000000000000001E-4</v>
      </c>
      <c r="M25" s="53">
        <v>4.6100000000000003</v>
      </c>
      <c r="N25" s="52">
        <f>'4. Mineralogy wt.%'!Q13</f>
        <v>3.1138529350860846</v>
      </c>
      <c r="O25" s="52">
        <f t="shared" si="29"/>
        <v>0.42037617239918162</v>
      </c>
      <c r="P25" s="56">
        <v>1045.82</v>
      </c>
      <c r="Q25" s="56">
        <v>4</v>
      </c>
      <c r="R25" s="57" t="s">
        <v>83</v>
      </c>
      <c r="S25" s="58">
        <f t="shared" si="36"/>
        <v>1.8531495769048982E-5</v>
      </c>
      <c r="T25" s="55">
        <f t="shared" si="30"/>
        <v>4.3048223853080145E-3</v>
      </c>
      <c r="U25" s="59">
        <v>233381</v>
      </c>
      <c r="V25" s="59">
        <v>56068</v>
      </c>
      <c r="W25" s="52">
        <f t="shared" ref="W25" si="39">V25/U25</f>
        <v>0.24024235049125678</v>
      </c>
      <c r="X25" s="52">
        <f t="shared" si="32"/>
        <v>0.75975764950874325</v>
      </c>
      <c r="Y25" s="55">
        <f>SQRT(S25)</f>
        <v>4.3048223853080145E-3</v>
      </c>
      <c r="Z25" s="55">
        <f t="shared" si="33"/>
        <v>8.8436098889197021E-4</v>
      </c>
      <c r="AA25" s="60">
        <f t="shared" si="34"/>
        <v>4.3947229864603485E-3</v>
      </c>
    </row>
    <row r="26" spans="1:27" ht="19" customHeight="1" thickBot="1">
      <c r="A26" s="77"/>
      <c r="B26" s="78"/>
      <c r="C26" s="79"/>
      <c r="D26" s="79"/>
      <c r="E26" s="79"/>
      <c r="F26" s="79"/>
      <c r="G26" s="79"/>
      <c r="H26" s="79"/>
      <c r="I26" s="80"/>
      <c r="J26" s="79"/>
      <c r="K26" s="79"/>
      <c r="L26" s="79"/>
      <c r="M26" s="79"/>
      <c r="N26" s="79"/>
      <c r="O26" s="79"/>
      <c r="P26" s="81"/>
      <c r="Q26" s="81"/>
      <c r="R26" s="79"/>
      <c r="S26" s="79"/>
      <c r="T26" s="79"/>
      <c r="U26" s="79"/>
      <c r="V26" s="79"/>
      <c r="W26" s="79"/>
      <c r="X26" s="79"/>
      <c r="Y26" s="79"/>
      <c r="Z26" s="79"/>
      <c r="AA26" s="82"/>
    </row>
    <row r="27" spans="1:27" ht="16">
      <c r="A27" s="385" t="s">
        <v>79</v>
      </c>
      <c r="B27" s="67" t="s">
        <v>107</v>
      </c>
      <c r="C27" s="68">
        <v>0.3</v>
      </c>
      <c r="D27" s="69">
        <f>K27/L27</f>
        <v>1340</v>
      </c>
      <c r="E27" s="70">
        <f>IF(D27=1,1,(IF((AND(D27&gt;1,D27&lt;2)),0.75,(IF((AND(D27&gt;2,D27&lt;4)),0.5,(IF(D27&gt;4,0.25,0)))))))</f>
        <v>0.25</v>
      </c>
      <c r="F27" s="70">
        <v>1</v>
      </c>
      <c r="G27" s="69">
        <f>(J27/K27)^F27</f>
        <v>1.6417910447761194E-2</v>
      </c>
      <c r="H27" s="71">
        <f>((1-I27)/I27)*(((1-I27)*M27)+(I27*N27))</f>
        <v>132.12550359629785</v>
      </c>
      <c r="I27" s="72">
        <f>'4. Mineralogy wt.%'!K20/100</f>
        <v>3.3405202314797128E-2</v>
      </c>
      <c r="J27" s="70">
        <f>'6. Grain Size Distribution'!R144/10000</f>
        <v>1.0999999999999999E-2</v>
      </c>
      <c r="K27" s="70">
        <f>6700/10000</f>
        <v>0.67</v>
      </c>
      <c r="L27" s="70">
        <f>5/10000</f>
        <v>5.0000000000000001E-4</v>
      </c>
      <c r="M27" s="70">
        <v>4.6100000000000003</v>
      </c>
      <c r="N27" s="69">
        <f>'4. Mineralogy wt.%'!K28</f>
        <v>3.2992609749639739</v>
      </c>
      <c r="O27" s="69">
        <f>C27*E27*G27*H27</f>
        <v>0.16269185144320256</v>
      </c>
      <c r="P27" s="73">
        <f>35328.01</f>
        <v>35328.01</v>
      </c>
      <c r="Q27" s="73">
        <v>994.9</v>
      </c>
      <c r="R27" s="74">
        <f>(O27*((K27)^3)*((1/Q27)-(1/P27)))+(O27*((K27)^3)*((1/P27)))</f>
        <v>4.9182520168471133E-5</v>
      </c>
      <c r="S27" s="75" t="s">
        <v>83</v>
      </c>
      <c r="T27" s="72">
        <f>SQRT(R27)</f>
        <v>7.0130250369203114E-3</v>
      </c>
      <c r="U27" s="70">
        <v>235415</v>
      </c>
      <c r="V27" s="70">
        <v>17859</v>
      </c>
      <c r="W27" s="69">
        <f>V27/U27</f>
        <v>7.5861776012573545E-2</v>
      </c>
      <c r="X27" s="69">
        <f>1-W27</f>
        <v>0.92413822398742651</v>
      </c>
      <c r="Y27" s="72">
        <f>SQRT(R27)</f>
        <v>7.0130250369203114E-3</v>
      </c>
      <c r="Z27" s="181" t="s">
        <v>83</v>
      </c>
      <c r="AA27" s="76">
        <f>SQRT((T27^2))</f>
        <v>7.0130250369203114E-3</v>
      </c>
    </row>
    <row r="28" spans="1:27" ht="16">
      <c r="A28" s="386"/>
      <c r="B28" s="34" t="s">
        <v>8</v>
      </c>
      <c r="C28" s="19">
        <f>'5. Roundness'!S20</f>
        <v>0.29065217391304349</v>
      </c>
      <c r="D28" s="20">
        <f>K28/L28</f>
        <v>3.35</v>
      </c>
      <c r="E28" s="21">
        <f>IF(D28=1,1,(IF((AND(D28&gt;1,D28&lt;2)),0.75,(IF((AND(D28&gt;2,D28&lt;4)),0.5,(IF(D28&gt;4,0.25,0)))))))</f>
        <v>0.5</v>
      </c>
      <c r="F28" s="21">
        <v>1</v>
      </c>
      <c r="G28" s="20">
        <f t="shared" ref="G28:G33" si="40">(J28/K28)^F28</f>
        <v>1.7910447761194027E-2</v>
      </c>
      <c r="H28" s="22">
        <f t="shared" ref="H28:H33" si="41">((1-I28)/I28)*(((1-I28)*M28)+(I28*N28))</f>
        <v>187.16284046401034</v>
      </c>
      <c r="I28" s="23">
        <f>'4. Mineralogy wt.%'!L20/100</f>
        <v>2.3870128543767001E-2</v>
      </c>
      <c r="J28" s="21">
        <f>'6. Grain Size Distribution'!R145/10000</f>
        <v>1.2E-2</v>
      </c>
      <c r="K28" s="21">
        <f>6700/10000</f>
        <v>0.67</v>
      </c>
      <c r="L28" s="21">
        <f>2000/10000</f>
        <v>0.2</v>
      </c>
      <c r="M28" s="21">
        <v>4.6100000000000003</v>
      </c>
      <c r="N28" s="20">
        <f>'4. Mineralogy wt.%'!L28</f>
        <v>3.2212803816178504</v>
      </c>
      <c r="O28" s="20">
        <f t="shared" ref="O28:O33" si="42">C28*E28*G28*H28</f>
        <v>0.48715778916362457</v>
      </c>
      <c r="P28" s="24">
        <v>592.98</v>
      </c>
      <c r="Q28" s="25">
        <v>58.15</v>
      </c>
      <c r="R28" s="26" t="s">
        <v>83</v>
      </c>
      <c r="S28" s="27">
        <f>(O28*((K28)^3)*((1/Q28)-(1/P28)))+$R$27</f>
        <v>2.3217670927024622E-3</v>
      </c>
      <c r="T28" s="23">
        <f t="shared" ref="T28:T33" si="43">SQRT(S28)</f>
        <v>4.8184718456191711E-2</v>
      </c>
      <c r="U28" s="21">
        <v>460</v>
      </c>
      <c r="V28" s="21">
        <v>406</v>
      </c>
      <c r="W28" s="20">
        <f t="shared" ref="W28:W32" si="44">V28/U28</f>
        <v>0.88260869565217392</v>
      </c>
      <c r="X28" s="20">
        <f t="shared" ref="X28:X33" si="45">1-W28</f>
        <v>0.11739130434782608</v>
      </c>
      <c r="Y28" s="23">
        <f>SQRT(S28)</f>
        <v>4.8184718456191711E-2</v>
      </c>
      <c r="Z28" s="23">
        <f t="shared" ref="Z28:Z33" si="46">SQRT((W28*X28)/U28)</f>
        <v>1.5008011339697305E-2</v>
      </c>
      <c r="AA28" s="48">
        <f t="shared" ref="AA28:AA33" si="47">SQRT((T28^2)+(Z28^2))</f>
        <v>5.0467885799535379E-2</v>
      </c>
    </row>
    <row r="29" spans="1:27" ht="16">
      <c r="A29" s="386"/>
      <c r="B29" s="34" t="s">
        <v>7</v>
      </c>
      <c r="C29" s="19">
        <f>'5. Roundness'!S22</f>
        <v>0.29720768526989938</v>
      </c>
      <c r="D29" s="20">
        <f t="shared" ref="D29:D32" si="48">K29/L29</f>
        <v>2</v>
      </c>
      <c r="E29" s="21">
        <v>0.5</v>
      </c>
      <c r="F29" s="21">
        <v>1</v>
      </c>
      <c r="G29" s="20">
        <f t="shared" si="40"/>
        <v>0.06</v>
      </c>
      <c r="H29" s="22">
        <f t="shared" si="41"/>
        <v>61.287125313834672</v>
      </c>
      <c r="I29" s="23">
        <f>'4. Mineralogy wt.%'!M20/100</f>
        <v>6.8588581981994204E-2</v>
      </c>
      <c r="J29" s="21">
        <f>'6. Grain Size Distribution'!R146/10000</f>
        <v>1.2E-2</v>
      </c>
      <c r="K29" s="21">
        <f>2000/10000</f>
        <v>0.2</v>
      </c>
      <c r="L29" s="21">
        <f>1000/10000</f>
        <v>0.1</v>
      </c>
      <c r="M29" s="21">
        <v>4.6100000000000003</v>
      </c>
      <c r="N29" s="20">
        <f>'4. Mineralogy wt.%'!M28</f>
        <v>3.1979194791634891</v>
      </c>
      <c r="O29" s="20">
        <f t="shared" si="42"/>
        <v>0.54645013954113175</v>
      </c>
      <c r="P29" s="24">
        <v>134.4</v>
      </c>
      <c r="Q29" s="25">
        <v>18.8</v>
      </c>
      <c r="R29" s="26" t="s">
        <v>83</v>
      </c>
      <c r="S29" s="27">
        <f t="shared" ref="S29:S33" si="49">(O29*((K29)^3)*((1/Q29)-(1/P29)))+$R$27</f>
        <v>2.4918770042098775E-4</v>
      </c>
      <c r="T29" s="23">
        <f t="shared" si="43"/>
        <v>1.5785680233077946E-2</v>
      </c>
      <c r="U29" s="21">
        <v>1093</v>
      </c>
      <c r="V29" s="21">
        <v>871</v>
      </c>
      <c r="W29" s="20">
        <f t="shared" si="44"/>
        <v>0.79688929551692589</v>
      </c>
      <c r="X29" s="20">
        <f t="shared" si="45"/>
        <v>0.20311070448307411</v>
      </c>
      <c r="Y29" s="23">
        <f t="shared" ref="Y29:Y31" si="50">SQRT(S29)</f>
        <v>1.5785680233077946E-2</v>
      </c>
      <c r="Z29" s="23">
        <f t="shared" si="46"/>
        <v>1.2169012068308208E-2</v>
      </c>
      <c r="AA29" s="48">
        <f t="shared" si="47"/>
        <v>1.9931697246838229E-2</v>
      </c>
    </row>
    <row r="30" spans="1:27" ht="16">
      <c r="A30" s="386"/>
      <c r="B30" s="34" t="s">
        <v>6</v>
      </c>
      <c r="C30" s="19">
        <f>'5. Roundness'!S24</f>
        <v>0.26519916142557654</v>
      </c>
      <c r="D30" s="20">
        <f t="shared" si="48"/>
        <v>2.3529411764705883</v>
      </c>
      <c r="E30" s="21">
        <f t="shared" ref="E30:E32" si="51">IF(D30=1,1,(IF((AND(D30&gt;1,D30&lt;2)),0.75,(IF((AND(D30&gt;2,D30&lt;4)),0.5,(IF(D30&gt;4,0.25,0)))))))</f>
        <v>0.5</v>
      </c>
      <c r="F30" s="21">
        <v>1</v>
      </c>
      <c r="G30" s="20">
        <f t="shared" si="40"/>
        <v>0.08</v>
      </c>
      <c r="H30" s="22">
        <f t="shared" si="41"/>
        <v>139.34234233694923</v>
      </c>
      <c r="I30" s="23">
        <f>'4. Mineralogy wt.%'!N20/100</f>
        <v>3.1695433589090598E-2</v>
      </c>
      <c r="J30" s="21">
        <f>'6. Grain Size Distribution'!R147/10000</f>
        <v>8.0000000000000002E-3</v>
      </c>
      <c r="K30" s="21">
        <f>1000/10000</f>
        <v>0.1</v>
      </c>
      <c r="L30" s="21">
        <f>425/10000</f>
        <v>4.2500000000000003E-2</v>
      </c>
      <c r="M30" s="21">
        <v>4.6100000000000003</v>
      </c>
      <c r="N30" s="20">
        <f>'4. Mineralogy wt.%'!N28</f>
        <v>3.0666045065071672</v>
      </c>
      <c r="O30" s="20">
        <f t="shared" si="42"/>
        <v>1.4781388935533819</v>
      </c>
      <c r="P30" s="24">
        <v>112.1</v>
      </c>
      <c r="Q30" s="25">
        <v>8.15</v>
      </c>
      <c r="R30" s="26" t="s">
        <v>83</v>
      </c>
      <c r="S30" s="27">
        <f t="shared" si="49"/>
        <v>2.1736336000239911E-4</v>
      </c>
      <c r="T30" s="23">
        <f t="shared" si="43"/>
        <v>1.4743247946175195E-2</v>
      </c>
      <c r="U30" s="28">
        <v>1431</v>
      </c>
      <c r="V30" s="21">
        <v>653</v>
      </c>
      <c r="W30" s="20">
        <f t="shared" si="44"/>
        <v>0.45632424877707894</v>
      </c>
      <c r="X30" s="20">
        <f t="shared" si="45"/>
        <v>0.54367575122292111</v>
      </c>
      <c r="Y30" s="23">
        <f t="shared" si="50"/>
        <v>1.4743247946175195E-2</v>
      </c>
      <c r="Z30" s="23">
        <f t="shared" si="46"/>
        <v>1.3167003120588132E-2</v>
      </c>
      <c r="AA30" s="48">
        <f t="shared" si="47"/>
        <v>1.9766975772231236E-2</v>
      </c>
    </row>
    <row r="31" spans="1:27" ht="16">
      <c r="A31" s="386"/>
      <c r="B31" s="34" t="s">
        <v>5</v>
      </c>
      <c r="C31" s="19">
        <f>'5. Roundness'!S26</f>
        <v>0.28682505399568031</v>
      </c>
      <c r="D31" s="20">
        <f t="shared" si="48"/>
        <v>2.8333333333333335</v>
      </c>
      <c r="E31" s="21">
        <f t="shared" si="51"/>
        <v>0.5</v>
      </c>
      <c r="F31" s="21">
        <v>1</v>
      </c>
      <c r="G31" s="20">
        <f t="shared" si="40"/>
        <v>0.18823529411764706</v>
      </c>
      <c r="H31" s="22">
        <f t="shared" si="41"/>
        <v>141.7231658102028</v>
      </c>
      <c r="I31" s="23">
        <f>'4. Mineralogy wt.%'!O20/100</f>
        <v>3.1167982249546401E-2</v>
      </c>
      <c r="J31" s="21">
        <f>'6. Grain Size Distribution'!R148/10000</f>
        <v>8.0000000000000002E-3</v>
      </c>
      <c r="K31" s="21">
        <f>425/10000</f>
        <v>4.2500000000000003E-2</v>
      </c>
      <c r="L31" s="21">
        <f>150/10000</f>
        <v>1.4999999999999999E-2</v>
      </c>
      <c r="M31" s="21">
        <v>4.6100000000000003</v>
      </c>
      <c r="N31" s="20">
        <f>'4. Mineralogy wt.%'!O28</f>
        <v>2.9843009325335412</v>
      </c>
      <c r="O31" s="20">
        <f t="shared" si="42"/>
        <v>3.825859264560016</v>
      </c>
      <c r="P31" s="24">
        <v>40.760000000000005</v>
      </c>
      <c r="Q31" s="25">
        <v>7.95</v>
      </c>
      <c r="R31" s="26" t="s">
        <v>83</v>
      </c>
      <c r="S31" s="27">
        <f t="shared" si="49"/>
        <v>7.8919763520420981E-5</v>
      </c>
      <c r="T31" s="23">
        <f t="shared" si="43"/>
        <v>8.88367961603867E-3</v>
      </c>
      <c r="U31" s="28">
        <v>4077</v>
      </c>
      <c r="V31" s="21">
        <v>1421</v>
      </c>
      <c r="W31" s="20">
        <f t="shared" si="44"/>
        <v>0.34854059357370615</v>
      </c>
      <c r="X31" s="20">
        <f t="shared" si="45"/>
        <v>0.65145940642629385</v>
      </c>
      <c r="Y31" s="23">
        <f t="shared" si="50"/>
        <v>8.88367961603867E-3</v>
      </c>
      <c r="Z31" s="23">
        <f t="shared" si="46"/>
        <v>7.46276914276091E-3</v>
      </c>
      <c r="AA31" s="48">
        <f t="shared" si="47"/>
        <v>1.160227076044019E-2</v>
      </c>
    </row>
    <row r="32" spans="1:27" ht="16">
      <c r="A32" s="386"/>
      <c r="B32" s="34" t="s">
        <v>4</v>
      </c>
      <c r="C32" s="19">
        <f>'5. Roundness'!S28</f>
        <v>0.29842682140554483</v>
      </c>
      <c r="D32" s="20">
        <f t="shared" si="48"/>
        <v>30</v>
      </c>
      <c r="E32" s="21">
        <f t="shared" si="51"/>
        <v>0.25</v>
      </c>
      <c r="F32" s="21">
        <v>1</v>
      </c>
      <c r="G32" s="20">
        <f t="shared" si="40"/>
        <v>0.27999999999999997</v>
      </c>
      <c r="H32" s="22">
        <f t="shared" si="41"/>
        <v>78.269888927748568</v>
      </c>
      <c r="I32" s="23">
        <f>'4. Mineralogy wt.%'!P20/100</f>
        <v>5.4681657558167097E-2</v>
      </c>
      <c r="J32" s="21">
        <f>'6. Grain Size Distribution'!R149/10000</f>
        <v>4.1999999999999997E-3</v>
      </c>
      <c r="K32" s="21">
        <f>150/10000</f>
        <v>1.4999999999999999E-2</v>
      </c>
      <c r="L32" s="21">
        <f>5/10000</f>
        <v>5.0000000000000001E-4</v>
      </c>
      <c r="M32" s="21">
        <v>4.6100000000000003</v>
      </c>
      <c r="N32" s="20">
        <f>'4. Mineralogy wt.%'!P28</f>
        <v>3.1012377524497623</v>
      </c>
      <c r="O32" s="20">
        <f t="shared" si="42"/>
        <v>1.6350483915131135</v>
      </c>
      <c r="P32" s="24">
        <v>114.66</v>
      </c>
      <c r="Q32" s="25">
        <v>8.11</v>
      </c>
      <c r="R32" s="26" t="s">
        <v>83</v>
      </c>
      <c r="S32" s="27">
        <f t="shared" si="49"/>
        <v>4.9814822888850411E-5</v>
      </c>
      <c r="T32" s="23">
        <f t="shared" si="43"/>
        <v>7.0579616667172688E-3</v>
      </c>
      <c r="U32" s="21">
        <v>228354</v>
      </c>
      <c r="V32" s="21">
        <v>14508</v>
      </c>
      <c r="W32" s="20">
        <f t="shared" si="44"/>
        <v>6.3532935705089472E-2</v>
      </c>
      <c r="X32" s="20">
        <f t="shared" si="45"/>
        <v>0.93646706429491056</v>
      </c>
      <c r="Y32" s="29">
        <f>SQRT(S32)</f>
        <v>7.0579616667172688E-3</v>
      </c>
      <c r="Z32" s="23">
        <f t="shared" si="46"/>
        <v>5.1043612605392507E-4</v>
      </c>
      <c r="AA32" s="48">
        <f t="shared" si="47"/>
        <v>7.0763951223508812E-3</v>
      </c>
    </row>
    <row r="33" spans="1:27" ht="16" customHeight="1" thickBot="1">
      <c r="A33" s="49" t="s">
        <v>87</v>
      </c>
      <c r="B33" s="50" t="s">
        <v>35</v>
      </c>
      <c r="C33" s="51">
        <v>0.3</v>
      </c>
      <c r="D33" s="52">
        <f>K33/L33</f>
        <v>30</v>
      </c>
      <c r="E33" s="53">
        <v>0.5</v>
      </c>
      <c r="F33" s="53">
        <v>1</v>
      </c>
      <c r="G33" s="52">
        <f t="shared" si="40"/>
        <v>0.14666666666666667</v>
      </c>
      <c r="H33" s="54">
        <f t="shared" si="41"/>
        <v>101.60947211887496</v>
      </c>
      <c r="I33" s="55">
        <f>'4. Mineralogy wt.%'!Q20/100</f>
        <v>4.2846964842211802E-2</v>
      </c>
      <c r="J33" s="53">
        <f>'6. Grain Size Distribution'!R150/10000</f>
        <v>2.2000000000000001E-3</v>
      </c>
      <c r="K33" s="53">
        <f>150/10000</f>
        <v>1.4999999999999999E-2</v>
      </c>
      <c r="L33" s="53">
        <f>5/10000</f>
        <v>5.0000000000000001E-4</v>
      </c>
      <c r="M33" s="53">
        <v>4.6100000000000003</v>
      </c>
      <c r="N33" s="52">
        <f>'4. Mineralogy wt.%'!Q28</f>
        <v>3.175802695948434</v>
      </c>
      <c r="O33" s="52">
        <f t="shared" si="42"/>
        <v>2.2354083866152492</v>
      </c>
      <c r="P33" s="56">
        <v>994.9</v>
      </c>
      <c r="Q33" s="56">
        <v>4</v>
      </c>
      <c r="R33" s="57" t="s">
        <v>83</v>
      </c>
      <c r="S33" s="58">
        <f t="shared" si="49"/>
        <v>5.1061062817167623E-5</v>
      </c>
      <c r="T33" s="55">
        <f t="shared" si="43"/>
        <v>7.1457024019453558E-3</v>
      </c>
      <c r="U33" s="59">
        <v>234281</v>
      </c>
      <c r="V33" s="59">
        <v>11805</v>
      </c>
      <c r="W33" s="52">
        <f t="shared" ref="W33" si="52">V33/U33</f>
        <v>5.0388209031035379E-2</v>
      </c>
      <c r="X33" s="52">
        <f t="shared" si="45"/>
        <v>0.94961179096896464</v>
      </c>
      <c r="Y33" s="55">
        <f>SQRT(S33)</f>
        <v>7.1457024019453558E-3</v>
      </c>
      <c r="Z33" s="55">
        <f t="shared" si="46"/>
        <v>4.5192771507281148E-4</v>
      </c>
      <c r="AA33" s="60">
        <f t="shared" si="47"/>
        <v>7.1599791533787701E-3</v>
      </c>
    </row>
    <row r="34" spans="1:27" ht="16" thickBot="1"/>
    <row r="35" spans="1:27" ht="20" thickBot="1">
      <c r="A35" s="32" t="s">
        <v>25</v>
      </c>
      <c r="B35" s="32" t="s">
        <v>13</v>
      </c>
      <c r="C35" s="163" t="s">
        <v>225</v>
      </c>
      <c r="D35" s="163" t="s">
        <v>226</v>
      </c>
      <c r="E35" s="164" t="s">
        <v>227</v>
      </c>
      <c r="G35" s="32" t="s">
        <v>25</v>
      </c>
      <c r="H35" s="178" t="s">
        <v>231</v>
      </c>
      <c r="I35" s="178" t="s">
        <v>225</v>
      </c>
      <c r="J35" s="178" t="s">
        <v>226</v>
      </c>
      <c r="K35" s="179" t="s">
        <v>227</v>
      </c>
    </row>
    <row r="36" spans="1:27" ht="16" thickBot="1">
      <c r="A36" s="381" t="s">
        <v>228</v>
      </c>
      <c r="B36" s="165" t="s">
        <v>8</v>
      </c>
      <c r="C36" s="166">
        <f t="shared" ref="C36:E39" si="53">Y4</f>
        <v>6.5183997453649084E-2</v>
      </c>
      <c r="D36" s="166">
        <f t="shared" si="53"/>
        <v>1.5939825032152882E-2</v>
      </c>
      <c r="E36" s="167">
        <f t="shared" si="53"/>
        <v>6.7104631331175488E-2</v>
      </c>
      <c r="G36" s="381" t="s">
        <v>228</v>
      </c>
      <c r="H36" s="171" t="s">
        <v>232</v>
      </c>
      <c r="I36" s="166">
        <f>Y3</f>
        <v>3.6158673885958231E-3</v>
      </c>
      <c r="J36" s="166" t="str">
        <f>Z3</f>
        <v>-</v>
      </c>
      <c r="K36" s="167">
        <f>AA3</f>
        <v>3.6158673885958231E-3</v>
      </c>
    </row>
    <row r="37" spans="1:27" ht="16" thickBot="1">
      <c r="A37" s="379"/>
      <c r="B37" s="165" t="s">
        <v>7</v>
      </c>
      <c r="C37" s="166">
        <f t="shared" si="53"/>
        <v>2.6585580117121456E-2</v>
      </c>
      <c r="D37" s="166">
        <f t="shared" si="53"/>
        <v>1.2394963356060378E-2</v>
      </c>
      <c r="E37" s="167">
        <f t="shared" si="53"/>
        <v>2.9333056212436561E-2</v>
      </c>
      <c r="G37" s="380"/>
      <c r="H37" s="180" t="s">
        <v>233</v>
      </c>
      <c r="I37" s="169">
        <f>Y9</f>
        <v>3.8605765595363323E-3</v>
      </c>
      <c r="J37" s="169">
        <f>Z9</f>
        <v>9.3263936139032909E-4</v>
      </c>
      <c r="K37" s="170">
        <f>AA9</f>
        <v>3.9716328569564365E-3</v>
      </c>
    </row>
    <row r="38" spans="1:27" ht="17" thickTop="1" thickBot="1">
      <c r="A38" s="379"/>
      <c r="B38" s="165" t="s">
        <v>6</v>
      </c>
      <c r="C38" s="166">
        <f t="shared" si="53"/>
        <v>1.9271115531741906E-2</v>
      </c>
      <c r="D38" s="166">
        <f t="shared" si="53"/>
        <v>1.8099956057599013E-2</v>
      </c>
      <c r="E38" s="167">
        <f t="shared" si="53"/>
        <v>2.643831127596389E-2</v>
      </c>
      <c r="G38" s="378" t="s">
        <v>229</v>
      </c>
      <c r="H38" s="171" t="s">
        <v>232</v>
      </c>
      <c r="I38" s="166">
        <f>Y11</f>
        <v>3.4021206508100233E-3</v>
      </c>
      <c r="J38" s="166" t="str">
        <f>Z11</f>
        <v>-</v>
      </c>
      <c r="K38" s="167">
        <f>AA11</f>
        <v>3.4021206508100233E-3</v>
      </c>
    </row>
    <row r="39" spans="1:27" s="18" customFormat="1" ht="16" thickBot="1">
      <c r="A39" s="379"/>
      <c r="B39" s="165" t="s">
        <v>5</v>
      </c>
      <c r="C39" s="166">
        <f t="shared" si="53"/>
        <v>6.9058141453137269E-3</v>
      </c>
      <c r="D39" s="166">
        <f t="shared" si="53"/>
        <v>7.1870155163340473E-3</v>
      </c>
      <c r="E39" s="167">
        <f t="shared" si="53"/>
        <v>9.9671189940544764E-3</v>
      </c>
      <c r="G39" s="380"/>
      <c r="H39" s="180" t="s">
        <v>233</v>
      </c>
      <c r="I39" s="169">
        <f>AA17</f>
        <v>3.7159333982427494E-3</v>
      </c>
      <c r="J39" s="169">
        <f>Z17</f>
        <v>4.5450432660273883E-4</v>
      </c>
      <c r="K39" s="170">
        <f>AA17</f>
        <v>3.7159333982427494E-3</v>
      </c>
    </row>
    <row r="40" spans="1:27" s="30" customFormat="1" ht="17" thickTop="1" thickBot="1">
      <c r="A40" s="380"/>
      <c r="B40" s="168" t="s">
        <v>4</v>
      </c>
      <c r="C40" s="169">
        <f>Y8</f>
        <v>3.6839270166237519E-3</v>
      </c>
      <c r="D40" s="169">
        <f>Z9</f>
        <v>9.3263936139032909E-4</v>
      </c>
      <c r="E40" s="170">
        <f>AA8</f>
        <v>3.7546736912712313E-3</v>
      </c>
      <c r="G40" s="378" t="s">
        <v>3</v>
      </c>
      <c r="H40" s="171" t="s">
        <v>232</v>
      </c>
      <c r="I40" s="166">
        <f>Y19</f>
        <v>4.2635853437349479E-3</v>
      </c>
      <c r="J40" s="166" t="str">
        <f>Z19</f>
        <v>-</v>
      </c>
      <c r="K40" s="167">
        <f>AA19</f>
        <v>4.2635853437349479E-3</v>
      </c>
    </row>
    <row r="41" spans="1:27" s="21" customFormat="1" ht="17" thickTop="1" thickBot="1">
      <c r="A41" s="378" t="s">
        <v>229</v>
      </c>
      <c r="B41" s="174" t="s">
        <v>8</v>
      </c>
      <c r="C41" s="175">
        <f t="shared" ref="C41:E44" si="54">Y12</f>
        <v>3.98791372471042E-2</v>
      </c>
      <c r="D41" s="175">
        <f t="shared" si="54"/>
        <v>1.2835001749636074E-2</v>
      </c>
      <c r="E41" s="176">
        <f t="shared" si="54"/>
        <v>4.1893709044276979E-2</v>
      </c>
      <c r="G41" s="380"/>
      <c r="H41" s="180" t="s">
        <v>233</v>
      </c>
      <c r="I41" s="169">
        <f>AA25</f>
        <v>4.3947229864603485E-3</v>
      </c>
      <c r="J41" s="169">
        <v>8.9999999999999998E-4</v>
      </c>
      <c r="K41" s="170">
        <f>AA25</f>
        <v>4.3947229864603485E-3</v>
      </c>
    </row>
    <row r="42" spans="1:27" s="21" customFormat="1" ht="17" thickTop="1" thickBot="1">
      <c r="A42" s="379"/>
      <c r="B42" s="171" t="s">
        <v>7</v>
      </c>
      <c r="C42" s="166">
        <f t="shared" si="54"/>
        <v>1.3570457220118086E-2</v>
      </c>
      <c r="D42" s="166">
        <f t="shared" si="54"/>
        <v>1.0581607695465211E-2</v>
      </c>
      <c r="E42" s="167">
        <f t="shared" si="54"/>
        <v>1.7208362228398832E-2</v>
      </c>
      <c r="G42" s="378" t="s">
        <v>230</v>
      </c>
      <c r="H42" s="171" t="s">
        <v>232</v>
      </c>
      <c r="I42" s="166">
        <f>Y27</f>
        <v>7.0130250369203114E-3</v>
      </c>
      <c r="J42" s="166" t="str">
        <f>Z27</f>
        <v>-</v>
      </c>
      <c r="K42" s="167">
        <f>AA27</f>
        <v>7.0130250369203114E-3</v>
      </c>
    </row>
    <row r="43" spans="1:27" s="21" customFormat="1" ht="16" thickBot="1">
      <c r="A43" s="379"/>
      <c r="B43" s="171" t="s">
        <v>6</v>
      </c>
      <c r="C43" s="166">
        <f t="shared" si="54"/>
        <v>1.601175074122917E-2</v>
      </c>
      <c r="D43" s="166">
        <f t="shared" si="54"/>
        <v>9.3737014887301517E-3</v>
      </c>
      <c r="E43" s="167">
        <f t="shared" si="54"/>
        <v>1.8553771621939157E-2</v>
      </c>
      <c r="G43" s="382"/>
      <c r="H43" s="171" t="s">
        <v>233</v>
      </c>
      <c r="I43" s="166">
        <f>AA33</f>
        <v>7.1599791533787701E-3</v>
      </c>
      <c r="J43" s="166">
        <f>Z33</f>
        <v>4.5192771507281148E-4</v>
      </c>
      <c r="K43" s="167">
        <f>AA33</f>
        <v>7.1599791533787701E-3</v>
      </c>
    </row>
    <row r="44" spans="1:27" s="21" customFormat="1" ht="17" customHeight="1" thickBot="1">
      <c r="A44" s="379"/>
      <c r="B44" s="171" t="s">
        <v>5</v>
      </c>
      <c r="C44" s="166">
        <f t="shared" si="54"/>
        <v>6.0683404448290132E-3</v>
      </c>
      <c r="D44" s="166">
        <f t="shared" si="54"/>
        <v>4.4163061821624466E-3</v>
      </c>
      <c r="E44" s="167">
        <f t="shared" si="54"/>
        <v>7.5052325779387963E-3</v>
      </c>
      <c r="G44" s="15"/>
      <c r="H44" s="15"/>
      <c r="I44" s="15"/>
      <c r="J44" s="15"/>
      <c r="K44" s="15"/>
    </row>
    <row r="45" spans="1:27" s="21" customFormat="1" ht="16" thickBot="1">
      <c r="A45" s="380"/>
      <c r="B45" s="172" t="s">
        <v>4</v>
      </c>
      <c r="C45" s="173">
        <f>Y17</f>
        <v>3.6880329224771432E-3</v>
      </c>
      <c r="D45" s="169">
        <f>Z17</f>
        <v>4.5450432660273883E-4</v>
      </c>
      <c r="E45" s="170">
        <f>AA16</f>
        <v>3.5563596082789743E-3</v>
      </c>
      <c r="G45" s="15"/>
      <c r="H45" s="15"/>
      <c r="I45" s="15"/>
      <c r="J45" s="15"/>
      <c r="K45" s="15"/>
    </row>
    <row r="46" spans="1:27" ht="15" customHeight="1" thickTop="1" thickBot="1">
      <c r="A46" s="378" t="s">
        <v>3</v>
      </c>
      <c r="B46" s="177" t="s">
        <v>8</v>
      </c>
      <c r="C46" s="175">
        <f t="shared" ref="C46:E49" si="55">Y20</f>
        <v>2.689053013226313E-2</v>
      </c>
      <c r="D46" s="175">
        <f t="shared" si="55"/>
        <v>0</v>
      </c>
      <c r="E46" s="176">
        <f t="shared" si="55"/>
        <v>2.689053013226313E-2</v>
      </c>
    </row>
    <row r="47" spans="1:27" ht="16" thickBot="1">
      <c r="A47" s="379"/>
      <c r="B47" s="165" t="s">
        <v>7</v>
      </c>
      <c r="C47" s="166">
        <f t="shared" si="55"/>
        <v>1.3473928951342574E-2</v>
      </c>
      <c r="D47" s="166">
        <f t="shared" si="55"/>
        <v>1.0836875970915902E-3</v>
      </c>
      <c r="E47" s="167">
        <f t="shared" si="55"/>
        <v>1.351743837396412E-2</v>
      </c>
    </row>
    <row r="48" spans="1:27" ht="17" customHeight="1" thickBot="1">
      <c r="A48" s="379"/>
      <c r="B48" s="165" t="s">
        <v>6</v>
      </c>
      <c r="C48" s="166">
        <f t="shared" si="55"/>
        <v>9.3214423777462294E-3</v>
      </c>
      <c r="D48" s="166">
        <f t="shared" si="55"/>
        <v>4.0236572810645249E-3</v>
      </c>
      <c r="E48" s="167">
        <f t="shared" si="55"/>
        <v>1.0152788085895757E-2</v>
      </c>
    </row>
    <row r="49" spans="1:7" ht="16" thickBot="1">
      <c r="A49" s="379"/>
      <c r="B49" s="165" t="s">
        <v>5</v>
      </c>
      <c r="C49" s="166">
        <f t="shared" si="55"/>
        <v>4.8374140715445688E-3</v>
      </c>
      <c r="D49" s="166">
        <f t="shared" si="55"/>
        <v>5.9493794618082933E-3</v>
      </c>
      <c r="E49" s="167">
        <f t="shared" si="55"/>
        <v>7.6678348234794245E-3</v>
      </c>
    </row>
    <row r="50" spans="1:7" ht="16" thickBot="1">
      <c r="A50" s="380"/>
      <c r="B50" s="168" t="s">
        <v>4</v>
      </c>
      <c r="C50" s="169">
        <f>Y25</f>
        <v>4.3048223853080145E-3</v>
      </c>
      <c r="D50" s="169">
        <f>Z25</f>
        <v>8.8436098889197021E-4</v>
      </c>
      <c r="E50" s="170">
        <f>AA24</f>
        <v>4.3813617794951553E-3</v>
      </c>
    </row>
    <row r="51" spans="1:7" ht="17" thickTop="1" thickBot="1">
      <c r="A51" s="378" t="s">
        <v>230</v>
      </c>
      <c r="B51" s="177" t="s">
        <v>8</v>
      </c>
      <c r="C51" s="175">
        <f t="shared" ref="C51:E54" si="56">Y28</f>
        <v>4.8184718456191711E-2</v>
      </c>
      <c r="D51" s="175">
        <f t="shared" si="56"/>
        <v>1.5008011339697305E-2</v>
      </c>
      <c r="E51" s="176">
        <f t="shared" si="56"/>
        <v>5.0467885799535379E-2</v>
      </c>
    </row>
    <row r="52" spans="1:7" ht="15" customHeight="1" thickBot="1">
      <c r="A52" s="379"/>
      <c r="B52" s="165" t="s">
        <v>7</v>
      </c>
      <c r="C52" s="166">
        <f t="shared" si="56"/>
        <v>1.5785680233077946E-2</v>
      </c>
      <c r="D52" s="166">
        <f t="shared" si="56"/>
        <v>1.2169012068308208E-2</v>
      </c>
      <c r="E52" s="167">
        <f t="shared" si="56"/>
        <v>1.9931697246838229E-2</v>
      </c>
    </row>
    <row r="53" spans="1:7" ht="16" thickBot="1">
      <c r="A53" s="379"/>
      <c r="B53" s="165" t="s">
        <v>6</v>
      </c>
      <c r="C53" s="166">
        <f t="shared" si="56"/>
        <v>1.4743247946175195E-2</v>
      </c>
      <c r="D53" s="166">
        <f t="shared" si="56"/>
        <v>1.3167003120588132E-2</v>
      </c>
      <c r="E53" s="167">
        <f t="shared" si="56"/>
        <v>1.9766975772231236E-2</v>
      </c>
    </row>
    <row r="54" spans="1:7" ht="16" thickBot="1">
      <c r="A54" s="379"/>
      <c r="B54" s="165" t="s">
        <v>5</v>
      </c>
      <c r="C54" s="166">
        <f t="shared" si="56"/>
        <v>8.88367961603867E-3</v>
      </c>
      <c r="D54" s="166">
        <f t="shared" si="56"/>
        <v>7.46276914276091E-3</v>
      </c>
      <c r="E54" s="167">
        <f t="shared" si="56"/>
        <v>1.160227076044019E-2</v>
      </c>
    </row>
    <row r="55" spans="1:7" ht="16" thickBot="1">
      <c r="A55" s="380"/>
      <c r="B55" s="168" t="s">
        <v>4</v>
      </c>
      <c r="C55" s="169">
        <f>Y33</f>
        <v>7.1457024019453558E-3</v>
      </c>
      <c r="D55" s="169">
        <f>Z32</f>
        <v>5.1043612605392507E-4</v>
      </c>
      <c r="E55" s="170">
        <f>AA32</f>
        <v>7.0763951223508812E-3</v>
      </c>
    </row>
    <row r="56" spans="1:7" ht="16" thickTop="1"/>
    <row r="58" spans="1:7" ht="17" customHeight="1">
      <c r="G58" s="16"/>
    </row>
    <row r="59" spans="1:7">
      <c r="A59" s="17"/>
    </row>
    <row r="62" spans="1:7">
      <c r="B62" s="16"/>
      <c r="C62" s="16"/>
      <c r="D62" s="16"/>
      <c r="E62" s="16"/>
      <c r="F62" s="16"/>
    </row>
    <row r="63" spans="1:7" ht="15" customHeight="1"/>
  </sheetData>
  <mergeCells count="14">
    <mergeCell ref="A1:A2"/>
    <mergeCell ref="A36:A40"/>
    <mergeCell ref="B1:B2"/>
    <mergeCell ref="A27:A32"/>
    <mergeCell ref="A3:A8"/>
    <mergeCell ref="A11:A16"/>
    <mergeCell ref="A19:A24"/>
    <mergeCell ref="A46:A50"/>
    <mergeCell ref="A51:A55"/>
    <mergeCell ref="G36:G37"/>
    <mergeCell ref="G38:G39"/>
    <mergeCell ref="G40:G41"/>
    <mergeCell ref="G42:G43"/>
    <mergeCell ref="A41:A4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5BB2FC-6EEA-574E-8330-6E776AE90DB1}">
  <dimension ref="A1:AA76"/>
  <sheetViews>
    <sheetView zoomScale="82" workbookViewId="0">
      <selection sqref="A1:A2"/>
    </sheetView>
  </sheetViews>
  <sheetFormatPr baseColWidth="10" defaultRowHeight="15"/>
  <cols>
    <col min="1" max="1" width="18.33203125" style="15" customWidth="1"/>
    <col min="2" max="2" width="17.5" style="15" customWidth="1"/>
    <col min="3" max="3" width="14.33203125" style="15" customWidth="1"/>
    <col min="4" max="4" width="9.83203125" style="15" customWidth="1"/>
    <col min="5" max="5" width="13.33203125" style="15" customWidth="1"/>
    <col min="6" max="6" width="8.33203125" style="15" customWidth="1"/>
    <col min="7" max="7" width="9.5" style="15" customWidth="1"/>
    <col min="8" max="8" width="10.1640625" style="15" customWidth="1"/>
    <col min="9" max="9" width="11.83203125" style="15" bestFit="1" customWidth="1"/>
    <col min="10" max="10" width="11.83203125" style="15" customWidth="1"/>
    <col min="11" max="11" width="10.83203125" style="15"/>
    <col min="12" max="13" width="9" style="15" customWidth="1"/>
    <col min="14" max="15" width="10.83203125" style="15"/>
    <col min="16" max="16" width="13.33203125" style="15" customWidth="1"/>
    <col min="17" max="17" width="16.5" style="15" customWidth="1"/>
    <col min="18" max="18" width="13.83203125" style="15" customWidth="1"/>
    <col min="19" max="19" width="10.83203125" style="15"/>
    <col min="20" max="20" width="12.33203125" style="15" customWidth="1"/>
    <col min="21" max="21" width="12" style="15" customWidth="1"/>
    <col min="22" max="22" width="14.5" style="15" customWidth="1"/>
    <col min="23" max="23" width="12.33203125" style="15" customWidth="1"/>
    <col min="24" max="24" width="10.83203125" style="15"/>
    <col min="25" max="25" width="11" style="15" customWidth="1"/>
    <col min="26" max="26" width="16" style="15" customWidth="1"/>
    <col min="27" max="27" width="19.1640625" style="15" customWidth="1"/>
    <col min="28" max="16384" width="10.83203125" style="15"/>
  </cols>
  <sheetData>
    <row r="1" spans="1:27" ht="80">
      <c r="A1" s="334" t="s">
        <v>170</v>
      </c>
      <c r="B1" s="383" t="s">
        <v>169</v>
      </c>
      <c r="C1" s="383" t="s">
        <v>221</v>
      </c>
      <c r="D1" s="45" t="s">
        <v>41</v>
      </c>
      <c r="E1" s="45" t="s">
        <v>46</v>
      </c>
      <c r="F1" s="45"/>
      <c r="G1" s="45" t="s">
        <v>42</v>
      </c>
      <c r="H1" s="45" t="s">
        <v>43</v>
      </c>
      <c r="I1" s="46" t="s">
        <v>45</v>
      </c>
      <c r="J1" s="45" t="s">
        <v>101</v>
      </c>
      <c r="K1" s="45" t="s">
        <v>102</v>
      </c>
      <c r="L1" s="45" t="s">
        <v>103</v>
      </c>
      <c r="M1" s="45" t="s">
        <v>104</v>
      </c>
      <c r="N1" s="45" t="s">
        <v>105</v>
      </c>
      <c r="O1" s="45" t="s">
        <v>40</v>
      </c>
      <c r="P1" s="45" t="s">
        <v>58</v>
      </c>
      <c r="Q1" s="45" t="s">
        <v>81</v>
      </c>
      <c r="R1" s="45" t="s">
        <v>84</v>
      </c>
      <c r="S1" s="45" t="s">
        <v>82</v>
      </c>
      <c r="T1" s="45" t="s">
        <v>62</v>
      </c>
      <c r="U1" s="45" t="s">
        <v>59</v>
      </c>
      <c r="V1" s="45" t="s">
        <v>60</v>
      </c>
      <c r="W1" s="45" t="s">
        <v>61</v>
      </c>
      <c r="X1" s="45" t="s">
        <v>12</v>
      </c>
      <c r="Y1" s="45" t="s">
        <v>106</v>
      </c>
      <c r="Z1" s="45" t="s">
        <v>64</v>
      </c>
      <c r="AA1" s="47" t="s">
        <v>65</v>
      </c>
    </row>
    <row r="2" spans="1:27" ht="20" thickBot="1">
      <c r="A2" s="336"/>
      <c r="B2" s="384"/>
      <c r="C2" s="384"/>
      <c r="D2" s="62" t="s">
        <v>2</v>
      </c>
      <c r="E2" s="62" t="s">
        <v>0</v>
      </c>
      <c r="F2" s="62" t="s">
        <v>36</v>
      </c>
      <c r="G2" s="63" t="s">
        <v>44</v>
      </c>
      <c r="H2" s="63" t="s">
        <v>1</v>
      </c>
      <c r="I2" s="64" t="s">
        <v>37</v>
      </c>
      <c r="J2" s="63" t="s">
        <v>131</v>
      </c>
      <c r="K2" s="63" t="s">
        <v>89</v>
      </c>
      <c r="L2" s="63" t="s">
        <v>90</v>
      </c>
      <c r="M2" s="63" t="s">
        <v>91</v>
      </c>
      <c r="N2" s="63" t="s">
        <v>92</v>
      </c>
      <c r="O2" s="62" t="s">
        <v>3</v>
      </c>
      <c r="P2" s="62" t="s">
        <v>93</v>
      </c>
      <c r="Q2" s="62" t="s">
        <v>94</v>
      </c>
      <c r="R2" s="65" t="s">
        <v>95</v>
      </c>
      <c r="S2" s="65" t="s">
        <v>96</v>
      </c>
      <c r="T2" s="62" t="s">
        <v>97</v>
      </c>
      <c r="U2" s="62" t="s">
        <v>11</v>
      </c>
      <c r="V2" s="62" t="s">
        <v>98</v>
      </c>
      <c r="W2" s="62" t="s">
        <v>10</v>
      </c>
      <c r="X2" s="62" t="s">
        <v>9</v>
      </c>
      <c r="Y2" s="62" t="s">
        <v>97</v>
      </c>
      <c r="Z2" s="62" t="s">
        <v>99</v>
      </c>
      <c r="AA2" s="66" t="s">
        <v>100</v>
      </c>
    </row>
    <row r="3" spans="1:27" ht="16">
      <c r="A3" s="385" t="s">
        <v>171</v>
      </c>
      <c r="B3" s="67" t="s">
        <v>175</v>
      </c>
      <c r="C3" s="67"/>
      <c r="D3" s="68">
        <v>0.3</v>
      </c>
      <c r="E3" s="70">
        <v>0.25</v>
      </c>
      <c r="F3" s="70">
        <v>1</v>
      </c>
      <c r="G3" s="69">
        <f>(J3/K3)^F3</f>
        <v>3.2835820895522387E-2</v>
      </c>
      <c r="H3" s="71">
        <f>((1-I3)/I3)*(((1-I3)*M3)+(I3*N3))</f>
        <v>66.324553048645456</v>
      </c>
      <c r="I3" s="72">
        <v>6.3783809228379201E-2</v>
      </c>
      <c r="J3" s="70">
        <v>2.1999999999999999E-2</v>
      </c>
      <c r="K3" s="70">
        <f t="shared" ref="K3:K9" si="0">6700/10000</f>
        <v>0.67</v>
      </c>
      <c r="L3" s="70">
        <f>5/10000</f>
        <v>5.0000000000000001E-4</v>
      </c>
      <c r="M3" s="70">
        <v>4.6100000000000003</v>
      </c>
      <c r="N3" s="69">
        <v>3.1778074558844294</v>
      </c>
      <c r="O3" s="69">
        <f t="shared" ref="O3:O9" si="1">D3*E3*G3*H3</f>
        <v>0.16333658586606714</v>
      </c>
      <c r="P3" s="73">
        <v>120000</v>
      </c>
      <c r="Q3" s="73">
        <v>3750</v>
      </c>
      <c r="R3" s="74">
        <f>(O3*((K3)^3)*((1/Q3)-(1/P3)))+(O3*((K3)^3)*((1/P3)))</f>
        <v>1.3100160419956256E-5</v>
      </c>
      <c r="S3" s="75" t="s">
        <v>83</v>
      </c>
      <c r="T3" s="72">
        <f>SQRT(R3)</f>
        <v>3.6194143752762346E-3</v>
      </c>
      <c r="U3" s="70">
        <v>189792</v>
      </c>
      <c r="V3" s="70">
        <v>24201</v>
      </c>
      <c r="W3" s="69">
        <f>V3/U3</f>
        <v>0.12751327769347495</v>
      </c>
      <c r="X3" s="69">
        <f>1-W3</f>
        <v>0.87248672230652502</v>
      </c>
      <c r="Y3" s="72">
        <f>SQRT(R3)</f>
        <v>3.6194143752762346E-3</v>
      </c>
      <c r="Z3" s="72">
        <f>SQRT((W3*X3)/U3)</f>
        <v>7.6562863281594436E-4</v>
      </c>
      <c r="AA3" s="76">
        <f>SQRT((T3^2)+(Z3^2))</f>
        <v>3.6995064026629104E-3</v>
      </c>
    </row>
    <row r="4" spans="1:27" ht="18">
      <c r="A4" s="386"/>
      <c r="B4" s="34" t="s">
        <v>176</v>
      </c>
      <c r="C4" s="34">
        <v>0.1</v>
      </c>
      <c r="D4" s="19">
        <v>0.30705647840531564</v>
      </c>
      <c r="E4" s="21">
        <v>0.5</v>
      </c>
      <c r="F4" s="21">
        <v>1</v>
      </c>
      <c r="G4" s="20">
        <f>(J4/K4)^F4</f>
        <v>0.14925373134328357</v>
      </c>
      <c r="H4" s="22">
        <f t="shared" ref="H4" si="2">((1-I4)/I4)*(((1-I4)*M4)+(I4*N4))</f>
        <v>76.693145448429661</v>
      </c>
      <c r="I4" s="23">
        <v>5.5778465330423702E-2</v>
      </c>
      <c r="J4" s="21">
        <v>0.1</v>
      </c>
      <c r="K4" s="21">
        <f t="shared" si="0"/>
        <v>0.67</v>
      </c>
      <c r="L4" s="21">
        <f t="shared" ref="L4:L9" si="3">2000/10000</f>
        <v>0.2</v>
      </c>
      <c r="M4" s="21">
        <v>4.6100000000000003</v>
      </c>
      <c r="N4" s="20">
        <v>3.1852939160404103</v>
      </c>
      <c r="O4" s="20">
        <f t="shared" si="1"/>
        <v>1.7573975491956322</v>
      </c>
      <c r="P4" s="24">
        <v>850</v>
      </c>
      <c r="Q4" s="25">
        <v>30.09</v>
      </c>
      <c r="R4" s="26" t="s">
        <v>83</v>
      </c>
      <c r="S4" s="27">
        <f t="shared" ref="S4:S9" si="4">(O4*((K4)^3)*((1/Q4)-(1/P4)))+$R$3</f>
        <v>1.6957238726620857E-2</v>
      </c>
      <c r="T4" s="23">
        <f t="shared" ref="T4:T9" si="5">SQRT(S4)</f>
        <v>0.13021996285754675</v>
      </c>
      <c r="U4" s="21">
        <v>301</v>
      </c>
      <c r="V4" s="21">
        <v>280</v>
      </c>
      <c r="W4" s="20">
        <f t="shared" ref="W4" si="6">V4/U4</f>
        <v>0.93023255813953487</v>
      </c>
      <c r="X4" s="20">
        <f t="shared" ref="X4" si="7">1-W4</f>
        <v>6.9767441860465129E-2</v>
      </c>
      <c r="Y4" s="23">
        <f t="shared" ref="Y4:Y9" si="8">SQRT(S4)</f>
        <v>0.13021996285754675</v>
      </c>
      <c r="Z4" s="23">
        <f t="shared" ref="Z4" si="9">SQRT((W4*X4)/U4)</f>
        <v>1.4683815521229516E-2</v>
      </c>
      <c r="AA4" s="48">
        <f t="shared" ref="AA4" si="10">SQRT((T4^2)+(Z4^2))</f>
        <v>0.13104523327798823</v>
      </c>
    </row>
    <row r="5" spans="1:27" ht="18">
      <c r="A5" s="386"/>
      <c r="B5" s="34" t="s">
        <v>177</v>
      </c>
      <c r="C5" s="34">
        <v>0.2</v>
      </c>
      <c r="D5" s="19">
        <v>0.30705647840531564</v>
      </c>
      <c r="E5" s="21">
        <v>0.5</v>
      </c>
      <c r="F5" s="21">
        <v>1</v>
      </c>
      <c r="G5" s="20">
        <f t="shared" ref="G5:G9" si="11">(J5/K5)^F5</f>
        <v>0.29850746268656714</v>
      </c>
      <c r="H5" s="22">
        <f t="shared" ref="H5:H9" si="12">((1-I5)/I5)*(((1-I5)*M5)+(I5*N5))</f>
        <v>76.693145448429661</v>
      </c>
      <c r="I5" s="23">
        <v>5.5778465330423702E-2</v>
      </c>
      <c r="J5" s="21">
        <v>0.2</v>
      </c>
      <c r="K5" s="21">
        <f t="shared" si="0"/>
        <v>0.67</v>
      </c>
      <c r="L5" s="21">
        <f t="shared" si="3"/>
        <v>0.2</v>
      </c>
      <c r="M5" s="21">
        <v>4.6100000000000003</v>
      </c>
      <c r="N5" s="20">
        <v>3.1852939160404103</v>
      </c>
      <c r="O5" s="20">
        <f t="shared" si="1"/>
        <v>3.5147950983912644</v>
      </c>
      <c r="P5" s="24">
        <v>850</v>
      </c>
      <c r="Q5" s="25">
        <v>30.09</v>
      </c>
      <c r="R5" s="26" t="s">
        <v>83</v>
      </c>
      <c r="S5" s="27">
        <f t="shared" si="4"/>
        <v>3.3901377292821756E-2</v>
      </c>
      <c r="T5" s="23">
        <f t="shared" si="5"/>
        <v>0.18412326657112554</v>
      </c>
      <c r="U5" s="21">
        <v>301</v>
      </c>
      <c r="V5" s="21">
        <v>280</v>
      </c>
      <c r="W5" s="20">
        <f t="shared" ref="W5:W9" si="13">V5/U5</f>
        <v>0.93023255813953487</v>
      </c>
      <c r="X5" s="20">
        <f t="shared" ref="X5:X9" si="14">1-W5</f>
        <v>6.9767441860465129E-2</v>
      </c>
      <c r="Y5" s="23">
        <f t="shared" si="8"/>
        <v>0.18412326657112554</v>
      </c>
      <c r="Z5" s="23">
        <f t="shared" ref="Z5:Z9" si="15">SQRT((W5*X5)/U5)</f>
        <v>1.4683815521229516E-2</v>
      </c>
      <c r="AA5" s="48">
        <f t="shared" ref="AA5:AA9" si="16">SQRT((T5^2)+(Z5^2))</f>
        <v>0.18470785508765797</v>
      </c>
    </row>
    <row r="6" spans="1:27" ht="18">
      <c r="A6" s="386"/>
      <c r="B6" s="34" t="s">
        <v>178</v>
      </c>
      <c r="C6" s="34">
        <v>0.3</v>
      </c>
      <c r="D6" s="19">
        <v>0.30705647840531564</v>
      </c>
      <c r="E6" s="21">
        <v>0.5</v>
      </c>
      <c r="F6" s="21">
        <v>1</v>
      </c>
      <c r="G6" s="20">
        <f t="shared" si="11"/>
        <v>0.44776119402985071</v>
      </c>
      <c r="H6" s="22">
        <f t="shared" si="12"/>
        <v>76.693145448429661</v>
      </c>
      <c r="I6" s="23">
        <v>5.5778465330423702E-2</v>
      </c>
      <c r="J6" s="21">
        <v>0.3</v>
      </c>
      <c r="K6" s="21">
        <f t="shared" si="0"/>
        <v>0.67</v>
      </c>
      <c r="L6" s="21">
        <f t="shared" si="3"/>
        <v>0.2</v>
      </c>
      <c r="M6" s="21">
        <v>4.6100000000000003</v>
      </c>
      <c r="N6" s="20">
        <v>3.1852939160404103</v>
      </c>
      <c r="O6" s="20">
        <f t="shared" si="1"/>
        <v>5.2721926475868965</v>
      </c>
      <c r="P6" s="24">
        <v>850</v>
      </c>
      <c r="Q6" s="25">
        <v>30.09</v>
      </c>
      <c r="R6" s="26" t="s">
        <v>83</v>
      </c>
      <c r="S6" s="27">
        <f t="shared" si="4"/>
        <v>5.0845515859022666E-2</v>
      </c>
      <c r="T6" s="23">
        <f t="shared" si="5"/>
        <v>0.22548950276902618</v>
      </c>
      <c r="U6" s="21">
        <v>301</v>
      </c>
      <c r="V6" s="21">
        <v>280</v>
      </c>
      <c r="W6" s="20">
        <f t="shared" si="13"/>
        <v>0.93023255813953487</v>
      </c>
      <c r="X6" s="20">
        <f t="shared" si="14"/>
        <v>6.9767441860465129E-2</v>
      </c>
      <c r="Y6" s="23">
        <f t="shared" si="8"/>
        <v>0.22548950276902618</v>
      </c>
      <c r="Z6" s="23">
        <f t="shared" si="15"/>
        <v>1.4683815521229516E-2</v>
      </c>
      <c r="AA6" s="48">
        <f t="shared" si="16"/>
        <v>0.22596710003291223</v>
      </c>
    </row>
    <row r="7" spans="1:27" ht="18">
      <c r="A7" s="386"/>
      <c r="B7" s="34" t="s">
        <v>179</v>
      </c>
      <c r="C7" s="34">
        <v>0.4</v>
      </c>
      <c r="D7" s="19">
        <v>0.30705647840531564</v>
      </c>
      <c r="E7" s="21">
        <v>0.5</v>
      </c>
      <c r="F7" s="21">
        <v>1</v>
      </c>
      <c r="G7" s="20">
        <f t="shared" si="11"/>
        <v>0.59701492537313428</v>
      </c>
      <c r="H7" s="22">
        <f t="shared" si="12"/>
        <v>76.693145448429661</v>
      </c>
      <c r="I7" s="23">
        <v>5.5778465330423702E-2</v>
      </c>
      <c r="J7" s="21">
        <v>0.4</v>
      </c>
      <c r="K7" s="21">
        <f t="shared" si="0"/>
        <v>0.67</v>
      </c>
      <c r="L7" s="21">
        <f t="shared" si="3"/>
        <v>0.2</v>
      </c>
      <c r="M7" s="21">
        <v>4.6100000000000003</v>
      </c>
      <c r="N7" s="20">
        <v>3.1852939160404103</v>
      </c>
      <c r="O7" s="20">
        <f t="shared" si="1"/>
        <v>7.0295901967825287</v>
      </c>
      <c r="P7" s="24">
        <v>850</v>
      </c>
      <c r="Q7" s="25">
        <v>30.09</v>
      </c>
      <c r="R7" s="26" t="s">
        <v>83</v>
      </c>
      <c r="S7" s="27">
        <f t="shared" si="4"/>
        <v>6.7789654425223556E-2</v>
      </c>
      <c r="T7" s="23">
        <f t="shared" si="5"/>
        <v>0.260364464597655</v>
      </c>
      <c r="U7" s="21">
        <v>301</v>
      </c>
      <c r="V7" s="21">
        <v>280</v>
      </c>
      <c r="W7" s="20">
        <f t="shared" si="13"/>
        <v>0.93023255813953487</v>
      </c>
      <c r="X7" s="20">
        <f t="shared" si="14"/>
        <v>6.9767441860465129E-2</v>
      </c>
      <c r="Y7" s="23">
        <f t="shared" si="8"/>
        <v>0.260364464597655</v>
      </c>
      <c r="Z7" s="23">
        <f t="shared" si="15"/>
        <v>1.4683815521229516E-2</v>
      </c>
      <c r="AA7" s="48">
        <f t="shared" si="16"/>
        <v>0.26077819859697826</v>
      </c>
    </row>
    <row r="8" spans="1:27" ht="18">
      <c r="A8" s="386"/>
      <c r="B8" s="34" t="s">
        <v>180</v>
      </c>
      <c r="C8" s="34">
        <v>0.5</v>
      </c>
      <c r="D8" s="19">
        <v>0.30705647840531564</v>
      </c>
      <c r="E8" s="21">
        <v>0.5</v>
      </c>
      <c r="F8" s="21">
        <v>1</v>
      </c>
      <c r="G8" s="20">
        <f t="shared" si="11"/>
        <v>0.74626865671641784</v>
      </c>
      <c r="H8" s="22">
        <f t="shared" si="12"/>
        <v>76.693145448429661</v>
      </c>
      <c r="I8" s="23">
        <v>5.5778465330423702E-2</v>
      </c>
      <c r="J8" s="21">
        <v>0.5</v>
      </c>
      <c r="K8" s="21">
        <f t="shared" si="0"/>
        <v>0.67</v>
      </c>
      <c r="L8" s="21">
        <f t="shared" si="3"/>
        <v>0.2</v>
      </c>
      <c r="M8" s="21">
        <v>4.6100000000000003</v>
      </c>
      <c r="N8" s="20">
        <v>3.1852939160404103</v>
      </c>
      <c r="O8" s="20">
        <f t="shared" si="1"/>
        <v>8.7869877459781609</v>
      </c>
      <c r="P8" s="24">
        <v>850</v>
      </c>
      <c r="Q8" s="25">
        <v>30.09</v>
      </c>
      <c r="R8" s="26" t="s">
        <v>83</v>
      </c>
      <c r="S8" s="27">
        <f t="shared" si="4"/>
        <v>8.4733792991424473E-2</v>
      </c>
      <c r="T8" s="23">
        <f t="shared" si="5"/>
        <v>0.29109069547380673</v>
      </c>
      <c r="U8" s="21">
        <v>301</v>
      </c>
      <c r="V8" s="21">
        <v>280</v>
      </c>
      <c r="W8" s="20">
        <f t="shared" si="13"/>
        <v>0.93023255813953487</v>
      </c>
      <c r="X8" s="20">
        <f t="shared" si="14"/>
        <v>6.9767441860465129E-2</v>
      </c>
      <c r="Y8" s="23">
        <f t="shared" si="8"/>
        <v>0.29109069547380673</v>
      </c>
      <c r="Z8" s="23">
        <f t="shared" si="15"/>
        <v>1.4683815521229516E-2</v>
      </c>
      <c r="AA8" s="48">
        <f t="shared" si="16"/>
        <v>0.29146081628528731</v>
      </c>
    </row>
    <row r="9" spans="1:27" ht="19" thickBot="1">
      <c r="A9" s="387"/>
      <c r="B9" s="103" t="s">
        <v>181</v>
      </c>
      <c r="C9" s="103">
        <v>0.6</v>
      </c>
      <c r="D9" s="104">
        <v>0.30705647840531564</v>
      </c>
      <c r="E9" s="97">
        <v>0.5</v>
      </c>
      <c r="F9" s="97">
        <v>1</v>
      </c>
      <c r="G9" s="105">
        <f t="shared" si="11"/>
        <v>0.89552238805970141</v>
      </c>
      <c r="H9" s="106">
        <f t="shared" si="12"/>
        <v>76.693145448429661</v>
      </c>
      <c r="I9" s="107">
        <v>5.5778465330423702E-2</v>
      </c>
      <c r="J9" s="97">
        <v>0.6</v>
      </c>
      <c r="K9" s="97">
        <f t="shared" si="0"/>
        <v>0.67</v>
      </c>
      <c r="L9" s="97">
        <f t="shared" si="3"/>
        <v>0.2</v>
      </c>
      <c r="M9" s="97">
        <v>4.6100000000000003</v>
      </c>
      <c r="N9" s="105">
        <v>3.1852939160404103</v>
      </c>
      <c r="O9" s="105">
        <f t="shared" si="1"/>
        <v>10.544385295173793</v>
      </c>
      <c r="P9" s="108">
        <v>850</v>
      </c>
      <c r="Q9" s="109">
        <v>30.09</v>
      </c>
      <c r="R9" s="110" t="s">
        <v>83</v>
      </c>
      <c r="S9" s="111">
        <f t="shared" si="4"/>
        <v>0.10167793155762538</v>
      </c>
      <c r="T9" s="107">
        <f t="shared" si="5"/>
        <v>0.31886977209767842</v>
      </c>
      <c r="U9" s="97">
        <v>301</v>
      </c>
      <c r="V9" s="97">
        <v>280</v>
      </c>
      <c r="W9" s="105">
        <f t="shared" si="13"/>
        <v>0.93023255813953487</v>
      </c>
      <c r="X9" s="105">
        <f t="shared" si="14"/>
        <v>6.9767441860465129E-2</v>
      </c>
      <c r="Y9" s="107">
        <f t="shared" si="8"/>
        <v>0.31886977209767842</v>
      </c>
      <c r="Z9" s="107">
        <f t="shared" si="15"/>
        <v>1.4683815521229516E-2</v>
      </c>
      <c r="AA9" s="112">
        <f t="shared" si="16"/>
        <v>0.31920768473814487</v>
      </c>
    </row>
    <row r="10" spans="1:27" ht="16" thickBot="1">
      <c r="A10" s="77"/>
      <c r="B10" s="78"/>
      <c r="C10" s="78"/>
      <c r="D10" s="79"/>
      <c r="E10" s="79"/>
      <c r="F10" s="79"/>
      <c r="G10" s="79"/>
      <c r="H10" s="79"/>
      <c r="I10" s="80"/>
      <c r="J10" s="79"/>
      <c r="K10" s="79"/>
      <c r="L10" s="79"/>
      <c r="M10" s="79"/>
      <c r="N10" s="79"/>
      <c r="O10" s="79"/>
      <c r="P10" s="81"/>
      <c r="Q10" s="81"/>
      <c r="R10" s="79"/>
      <c r="S10" s="79"/>
      <c r="T10" s="79"/>
      <c r="U10" s="79"/>
      <c r="V10" s="79"/>
      <c r="W10" s="79"/>
      <c r="X10" s="79"/>
      <c r="Y10" s="79"/>
      <c r="Z10" s="79"/>
      <c r="AA10" s="82"/>
    </row>
    <row r="11" spans="1:27" ht="16">
      <c r="A11" s="385" t="s">
        <v>172</v>
      </c>
      <c r="B11" s="67" t="s">
        <v>175</v>
      </c>
      <c r="C11" s="67"/>
      <c r="D11" s="68">
        <v>0.3</v>
      </c>
      <c r="E11" s="70">
        <v>0.25</v>
      </c>
      <c r="F11" s="70">
        <v>1</v>
      </c>
      <c r="G11" s="69">
        <f>(J11/K11)^F11</f>
        <v>3.2835820895522387E-2</v>
      </c>
      <c r="H11" s="71">
        <f>((1-I11)/I11)*(((1-I11)*M11)+(I11*N11))</f>
        <v>66.324553048645456</v>
      </c>
      <c r="I11" s="72">
        <v>6.3783809228379201E-2</v>
      </c>
      <c r="J11" s="70">
        <v>2.1999999999999999E-2</v>
      </c>
      <c r="K11" s="70">
        <f t="shared" ref="K11:K16" si="17">6700/10000</f>
        <v>0.67</v>
      </c>
      <c r="L11" s="70">
        <f>5/10000</f>
        <v>5.0000000000000001E-4</v>
      </c>
      <c r="M11" s="70">
        <v>4.6100000000000003</v>
      </c>
      <c r="N11" s="69">
        <v>3.1778074558844294</v>
      </c>
      <c r="O11" s="69">
        <f t="shared" ref="O11:O16" si="18">D11*E11*G11*H11</f>
        <v>0.16333658586606714</v>
      </c>
      <c r="P11" s="73">
        <v>120000</v>
      </c>
      <c r="Q11" s="73">
        <v>3750</v>
      </c>
      <c r="R11" s="74">
        <f>(O11*((K11)^3)*((1/Q11)-(1/P11)))+(O11*((K11)^3)*((1/P11)))</f>
        <v>1.3100160419956256E-5</v>
      </c>
      <c r="S11" s="75" t="s">
        <v>83</v>
      </c>
      <c r="T11" s="72">
        <f>SQRT(R11)</f>
        <v>3.6194143752762346E-3</v>
      </c>
      <c r="U11" s="70">
        <v>189792</v>
      </c>
      <c r="V11" s="70">
        <v>24201</v>
      </c>
      <c r="W11" s="69">
        <f>V11/U11</f>
        <v>0.12751327769347495</v>
      </c>
      <c r="X11" s="69">
        <f>1-W11</f>
        <v>0.87248672230652502</v>
      </c>
      <c r="Y11" s="72">
        <f>SQRT(R11)</f>
        <v>3.6194143752762346E-3</v>
      </c>
      <c r="Z11" s="72">
        <f>SQRT((W11*X11)/U11)</f>
        <v>7.6562863281594436E-4</v>
      </c>
      <c r="AA11" s="76">
        <f>SQRT((T11^2)+(Z11^2))</f>
        <v>3.6995064026629104E-3</v>
      </c>
    </row>
    <row r="12" spans="1:27" ht="16">
      <c r="A12" s="386"/>
      <c r="B12" s="34" t="s">
        <v>182</v>
      </c>
      <c r="C12" s="94">
        <v>0.01</v>
      </c>
      <c r="D12" s="19">
        <v>0.30705647840531564</v>
      </c>
      <c r="E12" s="21">
        <v>0.5</v>
      </c>
      <c r="F12" s="21">
        <v>1</v>
      </c>
      <c r="G12" s="20">
        <f t="shared" ref="G12:G16" si="19">(J12/K12)^F12</f>
        <v>3.7313432835820892E-2</v>
      </c>
      <c r="H12" s="22">
        <f t="shared" ref="H12:H16" si="20">((1-I12)/I12)*(((1-I12)*M12)+(I12*N12))</f>
        <v>454.97954097688006</v>
      </c>
      <c r="I12" s="23">
        <v>0.01</v>
      </c>
      <c r="J12" s="21">
        <v>2.5000000000000001E-2</v>
      </c>
      <c r="K12" s="21">
        <f t="shared" si="17"/>
        <v>0.67</v>
      </c>
      <c r="L12" s="21">
        <f>2000/10000</f>
        <v>0.2</v>
      </c>
      <c r="M12" s="21">
        <v>4.6100000000000003</v>
      </c>
      <c r="N12" s="20">
        <v>3.1852939160404103</v>
      </c>
      <c r="O12" s="20">
        <f t="shared" si="18"/>
        <v>2.6064256641572348</v>
      </c>
      <c r="P12" s="24">
        <v>850</v>
      </c>
      <c r="Q12" s="25">
        <v>30.09</v>
      </c>
      <c r="R12" s="26" t="s">
        <v>83</v>
      </c>
      <c r="S12" s="27">
        <f>(O12*((K12)^3)*((1/Q12)-(1/P12)))+$R$11</f>
        <v>2.5143235135398311E-2</v>
      </c>
      <c r="T12" s="23">
        <f>SQRT(S12)</f>
        <v>0.15856618534668201</v>
      </c>
      <c r="U12" s="21">
        <v>301</v>
      </c>
      <c r="V12" s="21">
        <v>280</v>
      </c>
      <c r="W12" s="20">
        <f t="shared" ref="W12:W16" si="21">V12/U12</f>
        <v>0.93023255813953487</v>
      </c>
      <c r="X12" s="20">
        <f t="shared" ref="X12:X16" si="22">1-W12</f>
        <v>6.9767441860465129E-2</v>
      </c>
      <c r="Y12" s="23">
        <f>SQRT(S12)</f>
        <v>0.15856618534668201</v>
      </c>
      <c r="Z12" s="23">
        <f t="shared" ref="Z12:Z16" si="23">SQRT((W12*X12)/U12)</f>
        <v>1.4683815521229516E-2</v>
      </c>
      <c r="AA12" s="48">
        <f t="shared" ref="AA12:AA16" si="24">SQRT((T12^2)+(Z12^2))</f>
        <v>0.15924462180450494</v>
      </c>
    </row>
    <row r="13" spans="1:27" ht="16">
      <c r="A13" s="386"/>
      <c r="B13" s="34" t="s">
        <v>183</v>
      </c>
      <c r="C13" s="95">
        <v>2.5000000000000001E-2</v>
      </c>
      <c r="D13" s="19">
        <v>0.30705647840531564</v>
      </c>
      <c r="E13" s="21">
        <v>0.5</v>
      </c>
      <c r="F13" s="21">
        <v>1</v>
      </c>
      <c r="G13" s="20">
        <f t="shared" si="19"/>
        <v>3.7313432835820892E-2</v>
      </c>
      <c r="H13" s="22">
        <f t="shared" si="20"/>
        <v>178.40091156813941</v>
      </c>
      <c r="I13" s="23">
        <v>2.5000000000000001E-2</v>
      </c>
      <c r="J13" s="21">
        <v>2.5000000000000001E-2</v>
      </c>
      <c r="K13" s="21">
        <f t="shared" si="17"/>
        <v>0.67</v>
      </c>
      <c r="L13" s="21">
        <f>2000/10000</f>
        <v>0.2</v>
      </c>
      <c r="M13" s="21">
        <v>4.6100000000000003</v>
      </c>
      <c r="N13" s="20">
        <v>3.1852939160404103</v>
      </c>
      <c r="O13" s="20">
        <f t="shared" si="18"/>
        <v>1.021999172582295</v>
      </c>
      <c r="P13" s="24">
        <v>850</v>
      </c>
      <c r="Q13" s="25">
        <v>30.09</v>
      </c>
      <c r="R13" s="26" t="s">
        <v>83</v>
      </c>
      <c r="S13" s="27">
        <f t="shared" ref="S13:S16" si="25">(O13*((K13)^3)*((1/Q13)-(1/P13)))+$R$11</f>
        <v>9.8668157313236988E-3</v>
      </c>
      <c r="T13" s="23">
        <f>SQRT(S13)</f>
        <v>9.933184651119549E-2</v>
      </c>
      <c r="U13" s="21">
        <v>301</v>
      </c>
      <c r="V13" s="21">
        <v>280</v>
      </c>
      <c r="W13" s="20">
        <f t="shared" si="21"/>
        <v>0.93023255813953487</v>
      </c>
      <c r="X13" s="20">
        <f t="shared" si="22"/>
        <v>6.9767441860465129E-2</v>
      </c>
      <c r="Y13" s="23">
        <f>SQRT(S13)</f>
        <v>9.933184651119549E-2</v>
      </c>
      <c r="Z13" s="23">
        <f t="shared" si="23"/>
        <v>1.4683815521229516E-2</v>
      </c>
      <c r="AA13" s="48">
        <f t="shared" si="24"/>
        <v>0.10041130498895631</v>
      </c>
    </row>
    <row r="14" spans="1:27" ht="16">
      <c r="A14" s="386"/>
      <c r="B14" s="34" t="s">
        <v>184</v>
      </c>
      <c r="C14" s="94">
        <v>0.05</v>
      </c>
      <c r="D14" s="19">
        <v>0.30705647840531564</v>
      </c>
      <c r="E14" s="21">
        <v>0.5</v>
      </c>
      <c r="F14" s="21">
        <v>1</v>
      </c>
      <c r="G14" s="20">
        <f t="shared" si="19"/>
        <v>3.7313432835820892E-2</v>
      </c>
      <c r="H14" s="22">
        <f t="shared" si="20"/>
        <v>86.236529220238381</v>
      </c>
      <c r="I14" s="23">
        <v>0.05</v>
      </c>
      <c r="J14" s="21">
        <v>2.5000000000000001E-2</v>
      </c>
      <c r="K14" s="21">
        <f t="shared" si="17"/>
        <v>0.67</v>
      </c>
      <c r="L14" s="21">
        <f>2000/10000</f>
        <v>0.2</v>
      </c>
      <c r="M14" s="21">
        <v>4.6100000000000003</v>
      </c>
      <c r="N14" s="20">
        <v>3.1852939160404103</v>
      </c>
      <c r="O14" s="20">
        <f t="shared" si="18"/>
        <v>0.49402024201984129</v>
      </c>
      <c r="P14" s="24">
        <v>850</v>
      </c>
      <c r="Q14" s="25">
        <v>30.09</v>
      </c>
      <c r="R14" s="26" t="s">
        <v>83</v>
      </c>
      <c r="S14" s="27">
        <f t="shared" si="25"/>
        <v>4.7762497614442781E-3</v>
      </c>
      <c r="T14" s="23">
        <f>SQRT(S14)</f>
        <v>6.9110417170237637E-2</v>
      </c>
      <c r="U14" s="21">
        <v>301</v>
      </c>
      <c r="V14" s="21">
        <v>280</v>
      </c>
      <c r="W14" s="20">
        <f t="shared" si="21"/>
        <v>0.93023255813953487</v>
      </c>
      <c r="X14" s="20">
        <f t="shared" si="22"/>
        <v>6.9767441860465129E-2</v>
      </c>
      <c r="Y14" s="23">
        <f>SQRT(S14)</f>
        <v>6.9110417170237637E-2</v>
      </c>
      <c r="Z14" s="23">
        <f t="shared" si="23"/>
        <v>1.4683815521229516E-2</v>
      </c>
      <c r="AA14" s="48">
        <f t="shared" si="24"/>
        <v>7.0653125901872019E-2</v>
      </c>
    </row>
    <row r="15" spans="1:27" ht="16">
      <c r="A15" s="386"/>
      <c r="B15" s="34" t="s">
        <v>185</v>
      </c>
      <c r="C15" s="94">
        <v>0.1</v>
      </c>
      <c r="D15" s="19">
        <v>0.30705647840531564</v>
      </c>
      <c r="E15" s="21">
        <v>0.5</v>
      </c>
      <c r="F15" s="21">
        <v>1</v>
      </c>
      <c r="G15" s="20">
        <f t="shared" si="19"/>
        <v>3.7313432835820892E-2</v>
      </c>
      <c r="H15" s="22">
        <f t="shared" si="20"/>
        <v>40.207764524436364</v>
      </c>
      <c r="I15" s="23">
        <v>0.1</v>
      </c>
      <c r="J15" s="21">
        <v>2.5000000000000001E-2</v>
      </c>
      <c r="K15" s="21">
        <f t="shared" si="17"/>
        <v>0.67</v>
      </c>
      <c r="L15" s="21">
        <f>2000/10000</f>
        <v>0.2</v>
      </c>
      <c r="M15" s="21">
        <v>4.6100000000000003</v>
      </c>
      <c r="N15" s="20">
        <v>3.1852939160404103</v>
      </c>
      <c r="O15" s="20">
        <f t="shared" si="18"/>
        <v>0.2303368391683509</v>
      </c>
      <c r="P15" s="24">
        <v>850</v>
      </c>
      <c r="Q15" s="25">
        <v>30.09</v>
      </c>
      <c r="R15" s="26" t="s">
        <v>83</v>
      </c>
      <c r="S15" s="27">
        <f t="shared" si="25"/>
        <v>2.2339177105272856E-3</v>
      </c>
      <c r="T15" s="23">
        <f>SQRT(S15)</f>
        <v>4.7264338676504147E-2</v>
      </c>
      <c r="U15" s="21">
        <v>301</v>
      </c>
      <c r="V15" s="21">
        <v>280</v>
      </c>
      <c r="W15" s="20">
        <f t="shared" si="21"/>
        <v>0.93023255813953487</v>
      </c>
      <c r="X15" s="20">
        <f t="shared" si="22"/>
        <v>6.9767441860465129E-2</v>
      </c>
      <c r="Y15" s="23">
        <f>SQRT(S15)</f>
        <v>4.7264338676504147E-2</v>
      </c>
      <c r="Z15" s="23">
        <f t="shared" si="23"/>
        <v>1.4683815521229516E-2</v>
      </c>
      <c r="AA15" s="48">
        <f t="shared" si="24"/>
        <v>4.9492748446502609E-2</v>
      </c>
    </row>
    <row r="16" spans="1:27" ht="17" thickBot="1">
      <c r="A16" s="387"/>
      <c r="B16" s="103" t="s">
        <v>186</v>
      </c>
      <c r="C16" s="113">
        <v>0.15</v>
      </c>
      <c r="D16" s="104">
        <v>0.30705647840531564</v>
      </c>
      <c r="E16" s="97">
        <v>0.5</v>
      </c>
      <c r="F16" s="97">
        <v>1</v>
      </c>
      <c r="G16" s="105">
        <f t="shared" si="19"/>
        <v>3.7313432835820892E-2</v>
      </c>
      <c r="H16" s="106">
        <f t="shared" si="20"/>
        <v>24.912333161967688</v>
      </c>
      <c r="I16" s="107">
        <v>0.15</v>
      </c>
      <c r="J16" s="97">
        <v>2.5000000000000001E-2</v>
      </c>
      <c r="K16" s="97">
        <f t="shared" si="17"/>
        <v>0.67</v>
      </c>
      <c r="L16" s="97">
        <f>2000/10000</f>
        <v>0.2</v>
      </c>
      <c r="M16" s="97">
        <v>4.6100000000000003</v>
      </c>
      <c r="N16" s="105">
        <v>3.1852939160404103</v>
      </c>
      <c r="O16" s="105">
        <f t="shared" si="18"/>
        <v>0.14271442704428655</v>
      </c>
      <c r="P16" s="108">
        <v>850</v>
      </c>
      <c r="Q16" s="109">
        <v>30.09</v>
      </c>
      <c r="R16" s="110" t="s">
        <v>83</v>
      </c>
      <c r="S16" s="111">
        <f t="shared" si="25"/>
        <v>1.3890967460195938E-3</v>
      </c>
      <c r="T16" s="107">
        <f>SQRT(S16)</f>
        <v>3.7270588216710421E-2</v>
      </c>
      <c r="U16" s="97">
        <v>301</v>
      </c>
      <c r="V16" s="97">
        <v>280</v>
      </c>
      <c r="W16" s="105">
        <f t="shared" si="21"/>
        <v>0.93023255813953487</v>
      </c>
      <c r="X16" s="105">
        <f t="shared" si="22"/>
        <v>6.9767441860465129E-2</v>
      </c>
      <c r="Y16" s="107">
        <f>SQRT(S16)</f>
        <v>3.7270588216710421E-2</v>
      </c>
      <c r="Z16" s="107">
        <f t="shared" si="23"/>
        <v>1.4683815521229516E-2</v>
      </c>
      <c r="AA16" s="112">
        <f t="shared" si="24"/>
        <v>4.0058846517106485E-2</v>
      </c>
    </row>
    <row r="17" spans="1:27" ht="16" thickBot="1">
      <c r="A17" s="77"/>
      <c r="B17" s="78"/>
      <c r="C17" s="78"/>
      <c r="D17" s="79"/>
      <c r="E17" s="79"/>
      <c r="F17" s="79"/>
      <c r="G17" s="79"/>
      <c r="H17" s="79"/>
      <c r="I17" s="80"/>
      <c r="J17" s="79"/>
      <c r="K17" s="79"/>
      <c r="L17" s="79"/>
      <c r="M17" s="79"/>
      <c r="N17" s="79"/>
      <c r="O17" s="79"/>
      <c r="P17" s="81"/>
      <c r="Q17" s="81"/>
      <c r="R17" s="79"/>
      <c r="S17" s="79"/>
      <c r="T17" s="79"/>
      <c r="U17" s="79"/>
      <c r="V17" s="79"/>
      <c r="W17" s="79"/>
      <c r="X17" s="79"/>
      <c r="Y17" s="79"/>
      <c r="Z17" s="79"/>
      <c r="AA17" s="82"/>
    </row>
    <row r="18" spans="1:27" ht="16" customHeight="1">
      <c r="A18" s="385" t="s">
        <v>173</v>
      </c>
      <c r="B18" s="67" t="s">
        <v>175</v>
      </c>
      <c r="C18" s="67"/>
      <c r="D18" s="68">
        <v>0.3</v>
      </c>
      <c r="E18" s="70">
        <v>0.25</v>
      </c>
      <c r="F18" s="70">
        <v>1</v>
      </c>
      <c r="G18" s="69">
        <f>(J18/K18)^F18</f>
        <v>3.2835820895522387E-2</v>
      </c>
      <c r="H18" s="71">
        <f>((1-I18)/I18)*(((1-I18)*M18)+(I18*N18))</f>
        <v>454.97212938132566</v>
      </c>
      <c r="I18" s="72">
        <v>0.01</v>
      </c>
      <c r="J18" s="70">
        <v>2.1999999999999999E-2</v>
      </c>
      <c r="K18" s="70">
        <f t="shared" ref="K18:K23" si="26">6700/10000</f>
        <v>0.67</v>
      </c>
      <c r="L18" s="70">
        <f>5/10000</f>
        <v>5.0000000000000001E-4</v>
      </c>
      <c r="M18" s="70">
        <v>4.6100000000000003</v>
      </c>
      <c r="N18" s="69">
        <v>3.1778074558844294</v>
      </c>
      <c r="O18" s="69">
        <f t="shared" ref="O18:O23" si="27">D18*E18*G18*H18</f>
        <v>1.1204537514614734</v>
      </c>
      <c r="P18" s="73">
        <v>120000</v>
      </c>
      <c r="Q18" s="73">
        <v>3750</v>
      </c>
      <c r="R18" s="74">
        <f>(O18*((K18)^3)*((1/Q18)-(1/P18)))+(O18*((K18)^3)*((1/P18)))</f>
        <v>8.9864275106881915E-5</v>
      </c>
      <c r="S18" s="75" t="s">
        <v>83</v>
      </c>
      <c r="T18" s="72">
        <f>SQRT(R18)</f>
        <v>9.4796769516097921E-3</v>
      </c>
      <c r="U18" s="70">
        <v>189792</v>
      </c>
      <c r="V18" s="70">
        <v>24201</v>
      </c>
      <c r="W18" s="69">
        <f>V18/U18</f>
        <v>0.12751327769347495</v>
      </c>
      <c r="X18" s="69">
        <f>1-W18</f>
        <v>0.87248672230652502</v>
      </c>
      <c r="Y18" s="72">
        <f>SQRT(R18)</f>
        <v>9.4796769516097921E-3</v>
      </c>
      <c r="Z18" s="72">
        <f>SQRT((W18*X18)/U18)</f>
        <v>7.6562863281594436E-4</v>
      </c>
      <c r="AA18" s="76">
        <f>SQRT((T18^2)+(Z18^2))</f>
        <v>9.5105447956607362E-3</v>
      </c>
    </row>
    <row r="19" spans="1:27" ht="16">
      <c r="A19" s="386"/>
      <c r="B19" s="34" t="s">
        <v>187</v>
      </c>
      <c r="C19" s="34">
        <v>1</v>
      </c>
      <c r="D19" s="19">
        <v>0.30705647840531564</v>
      </c>
      <c r="E19" s="21">
        <v>0.5</v>
      </c>
      <c r="F19" s="21">
        <v>1</v>
      </c>
      <c r="G19" s="20">
        <f t="shared" ref="G19:G22" si="28">(J19/K19)^F19</f>
        <v>3.7313432835820892E-2</v>
      </c>
      <c r="H19" s="22">
        <f t="shared" ref="H19:H22" si="29">((1-I19)/I19)*(((1-I19)*M19)+(I19*N19))</f>
        <v>454.97954097688006</v>
      </c>
      <c r="I19" s="23">
        <v>0.01</v>
      </c>
      <c r="J19" s="21">
        <v>2.5000000000000001E-2</v>
      </c>
      <c r="K19" s="21">
        <f t="shared" si="26"/>
        <v>0.67</v>
      </c>
      <c r="L19" s="21">
        <f>2000/10000</f>
        <v>0.2</v>
      </c>
      <c r="M19" s="21">
        <v>4.6100000000000003</v>
      </c>
      <c r="N19" s="20">
        <v>3.1852939160404103</v>
      </c>
      <c r="O19" s="20">
        <f t="shared" si="27"/>
        <v>2.6064256641572348</v>
      </c>
      <c r="P19" s="24">
        <v>850</v>
      </c>
      <c r="Q19" s="25">
        <f>15*1</f>
        <v>15</v>
      </c>
      <c r="R19" s="26" t="s">
        <v>83</v>
      </c>
      <c r="S19" s="27">
        <f>(O19*((K19)^3)*((1/Q19)-(1/P19)))+$R$18</f>
        <v>5.1428703153079458E-2</v>
      </c>
      <c r="T19" s="23">
        <f>SQRT(S19)</f>
        <v>0.22677897423059187</v>
      </c>
      <c r="U19" s="21">
        <v>163</v>
      </c>
      <c r="V19" s="21">
        <v>144</v>
      </c>
      <c r="W19" s="20">
        <f t="shared" ref="W19:W22" si="30">V19/U19</f>
        <v>0.8834355828220859</v>
      </c>
      <c r="X19" s="20">
        <f t="shared" ref="X19:X22" si="31">1-W19</f>
        <v>0.1165644171779141</v>
      </c>
      <c r="Y19" s="23">
        <f>SQRT(S19)</f>
        <v>0.22677897423059187</v>
      </c>
      <c r="Z19" s="23">
        <f t="shared" ref="Z19:Z22" si="32">SQRT((W19*X19)/U19)</f>
        <v>2.5134869801003924E-2</v>
      </c>
      <c r="AA19" s="48">
        <f t="shared" ref="AA19:AA22" si="33">SQRT((T19^2)+(Z19^2))</f>
        <v>0.22816762441896279</v>
      </c>
    </row>
    <row r="20" spans="1:27" ht="16">
      <c r="A20" s="386"/>
      <c r="B20" s="34" t="s">
        <v>188</v>
      </c>
      <c r="C20" s="34">
        <v>2</v>
      </c>
      <c r="D20" s="19">
        <v>0.30705647840531564</v>
      </c>
      <c r="E20" s="21">
        <v>0.5</v>
      </c>
      <c r="F20" s="21">
        <v>1</v>
      </c>
      <c r="G20" s="20">
        <f t="shared" si="28"/>
        <v>3.7313432835820892E-2</v>
      </c>
      <c r="H20" s="22">
        <f t="shared" si="29"/>
        <v>454.97954097688006</v>
      </c>
      <c r="I20" s="23">
        <v>0.01</v>
      </c>
      <c r="J20" s="21">
        <v>2.5000000000000001E-2</v>
      </c>
      <c r="K20" s="21">
        <f t="shared" si="26"/>
        <v>0.67</v>
      </c>
      <c r="L20" s="21">
        <f>2000/10000</f>
        <v>0.2</v>
      </c>
      <c r="M20" s="21">
        <v>4.6100000000000003</v>
      </c>
      <c r="N20" s="20">
        <v>3.1852939160404103</v>
      </c>
      <c r="O20" s="20">
        <f t="shared" si="27"/>
        <v>2.6064256641572348</v>
      </c>
      <c r="P20" s="24">
        <v>850</v>
      </c>
      <c r="Q20" s="25">
        <f>15*2</f>
        <v>30</v>
      </c>
      <c r="R20" s="26" t="s">
        <v>83</v>
      </c>
      <c r="S20" s="27">
        <f t="shared" ref="S20:S23" si="34">(O20*((K20)^3)*((1/Q20)-(1/P20)))+$R$18</f>
        <v>2.5298156418782036E-2</v>
      </c>
      <c r="T20" s="23">
        <f>SQRT(S20)</f>
        <v>0.15905394185238553</v>
      </c>
      <c r="U20" s="21">
        <f>U19*2</f>
        <v>326</v>
      </c>
      <c r="V20" s="21">
        <f>V19*2</f>
        <v>288</v>
      </c>
      <c r="W20" s="20">
        <f t="shared" si="30"/>
        <v>0.8834355828220859</v>
      </c>
      <c r="X20" s="20">
        <f t="shared" si="31"/>
        <v>0.1165644171779141</v>
      </c>
      <c r="Y20" s="23">
        <f>SQRT(S20)</f>
        <v>0.15905394185238553</v>
      </c>
      <c r="Z20" s="23">
        <f t="shared" si="32"/>
        <v>1.7773036880530845E-2</v>
      </c>
      <c r="AA20" s="48">
        <f t="shared" si="33"/>
        <v>0.16004386042188168</v>
      </c>
    </row>
    <row r="21" spans="1:27" ht="16">
      <c r="A21" s="386"/>
      <c r="B21" s="34" t="s">
        <v>189</v>
      </c>
      <c r="C21" s="34">
        <v>3</v>
      </c>
      <c r="D21" s="19">
        <v>0.30705647840531564</v>
      </c>
      <c r="E21" s="21">
        <v>0.5</v>
      </c>
      <c r="F21" s="21">
        <v>1</v>
      </c>
      <c r="G21" s="20">
        <f t="shared" si="28"/>
        <v>3.7313432835820892E-2</v>
      </c>
      <c r="H21" s="22">
        <f t="shared" si="29"/>
        <v>454.97954097688006</v>
      </c>
      <c r="I21" s="23">
        <v>0.01</v>
      </c>
      <c r="J21" s="21">
        <v>2.5000000000000001E-2</v>
      </c>
      <c r="K21" s="21">
        <f t="shared" si="26"/>
        <v>0.67</v>
      </c>
      <c r="L21" s="21">
        <f>2000/10000</f>
        <v>0.2</v>
      </c>
      <c r="M21" s="21">
        <v>4.6100000000000003</v>
      </c>
      <c r="N21" s="20">
        <v>3.1852939160404103</v>
      </c>
      <c r="O21" s="20">
        <f t="shared" si="27"/>
        <v>2.6064256641572348</v>
      </c>
      <c r="P21" s="24">
        <v>850</v>
      </c>
      <c r="Q21" s="25">
        <f>15*3</f>
        <v>45</v>
      </c>
      <c r="R21" s="26" t="s">
        <v>83</v>
      </c>
      <c r="S21" s="27">
        <f t="shared" si="34"/>
        <v>1.6587974174016234E-2</v>
      </c>
      <c r="T21" s="23">
        <f>SQRT(S21)</f>
        <v>0.1287943095560368</v>
      </c>
      <c r="U21" s="21">
        <f>U19*3</f>
        <v>489</v>
      </c>
      <c r="V21" s="21">
        <f>V19*3</f>
        <v>432</v>
      </c>
      <c r="W21" s="20">
        <f t="shared" si="30"/>
        <v>0.8834355828220859</v>
      </c>
      <c r="X21" s="20">
        <f t="shared" si="31"/>
        <v>0.1165644171779141</v>
      </c>
      <c r="Y21" s="23">
        <f>SQRT(S21)</f>
        <v>0.1287943095560368</v>
      </c>
      <c r="Z21" s="23">
        <f t="shared" si="32"/>
        <v>1.4511623845655811E-2</v>
      </c>
      <c r="AA21" s="48">
        <f t="shared" si="33"/>
        <v>0.12960926433189118</v>
      </c>
    </row>
    <row r="22" spans="1:27" ht="16">
      <c r="A22" s="386"/>
      <c r="B22" s="34" t="s">
        <v>190</v>
      </c>
      <c r="C22" s="34">
        <v>4</v>
      </c>
      <c r="D22" s="19">
        <v>0.30705647840531564</v>
      </c>
      <c r="E22" s="21">
        <v>0.5</v>
      </c>
      <c r="F22" s="21">
        <v>1</v>
      </c>
      <c r="G22" s="20">
        <f t="shared" si="28"/>
        <v>3.7313432835820892E-2</v>
      </c>
      <c r="H22" s="22">
        <f t="shared" si="29"/>
        <v>454.97954097688006</v>
      </c>
      <c r="I22" s="23">
        <v>0.01</v>
      </c>
      <c r="J22" s="21">
        <v>2.5000000000000001E-2</v>
      </c>
      <c r="K22" s="21">
        <f t="shared" si="26"/>
        <v>0.67</v>
      </c>
      <c r="L22" s="21">
        <f>2000/10000</f>
        <v>0.2</v>
      </c>
      <c r="M22" s="21">
        <v>4.6100000000000003</v>
      </c>
      <c r="N22" s="20">
        <v>3.1852939160404103</v>
      </c>
      <c r="O22" s="20">
        <f t="shared" si="27"/>
        <v>2.6064256641572348</v>
      </c>
      <c r="P22" s="24">
        <v>850</v>
      </c>
      <c r="Q22" s="25">
        <f>15*4</f>
        <v>60</v>
      </c>
      <c r="R22" s="26" t="s">
        <v>83</v>
      </c>
      <c r="S22" s="27">
        <f t="shared" si="34"/>
        <v>1.223288305163333E-2</v>
      </c>
      <c r="T22" s="23">
        <f>SQRT(S22)</f>
        <v>0.110602364584277</v>
      </c>
      <c r="U22" s="21">
        <f>U19*4</f>
        <v>652</v>
      </c>
      <c r="V22" s="21">
        <f>V19*4</f>
        <v>576</v>
      </c>
      <c r="W22" s="20">
        <f t="shared" si="30"/>
        <v>0.8834355828220859</v>
      </c>
      <c r="X22" s="20">
        <f t="shared" si="31"/>
        <v>0.1165644171779141</v>
      </c>
      <c r="Y22" s="23">
        <f>SQRT(S22)</f>
        <v>0.110602364584277</v>
      </c>
      <c r="Z22" s="23">
        <f t="shared" si="32"/>
        <v>1.2567434900501962E-2</v>
      </c>
      <c r="AA22" s="48">
        <f t="shared" si="33"/>
        <v>0.11131407580181261</v>
      </c>
    </row>
    <row r="23" spans="1:27" ht="16">
      <c r="A23" s="386"/>
      <c r="B23" s="34" t="s">
        <v>191</v>
      </c>
      <c r="C23" s="34">
        <v>5</v>
      </c>
      <c r="D23" s="19">
        <v>0.30705647840531564</v>
      </c>
      <c r="E23" s="21">
        <v>0.5</v>
      </c>
      <c r="F23" s="21">
        <v>1</v>
      </c>
      <c r="G23" s="20">
        <f t="shared" ref="G23" si="35">(J23/K23)^F23</f>
        <v>3.7313432835820892E-2</v>
      </c>
      <c r="H23" s="22">
        <f t="shared" ref="H23" si="36">((1-I23)/I23)*(((1-I23)*M23)+(I23*N23))</f>
        <v>454.97954097688006</v>
      </c>
      <c r="I23" s="23">
        <v>0.01</v>
      </c>
      <c r="J23" s="21">
        <v>2.5000000000000001E-2</v>
      </c>
      <c r="K23" s="21">
        <f t="shared" si="26"/>
        <v>0.67</v>
      </c>
      <c r="L23" s="21">
        <f>2000/10000</f>
        <v>0.2</v>
      </c>
      <c r="M23" s="21">
        <v>4.6100000000000003</v>
      </c>
      <c r="N23" s="20">
        <v>3.1852939160404103</v>
      </c>
      <c r="O23" s="20">
        <f t="shared" si="27"/>
        <v>2.6064256641572348</v>
      </c>
      <c r="P23" s="24">
        <v>850</v>
      </c>
      <c r="Q23" s="25">
        <f>15*5</f>
        <v>75</v>
      </c>
      <c r="R23" s="26" t="s">
        <v>83</v>
      </c>
      <c r="S23" s="27">
        <f t="shared" si="34"/>
        <v>9.6198283782035886E-3</v>
      </c>
      <c r="T23" s="23">
        <f>SQRT(S23)</f>
        <v>9.8080723785072002E-2</v>
      </c>
      <c r="U23" s="21">
        <f>U19*5</f>
        <v>815</v>
      </c>
      <c r="V23" s="21">
        <f>V19*5</f>
        <v>720</v>
      </c>
      <c r="W23" s="20">
        <f t="shared" ref="W23" si="37">V23/U23</f>
        <v>0.8834355828220859</v>
      </c>
      <c r="X23" s="20">
        <f t="shared" ref="X23" si="38">1-W23</f>
        <v>0.1165644171779141</v>
      </c>
      <c r="Y23" s="23">
        <f>SQRT(S23)</f>
        <v>9.8080723785072002E-2</v>
      </c>
      <c r="Z23" s="23">
        <f t="shared" ref="Z23" si="39">SQRT((W23*X23)/U23)</f>
        <v>1.1240655496130276E-2</v>
      </c>
      <c r="AA23" s="48">
        <f t="shared" ref="AA23" si="40">SQRT((T23^2)+(Z23^2))</f>
        <v>9.8722746690852722E-2</v>
      </c>
    </row>
    <row r="24" spans="1:27" ht="19" customHeight="1">
      <c r="A24" s="386"/>
      <c r="B24" s="78"/>
      <c r="C24" s="78"/>
      <c r="D24" s="79"/>
      <c r="E24" s="79"/>
      <c r="F24" s="79"/>
      <c r="G24" s="79"/>
      <c r="H24" s="79"/>
      <c r="I24" s="80"/>
      <c r="J24" s="79"/>
      <c r="K24" s="79"/>
      <c r="L24" s="79"/>
      <c r="M24" s="79"/>
      <c r="N24" s="79"/>
      <c r="O24" s="79"/>
      <c r="P24" s="81"/>
      <c r="Q24" s="81"/>
      <c r="R24" s="79"/>
      <c r="S24" s="79"/>
      <c r="T24" s="79"/>
      <c r="U24" s="79"/>
      <c r="V24" s="79"/>
      <c r="W24" s="79"/>
      <c r="X24" s="79"/>
      <c r="Y24" s="79"/>
      <c r="Z24" s="79"/>
      <c r="AA24" s="82"/>
    </row>
    <row r="25" spans="1:27" ht="16" customHeight="1">
      <c r="A25" s="386"/>
      <c r="B25" s="33" t="s">
        <v>175</v>
      </c>
      <c r="C25" s="33"/>
      <c r="D25" s="19">
        <v>0.3</v>
      </c>
      <c r="E25" s="21">
        <v>0.25</v>
      </c>
      <c r="F25" s="21">
        <v>1</v>
      </c>
      <c r="G25" s="20">
        <f>(J25/K25)^F25</f>
        <v>3.2835820895522387E-2</v>
      </c>
      <c r="H25" s="22">
        <f>((1-I25)/I25)*(((1-I25)*M25)+(I25*N25))</f>
        <v>178.39361226948731</v>
      </c>
      <c r="I25" s="23">
        <v>2.5000000000000001E-2</v>
      </c>
      <c r="J25" s="21">
        <v>2.1999999999999999E-2</v>
      </c>
      <c r="K25" s="21">
        <f t="shared" ref="K25:K30" si="41">6700/10000</f>
        <v>0.67</v>
      </c>
      <c r="L25" s="21">
        <f>5/10000</f>
        <v>5.0000000000000001E-4</v>
      </c>
      <c r="M25" s="21">
        <v>4.6100000000000003</v>
      </c>
      <c r="N25" s="20">
        <v>3.1778074558844294</v>
      </c>
      <c r="O25" s="20">
        <f t="shared" ref="O25:O30" si="42">D25*E25*G25*H25</f>
        <v>0.43932755260396122</v>
      </c>
      <c r="P25" s="25">
        <v>120000</v>
      </c>
      <c r="Q25" s="25">
        <v>3750</v>
      </c>
      <c r="R25" s="27">
        <f>(O25*((K25)^3)*((1/Q25)-(1/P25)))+(O25*((K25)^3)*((1/P25)))</f>
        <v>3.5235592721020062E-5</v>
      </c>
      <c r="S25" s="61" t="s">
        <v>83</v>
      </c>
      <c r="T25" s="23">
        <f>SQRT(R25)</f>
        <v>5.9359576077512603E-3</v>
      </c>
      <c r="U25" s="21">
        <v>189792</v>
      </c>
      <c r="V25" s="21">
        <v>24201</v>
      </c>
      <c r="W25" s="20">
        <f>V25/U25</f>
        <v>0.12751327769347495</v>
      </c>
      <c r="X25" s="20">
        <f>1-W25</f>
        <v>0.87248672230652502</v>
      </c>
      <c r="Y25" s="23">
        <f>SQRT(R25)</f>
        <v>5.9359576077512603E-3</v>
      </c>
      <c r="Z25" s="23">
        <f>SQRT((W25*X25)/U25)</f>
        <v>7.6562863281594436E-4</v>
      </c>
      <c r="AA25" s="48">
        <f>SQRT((T25^2)+(Z25^2))</f>
        <v>5.9851299003787434E-3</v>
      </c>
    </row>
    <row r="26" spans="1:27" ht="16">
      <c r="A26" s="386"/>
      <c r="B26" s="34" t="s">
        <v>192</v>
      </c>
      <c r="C26" s="34">
        <v>1</v>
      </c>
      <c r="D26" s="19">
        <v>0.30705647840531564</v>
      </c>
      <c r="E26" s="21">
        <v>0.5</v>
      </c>
      <c r="F26" s="21">
        <v>1</v>
      </c>
      <c r="G26" s="20">
        <f t="shared" ref="G26:G30" si="43">(J26/K26)^F26</f>
        <v>3.7313432835820892E-2</v>
      </c>
      <c r="H26" s="22">
        <f t="shared" ref="H26:H30" si="44">((1-I26)/I26)*(((1-I26)*M26)+(I26*N26))</f>
        <v>178.40091156813941</v>
      </c>
      <c r="I26" s="23">
        <v>2.5000000000000001E-2</v>
      </c>
      <c r="J26" s="21">
        <v>2.5000000000000001E-2</v>
      </c>
      <c r="K26" s="21">
        <f t="shared" si="41"/>
        <v>0.67</v>
      </c>
      <c r="L26" s="21">
        <f>2000/10000</f>
        <v>0.2</v>
      </c>
      <c r="M26" s="21">
        <v>4.6100000000000003</v>
      </c>
      <c r="N26" s="20">
        <v>3.1852939160404103</v>
      </c>
      <c r="O26" s="20">
        <f t="shared" si="42"/>
        <v>1.021999172582295</v>
      </c>
      <c r="P26" s="24">
        <v>850</v>
      </c>
      <c r="Q26" s="25">
        <f>15*1</f>
        <v>15</v>
      </c>
      <c r="R26" s="26" t="s">
        <v>83</v>
      </c>
      <c r="S26" s="27">
        <f>(O26*((K26)^3)*((1/Q26)-(1/P26)))+$R$25</f>
        <v>2.0165581750737724E-2</v>
      </c>
      <c r="T26" s="23">
        <f>SQRT(S26)</f>
        <v>0.14200556943563067</v>
      </c>
      <c r="U26" s="21">
        <v>163</v>
      </c>
      <c r="V26" s="21">
        <v>144</v>
      </c>
      <c r="W26" s="20">
        <f t="shared" ref="W26:W30" si="45">V26/U26</f>
        <v>0.8834355828220859</v>
      </c>
      <c r="X26" s="20">
        <f t="shared" ref="X26:X30" si="46">1-W26</f>
        <v>0.1165644171779141</v>
      </c>
      <c r="Y26" s="23">
        <f>SQRT(S26)</f>
        <v>0.14200556943563067</v>
      </c>
      <c r="Z26" s="23">
        <f t="shared" ref="Z26:Z30" si="47">SQRT((W26*X26)/U26)</f>
        <v>2.5134869801003924E-2</v>
      </c>
      <c r="AA26" s="48">
        <f t="shared" ref="AA26:AA30" si="48">SQRT((T26^2)+(Z26^2))</f>
        <v>0.14421284072734697</v>
      </c>
    </row>
    <row r="27" spans="1:27" ht="16">
      <c r="A27" s="386"/>
      <c r="B27" s="34" t="s">
        <v>193</v>
      </c>
      <c r="C27" s="34">
        <v>2</v>
      </c>
      <c r="D27" s="19">
        <v>0.30705647840531564</v>
      </c>
      <c r="E27" s="21">
        <v>0.5</v>
      </c>
      <c r="F27" s="21">
        <v>1</v>
      </c>
      <c r="G27" s="20">
        <f t="shared" si="43"/>
        <v>3.7313432835820892E-2</v>
      </c>
      <c r="H27" s="22">
        <f t="shared" si="44"/>
        <v>178.40091156813941</v>
      </c>
      <c r="I27" s="23">
        <v>2.5000000000000001E-2</v>
      </c>
      <c r="J27" s="21">
        <v>2.5000000000000001E-2</v>
      </c>
      <c r="K27" s="21">
        <f t="shared" si="41"/>
        <v>0.67</v>
      </c>
      <c r="L27" s="21">
        <f>2000/10000</f>
        <v>0.2</v>
      </c>
      <c r="M27" s="21">
        <v>4.6100000000000003</v>
      </c>
      <c r="N27" s="20">
        <v>3.1852939160404103</v>
      </c>
      <c r="O27" s="20">
        <f t="shared" si="42"/>
        <v>1.021999172582295</v>
      </c>
      <c r="P27" s="24">
        <v>850</v>
      </c>
      <c r="Q27" s="25">
        <f>15*2</f>
        <v>30</v>
      </c>
      <c r="R27" s="26" t="s">
        <v>83</v>
      </c>
      <c r="S27" s="27">
        <f t="shared" ref="S27:S30" si="49">(O27*((K27)^3)*((1/Q27)-(1/P27)))+$R$25</f>
        <v>9.9195971792920973E-3</v>
      </c>
      <c r="T27" s="23">
        <f>SQRT(S27)</f>
        <v>9.9597174554763843E-2</v>
      </c>
      <c r="U27" s="21">
        <f>U26*2</f>
        <v>326</v>
      </c>
      <c r="V27" s="21">
        <f>V26*2</f>
        <v>288</v>
      </c>
      <c r="W27" s="20">
        <f t="shared" si="45"/>
        <v>0.8834355828220859</v>
      </c>
      <c r="X27" s="20">
        <f t="shared" si="46"/>
        <v>0.1165644171779141</v>
      </c>
      <c r="Y27" s="23">
        <f>SQRT(S27)</f>
        <v>9.9597174554763843E-2</v>
      </c>
      <c r="Z27" s="23">
        <f t="shared" si="47"/>
        <v>1.7773036880530845E-2</v>
      </c>
      <c r="AA27" s="48">
        <f t="shared" si="48"/>
        <v>0.1011705392851536</v>
      </c>
    </row>
    <row r="28" spans="1:27" ht="16">
      <c r="A28" s="386"/>
      <c r="B28" s="34" t="s">
        <v>194</v>
      </c>
      <c r="C28" s="34">
        <v>3</v>
      </c>
      <c r="D28" s="19">
        <v>0.30705647840531564</v>
      </c>
      <c r="E28" s="21">
        <v>0.5</v>
      </c>
      <c r="F28" s="21">
        <v>1</v>
      </c>
      <c r="G28" s="20">
        <f t="shared" si="43"/>
        <v>3.7313432835820892E-2</v>
      </c>
      <c r="H28" s="22">
        <f t="shared" si="44"/>
        <v>178.40091156813941</v>
      </c>
      <c r="I28" s="23">
        <v>2.5000000000000001E-2</v>
      </c>
      <c r="J28" s="21">
        <v>2.5000000000000001E-2</v>
      </c>
      <c r="K28" s="21">
        <f t="shared" si="41"/>
        <v>0.67</v>
      </c>
      <c r="L28" s="21">
        <f>2000/10000</f>
        <v>0.2</v>
      </c>
      <c r="M28" s="21">
        <v>4.6100000000000003</v>
      </c>
      <c r="N28" s="20">
        <v>3.1852939160404103</v>
      </c>
      <c r="O28" s="20">
        <f t="shared" si="42"/>
        <v>1.021999172582295</v>
      </c>
      <c r="P28" s="24">
        <v>850</v>
      </c>
      <c r="Q28" s="25">
        <f>15*3</f>
        <v>45</v>
      </c>
      <c r="R28" s="26" t="s">
        <v>83</v>
      </c>
      <c r="S28" s="27">
        <f t="shared" si="49"/>
        <v>6.5042689888102218E-3</v>
      </c>
      <c r="T28" s="23">
        <f>SQRT(S28)</f>
        <v>8.0649048282110697E-2</v>
      </c>
      <c r="U28" s="21">
        <f>U26*3</f>
        <v>489</v>
      </c>
      <c r="V28" s="21">
        <f>V26*3</f>
        <v>432</v>
      </c>
      <c r="W28" s="20">
        <f t="shared" si="45"/>
        <v>0.8834355828220859</v>
      </c>
      <c r="X28" s="20">
        <f t="shared" si="46"/>
        <v>0.1165644171779141</v>
      </c>
      <c r="Y28" s="23">
        <f>SQRT(S28)</f>
        <v>8.0649048282110697E-2</v>
      </c>
      <c r="Z28" s="23">
        <f t="shared" si="47"/>
        <v>1.4511623845655811E-2</v>
      </c>
      <c r="AA28" s="48">
        <f t="shared" si="48"/>
        <v>8.1944226248394272E-2</v>
      </c>
    </row>
    <row r="29" spans="1:27" ht="16">
      <c r="A29" s="386"/>
      <c r="B29" s="34" t="s">
        <v>195</v>
      </c>
      <c r="C29" s="34">
        <v>4</v>
      </c>
      <c r="D29" s="19">
        <v>0.30705647840531564</v>
      </c>
      <c r="E29" s="21">
        <v>0.5</v>
      </c>
      <c r="F29" s="21">
        <v>1</v>
      </c>
      <c r="G29" s="20">
        <f t="shared" si="43"/>
        <v>3.7313432835820892E-2</v>
      </c>
      <c r="H29" s="22">
        <f t="shared" si="44"/>
        <v>178.40091156813941</v>
      </c>
      <c r="I29" s="23">
        <v>2.5000000000000001E-2</v>
      </c>
      <c r="J29" s="21">
        <v>2.5000000000000001E-2</v>
      </c>
      <c r="K29" s="21">
        <f t="shared" si="41"/>
        <v>0.67</v>
      </c>
      <c r="L29" s="21">
        <f>2000/10000</f>
        <v>0.2</v>
      </c>
      <c r="M29" s="21">
        <v>4.6100000000000003</v>
      </c>
      <c r="N29" s="20">
        <v>3.1852939160404103</v>
      </c>
      <c r="O29" s="20">
        <f t="shared" si="42"/>
        <v>1.021999172582295</v>
      </c>
      <c r="P29" s="24">
        <v>850</v>
      </c>
      <c r="Q29" s="25">
        <f>15*4</f>
        <v>60</v>
      </c>
      <c r="R29" s="26" t="s">
        <v>83</v>
      </c>
      <c r="S29" s="27">
        <f t="shared" si="49"/>
        <v>4.7966048935692831E-3</v>
      </c>
      <c r="T29" s="23">
        <f>SQRT(S29)</f>
        <v>6.9257525898412539E-2</v>
      </c>
      <c r="U29" s="21">
        <f>U26*4</f>
        <v>652</v>
      </c>
      <c r="V29" s="21">
        <f>V26*4</f>
        <v>576</v>
      </c>
      <c r="W29" s="20">
        <f t="shared" si="45"/>
        <v>0.8834355828220859</v>
      </c>
      <c r="X29" s="20">
        <f t="shared" si="46"/>
        <v>0.1165644171779141</v>
      </c>
      <c r="Y29" s="23">
        <f>SQRT(S29)</f>
        <v>6.9257525898412539E-2</v>
      </c>
      <c r="Z29" s="23">
        <f t="shared" si="47"/>
        <v>1.2567434900501962E-2</v>
      </c>
      <c r="AA29" s="48">
        <f t="shared" si="48"/>
        <v>7.0388531122247744E-2</v>
      </c>
    </row>
    <row r="30" spans="1:27" ht="16">
      <c r="A30" s="386"/>
      <c r="B30" s="34" t="s">
        <v>196</v>
      </c>
      <c r="C30" s="34">
        <v>5</v>
      </c>
      <c r="D30" s="19">
        <v>0.30705647840531564</v>
      </c>
      <c r="E30" s="21">
        <v>0.5</v>
      </c>
      <c r="F30" s="21">
        <v>1</v>
      </c>
      <c r="G30" s="20">
        <f t="shared" si="43"/>
        <v>3.7313432835820892E-2</v>
      </c>
      <c r="H30" s="22">
        <f t="shared" si="44"/>
        <v>178.40091156813941</v>
      </c>
      <c r="I30" s="23">
        <v>2.5000000000000001E-2</v>
      </c>
      <c r="J30" s="21">
        <v>2.5000000000000001E-2</v>
      </c>
      <c r="K30" s="21">
        <f t="shared" si="41"/>
        <v>0.67</v>
      </c>
      <c r="L30" s="21">
        <f>2000/10000</f>
        <v>0.2</v>
      </c>
      <c r="M30" s="21">
        <v>4.6100000000000003</v>
      </c>
      <c r="N30" s="20">
        <v>3.1852939160404103</v>
      </c>
      <c r="O30" s="20">
        <f t="shared" si="42"/>
        <v>1.021999172582295</v>
      </c>
      <c r="P30" s="24">
        <v>850</v>
      </c>
      <c r="Q30" s="25">
        <f>15*5</f>
        <v>75</v>
      </c>
      <c r="R30" s="26" t="s">
        <v>83</v>
      </c>
      <c r="S30" s="27">
        <f t="shared" si="49"/>
        <v>3.7720064364247202E-3</v>
      </c>
      <c r="T30" s="23">
        <f>SQRT(S30)</f>
        <v>6.1416662530820738E-2</v>
      </c>
      <c r="U30" s="21">
        <f>U26*5</f>
        <v>815</v>
      </c>
      <c r="V30" s="21">
        <f>V26*5</f>
        <v>720</v>
      </c>
      <c r="W30" s="20">
        <f t="shared" si="45"/>
        <v>0.8834355828220859</v>
      </c>
      <c r="X30" s="20">
        <f t="shared" si="46"/>
        <v>0.1165644171779141</v>
      </c>
      <c r="Y30" s="23">
        <f>SQRT(S30)</f>
        <v>6.1416662530820738E-2</v>
      </c>
      <c r="Z30" s="23">
        <f t="shared" si="47"/>
        <v>1.1240655496130276E-2</v>
      </c>
      <c r="AA30" s="48">
        <f t="shared" si="48"/>
        <v>6.2436838264020092E-2</v>
      </c>
    </row>
    <row r="31" spans="1:27">
      <c r="A31" s="386"/>
      <c r="B31" s="79"/>
      <c r="C31" s="79"/>
      <c r="D31" s="79"/>
      <c r="E31" s="79"/>
      <c r="F31" s="79"/>
      <c r="G31" s="79"/>
      <c r="H31" s="79"/>
      <c r="I31" s="79"/>
      <c r="J31" s="79"/>
      <c r="K31" s="79"/>
      <c r="L31" s="79"/>
      <c r="M31" s="79"/>
      <c r="N31" s="79"/>
      <c r="O31" s="79"/>
      <c r="P31" s="79"/>
      <c r="Q31" s="79"/>
      <c r="R31" s="79"/>
      <c r="S31" s="79"/>
      <c r="T31" s="79"/>
      <c r="U31" s="79"/>
      <c r="V31" s="79"/>
      <c r="W31" s="79"/>
      <c r="X31" s="79"/>
      <c r="Y31" s="79"/>
      <c r="Z31" s="79"/>
      <c r="AA31" s="82"/>
    </row>
    <row r="32" spans="1:27" ht="16" customHeight="1">
      <c r="A32" s="386"/>
      <c r="B32" s="33" t="s">
        <v>175</v>
      </c>
      <c r="C32" s="33"/>
      <c r="D32" s="19">
        <v>0.3</v>
      </c>
      <c r="E32" s="21">
        <v>0.25</v>
      </c>
      <c r="F32" s="21">
        <v>1</v>
      </c>
      <c r="G32" s="20">
        <f>(J32/K32)^F32</f>
        <v>3.2835820895522387E-2</v>
      </c>
      <c r="H32" s="22">
        <f>((1-I32)/I32)*(((1-I32)*M32)+(I32*N32))</f>
        <v>86.229417083090198</v>
      </c>
      <c r="I32" s="23">
        <v>0.05</v>
      </c>
      <c r="J32" s="21">
        <v>2.1999999999999999E-2</v>
      </c>
      <c r="K32" s="21">
        <f t="shared" ref="K32:K37" si="50">6700/10000</f>
        <v>0.67</v>
      </c>
      <c r="L32" s="21">
        <f>5/10000</f>
        <v>5.0000000000000001E-4</v>
      </c>
      <c r="M32" s="21">
        <v>4.6100000000000003</v>
      </c>
      <c r="N32" s="20">
        <v>3.1778074558844294</v>
      </c>
      <c r="O32" s="20">
        <f t="shared" ref="O32:O37" si="51">D32*E32*G32*H32</f>
        <v>0.2123560271449236</v>
      </c>
      <c r="P32" s="25">
        <v>120000</v>
      </c>
      <c r="Q32" s="25">
        <v>3750</v>
      </c>
      <c r="R32" s="27">
        <f>(O32*((K32)^3)*((1/Q32)-(1/P32)))+(O32*((K32)^3)*((1/P32)))</f>
        <v>1.703168954458365E-5</v>
      </c>
      <c r="S32" s="61" t="s">
        <v>83</v>
      </c>
      <c r="T32" s="23">
        <f>SQRT(R32)</f>
        <v>4.1269467581474383E-3</v>
      </c>
      <c r="U32" s="21">
        <v>189792</v>
      </c>
      <c r="V32" s="21">
        <v>24201</v>
      </c>
      <c r="W32" s="20">
        <f>V32/U32</f>
        <v>0.12751327769347495</v>
      </c>
      <c r="X32" s="20">
        <f>1-W32</f>
        <v>0.87248672230652502</v>
      </c>
      <c r="Y32" s="23">
        <f>SQRT(R32)</f>
        <v>4.1269467581474383E-3</v>
      </c>
      <c r="Z32" s="23">
        <f>SQRT((W32*X32)/U32)</f>
        <v>7.6562863281594436E-4</v>
      </c>
      <c r="AA32" s="48">
        <f>SQRT((T32^2)+(Z32^2))</f>
        <v>4.1973654532303072E-3</v>
      </c>
    </row>
    <row r="33" spans="1:27" ht="16">
      <c r="A33" s="386"/>
      <c r="B33" s="34" t="s">
        <v>197</v>
      </c>
      <c r="C33" s="34">
        <v>1</v>
      </c>
      <c r="D33" s="19">
        <v>0.30705647840531564</v>
      </c>
      <c r="E33" s="21">
        <v>0.5</v>
      </c>
      <c r="F33" s="21">
        <v>1</v>
      </c>
      <c r="G33" s="20">
        <f t="shared" ref="G33:G37" si="52">(J33/K33)^F33</f>
        <v>3.7313432835820892E-2</v>
      </c>
      <c r="H33" s="22">
        <f t="shared" ref="H33:H37" si="53">((1-I33)/I33)*(((1-I33)*M33)+(I33*N33))</f>
        <v>86.236529220238381</v>
      </c>
      <c r="I33" s="23">
        <v>0.05</v>
      </c>
      <c r="J33" s="21">
        <v>2.5000000000000001E-2</v>
      </c>
      <c r="K33" s="21">
        <f t="shared" si="50"/>
        <v>0.67</v>
      </c>
      <c r="L33" s="21">
        <f>2000/10000</f>
        <v>0.2</v>
      </c>
      <c r="M33" s="21">
        <v>4.6100000000000003</v>
      </c>
      <c r="N33" s="20">
        <v>3.1852939160404103</v>
      </c>
      <c r="O33" s="20">
        <f t="shared" si="51"/>
        <v>0.49402024201984129</v>
      </c>
      <c r="P33" s="24">
        <v>850</v>
      </c>
      <c r="Q33" s="25">
        <f>15*1</f>
        <v>15</v>
      </c>
      <c r="R33" s="26" t="s">
        <v>83</v>
      </c>
      <c r="S33" s="27">
        <f>(O33*((K33)^3)*((1/Q33)-(1/P33)))+$R$32</f>
        <v>9.7477621516828053E-3</v>
      </c>
      <c r="T33" s="23">
        <f>SQRT(S33)</f>
        <v>9.8730755854914864E-2</v>
      </c>
      <c r="U33" s="21">
        <v>163</v>
      </c>
      <c r="V33" s="21">
        <v>144</v>
      </c>
      <c r="W33" s="20">
        <f t="shared" ref="W33:W37" si="54">V33/U33</f>
        <v>0.8834355828220859</v>
      </c>
      <c r="X33" s="20">
        <f t="shared" ref="X33:X37" si="55">1-W33</f>
        <v>0.1165644171779141</v>
      </c>
      <c r="Y33" s="23">
        <f>SQRT(S33)</f>
        <v>9.8730755854914864E-2</v>
      </c>
      <c r="Z33" s="23">
        <f t="shared" ref="Z33:Z37" si="56">SQRT((W33*X33)/U33)</f>
        <v>2.5134869801003924E-2</v>
      </c>
      <c r="AA33" s="48">
        <f t="shared" ref="AA33:AA37" si="57">SQRT((T33^2)+(Z33^2))</f>
        <v>0.10187994813306603</v>
      </c>
    </row>
    <row r="34" spans="1:27" ht="16">
      <c r="A34" s="386"/>
      <c r="B34" s="34" t="s">
        <v>198</v>
      </c>
      <c r="C34" s="34">
        <v>2</v>
      </c>
      <c r="D34" s="19">
        <v>0.30705647840531564</v>
      </c>
      <c r="E34" s="21">
        <v>0.5</v>
      </c>
      <c r="F34" s="21">
        <v>1</v>
      </c>
      <c r="G34" s="20">
        <f t="shared" si="52"/>
        <v>3.7313432835820892E-2</v>
      </c>
      <c r="H34" s="22">
        <f t="shared" si="53"/>
        <v>86.236529220238381</v>
      </c>
      <c r="I34" s="23">
        <v>0.05</v>
      </c>
      <c r="J34" s="21">
        <v>2.5000000000000001E-2</v>
      </c>
      <c r="K34" s="21">
        <f t="shared" si="50"/>
        <v>0.67</v>
      </c>
      <c r="L34" s="21">
        <f>2000/10000</f>
        <v>0.2</v>
      </c>
      <c r="M34" s="21">
        <v>4.6100000000000003</v>
      </c>
      <c r="N34" s="20">
        <v>3.1852939160404103</v>
      </c>
      <c r="O34" s="20">
        <f t="shared" si="51"/>
        <v>0.49402024201984129</v>
      </c>
      <c r="P34" s="24">
        <v>850</v>
      </c>
      <c r="Q34" s="25">
        <f>15*2</f>
        <v>30</v>
      </c>
      <c r="R34" s="26" t="s">
        <v>83</v>
      </c>
      <c r="S34" s="27">
        <f t="shared" ref="S34:S37" si="58">(O34*((K34)^3)*((1/Q34)-(1/P34)))+$R$32</f>
        <v>4.7949951499956867E-3</v>
      </c>
      <c r="T34" s="23">
        <f>SQRT(S34)</f>
        <v>6.9245903488911797E-2</v>
      </c>
      <c r="U34" s="21">
        <f>U33*2</f>
        <v>326</v>
      </c>
      <c r="V34" s="21">
        <f>V33*2</f>
        <v>288</v>
      </c>
      <c r="W34" s="20">
        <f t="shared" si="54"/>
        <v>0.8834355828220859</v>
      </c>
      <c r="X34" s="20">
        <f t="shared" si="55"/>
        <v>0.1165644171779141</v>
      </c>
      <c r="Y34" s="23">
        <f>SQRT(S34)</f>
        <v>6.9245903488911797E-2</v>
      </c>
      <c r="Z34" s="23">
        <f t="shared" si="56"/>
        <v>1.7773036880530845E-2</v>
      </c>
      <c r="AA34" s="48">
        <f t="shared" si="57"/>
        <v>7.14903908924297E-2</v>
      </c>
    </row>
    <row r="35" spans="1:27" ht="16">
      <c r="A35" s="386"/>
      <c r="B35" s="34" t="s">
        <v>199</v>
      </c>
      <c r="C35" s="34">
        <v>3</v>
      </c>
      <c r="D35" s="19">
        <v>0.30705647840531564</v>
      </c>
      <c r="E35" s="21">
        <v>0.5</v>
      </c>
      <c r="F35" s="21">
        <v>1</v>
      </c>
      <c r="G35" s="20">
        <f t="shared" si="52"/>
        <v>3.7313432835820892E-2</v>
      </c>
      <c r="H35" s="22">
        <f t="shared" si="53"/>
        <v>86.236529220238381</v>
      </c>
      <c r="I35" s="23">
        <v>0.05</v>
      </c>
      <c r="J35" s="21">
        <v>2.5000000000000001E-2</v>
      </c>
      <c r="K35" s="21">
        <f t="shared" si="50"/>
        <v>0.67</v>
      </c>
      <c r="L35" s="21">
        <f>2000/10000</f>
        <v>0.2</v>
      </c>
      <c r="M35" s="21">
        <v>4.6100000000000003</v>
      </c>
      <c r="N35" s="20">
        <v>3.1852939160404103</v>
      </c>
      <c r="O35" s="20">
        <f t="shared" si="51"/>
        <v>0.49402024201984129</v>
      </c>
      <c r="P35" s="24">
        <v>850</v>
      </c>
      <c r="Q35" s="25">
        <f>15*3</f>
        <v>45</v>
      </c>
      <c r="R35" s="26" t="s">
        <v>83</v>
      </c>
      <c r="S35" s="27">
        <f t="shared" si="58"/>
        <v>3.1440728160999805E-3</v>
      </c>
      <c r="T35" s="23">
        <f>SQRT(S35)</f>
        <v>5.6072032387813268E-2</v>
      </c>
      <c r="U35" s="21">
        <f>U33*3</f>
        <v>489</v>
      </c>
      <c r="V35" s="21">
        <f>V33*3</f>
        <v>432</v>
      </c>
      <c r="W35" s="20">
        <f t="shared" si="54"/>
        <v>0.8834355828220859</v>
      </c>
      <c r="X35" s="20">
        <f t="shared" si="55"/>
        <v>0.1165644171779141</v>
      </c>
      <c r="Y35" s="23">
        <f>SQRT(S35)</f>
        <v>5.6072032387813268E-2</v>
      </c>
      <c r="Z35" s="23">
        <f t="shared" si="56"/>
        <v>1.4511623845655811E-2</v>
      </c>
      <c r="AA35" s="48">
        <f t="shared" si="57"/>
        <v>5.7919427161685452E-2</v>
      </c>
    </row>
    <row r="36" spans="1:27" ht="16">
      <c r="A36" s="386"/>
      <c r="B36" s="34" t="s">
        <v>200</v>
      </c>
      <c r="C36" s="34">
        <v>4</v>
      </c>
      <c r="D36" s="19">
        <v>0.30705647840531564</v>
      </c>
      <c r="E36" s="21">
        <v>0.5</v>
      </c>
      <c r="F36" s="21">
        <v>1</v>
      </c>
      <c r="G36" s="20">
        <f t="shared" si="52"/>
        <v>3.7313432835820892E-2</v>
      </c>
      <c r="H36" s="22">
        <f t="shared" si="53"/>
        <v>86.236529220238381</v>
      </c>
      <c r="I36" s="23">
        <v>0.05</v>
      </c>
      <c r="J36" s="21">
        <v>2.5000000000000001E-2</v>
      </c>
      <c r="K36" s="21">
        <f t="shared" si="50"/>
        <v>0.67</v>
      </c>
      <c r="L36" s="21">
        <f>2000/10000</f>
        <v>0.2</v>
      </c>
      <c r="M36" s="21">
        <v>4.6100000000000003</v>
      </c>
      <c r="N36" s="20">
        <v>3.1852939160404103</v>
      </c>
      <c r="O36" s="20">
        <f t="shared" si="51"/>
        <v>0.49402024201984129</v>
      </c>
      <c r="P36" s="24">
        <v>850</v>
      </c>
      <c r="Q36" s="25">
        <f>15*4</f>
        <v>60</v>
      </c>
      <c r="R36" s="26" t="s">
        <v>83</v>
      </c>
      <c r="S36" s="27">
        <f t="shared" si="58"/>
        <v>2.318611649152127E-3</v>
      </c>
      <c r="T36" s="23">
        <f>SQRT(S36)</f>
        <v>4.8151964125590217E-2</v>
      </c>
      <c r="U36" s="21">
        <f>U33*4</f>
        <v>652</v>
      </c>
      <c r="V36" s="21">
        <f>V33*4</f>
        <v>576</v>
      </c>
      <c r="W36" s="20">
        <f t="shared" si="54"/>
        <v>0.8834355828220859</v>
      </c>
      <c r="X36" s="20">
        <f t="shared" si="55"/>
        <v>0.1165644171779141</v>
      </c>
      <c r="Y36" s="23">
        <f>SQRT(S36)</f>
        <v>4.8151964125590217E-2</v>
      </c>
      <c r="Z36" s="23">
        <f t="shared" si="56"/>
        <v>1.2567434900501962E-2</v>
      </c>
      <c r="AA36" s="48">
        <f t="shared" si="57"/>
        <v>4.9764968292268431E-2</v>
      </c>
    </row>
    <row r="37" spans="1:27" ht="16">
      <c r="A37" s="386"/>
      <c r="B37" s="34" t="s">
        <v>201</v>
      </c>
      <c r="C37" s="34">
        <v>5</v>
      </c>
      <c r="D37" s="19">
        <v>0.30705647840531564</v>
      </c>
      <c r="E37" s="21">
        <v>0.5</v>
      </c>
      <c r="F37" s="21">
        <v>1</v>
      </c>
      <c r="G37" s="20">
        <f t="shared" si="52"/>
        <v>3.7313432835820892E-2</v>
      </c>
      <c r="H37" s="22">
        <f t="shared" si="53"/>
        <v>86.236529220238381</v>
      </c>
      <c r="I37" s="23">
        <v>0.05</v>
      </c>
      <c r="J37" s="21">
        <v>2.5000000000000001E-2</v>
      </c>
      <c r="K37" s="21">
        <f t="shared" si="50"/>
        <v>0.67</v>
      </c>
      <c r="L37" s="21">
        <f>2000/10000</f>
        <v>0.2</v>
      </c>
      <c r="M37" s="21">
        <v>4.6100000000000003</v>
      </c>
      <c r="N37" s="20">
        <v>3.1852939160404103</v>
      </c>
      <c r="O37" s="20">
        <f t="shared" si="51"/>
        <v>0.49402024201984129</v>
      </c>
      <c r="P37" s="24">
        <v>850</v>
      </c>
      <c r="Q37" s="25">
        <f>15*5</f>
        <v>75</v>
      </c>
      <c r="R37" s="26" t="s">
        <v>83</v>
      </c>
      <c r="S37" s="27">
        <f t="shared" si="58"/>
        <v>1.8233349489834151E-3</v>
      </c>
      <c r="T37" s="23">
        <f>SQRT(S37)</f>
        <v>4.2700526331456559E-2</v>
      </c>
      <c r="U37" s="21">
        <f>U33*5</f>
        <v>815</v>
      </c>
      <c r="V37" s="21">
        <f>V33*5</f>
        <v>720</v>
      </c>
      <c r="W37" s="20">
        <f t="shared" si="54"/>
        <v>0.8834355828220859</v>
      </c>
      <c r="X37" s="20">
        <f t="shared" si="55"/>
        <v>0.1165644171779141</v>
      </c>
      <c r="Y37" s="23">
        <f>SQRT(S37)</f>
        <v>4.2700526331456559E-2</v>
      </c>
      <c r="Z37" s="23">
        <f t="shared" si="56"/>
        <v>1.1240655496130276E-2</v>
      </c>
      <c r="AA37" s="48">
        <f t="shared" si="57"/>
        <v>4.4155263389160058E-2</v>
      </c>
    </row>
    <row r="38" spans="1:27" s="21" customFormat="1">
      <c r="A38" s="386"/>
      <c r="B38" s="79"/>
      <c r="C38" s="79"/>
      <c r="D38" s="79"/>
      <c r="E38" s="79"/>
      <c r="F38" s="79"/>
      <c r="G38" s="79"/>
      <c r="H38" s="79"/>
      <c r="I38" s="79"/>
      <c r="J38" s="79"/>
      <c r="K38" s="79"/>
      <c r="L38" s="79"/>
      <c r="M38" s="79"/>
      <c r="N38" s="79"/>
      <c r="O38" s="79"/>
      <c r="P38" s="79"/>
      <c r="Q38" s="79"/>
      <c r="R38" s="79"/>
      <c r="S38" s="79"/>
      <c r="T38" s="79"/>
      <c r="U38" s="79"/>
      <c r="V38" s="79"/>
      <c r="W38" s="79"/>
      <c r="X38" s="79"/>
      <c r="Y38" s="79"/>
      <c r="Z38" s="79"/>
      <c r="AA38" s="82"/>
    </row>
    <row r="39" spans="1:27" ht="16" customHeight="1">
      <c r="A39" s="386"/>
      <c r="B39" s="33" t="s">
        <v>175</v>
      </c>
      <c r="C39" s="33"/>
      <c r="D39" s="19">
        <v>0.3</v>
      </c>
      <c r="E39" s="21">
        <v>0.25</v>
      </c>
      <c r="F39" s="21">
        <v>1</v>
      </c>
      <c r="G39" s="20">
        <f>(J39/K39)^F39</f>
        <v>3.2835820895522387E-2</v>
      </c>
      <c r="H39" s="22">
        <f>((1-I39)/I39)*(((1-I39)*M39)+(I39*N39))</f>
        <v>40.201026710295984</v>
      </c>
      <c r="I39" s="23">
        <v>0.1</v>
      </c>
      <c r="J39" s="21">
        <v>2.1999999999999999E-2</v>
      </c>
      <c r="K39" s="21">
        <f t="shared" ref="K39:K44" si="59">6700/10000</f>
        <v>0.67</v>
      </c>
      <c r="L39" s="21">
        <f>5/10000</f>
        <v>5.0000000000000001E-4</v>
      </c>
      <c r="M39" s="21">
        <v>4.6100000000000003</v>
      </c>
      <c r="N39" s="20">
        <v>3.1778074558844294</v>
      </c>
      <c r="O39" s="20">
        <f t="shared" ref="O39:O44" si="60">D39*E39*G39*H39</f>
        <v>9.9002528465654285E-2</v>
      </c>
      <c r="P39" s="25">
        <v>120000</v>
      </c>
      <c r="Q39" s="25">
        <v>3750</v>
      </c>
      <c r="R39" s="27">
        <f>(O39*((K39)^3)*((1/Q39)-(1/P39)))+(O39*((K39)^3)*((1/P39)))</f>
        <v>7.9403459917108238E-6</v>
      </c>
      <c r="S39" s="61" t="s">
        <v>83</v>
      </c>
      <c r="T39" s="23">
        <f>SQRT(R39)</f>
        <v>2.8178619539840528E-3</v>
      </c>
      <c r="U39" s="21">
        <v>189792</v>
      </c>
      <c r="V39" s="21">
        <v>24201</v>
      </c>
      <c r="W39" s="20">
        <f>V39/U39</f>
        <v>0.12751327769347495</v>
      </c>
      <c r="X39" s="20">
        <f>1-W39</f>
        <v>0.87248672230652502</v>
      </c>
      <c r="Y39" s="23">
        <f>SQRT(R39)</f>
        <v>2.8178619539840528E-3</v>
      </c>
      <c r="Z39" s="23">
        <f>SQRT((W39*X39)/U39)</f>
        <v>7.6562863281594436E-4</v>
      </c>
      <c r="AA39" s="48">
        <f>SQRT((T39^2)+(Z39^2))</f>
        <v>2.9200228072907984E-3</v>
      </c>
    </row>
    <row r="40" spans="1:27" ht="16">
      <c r="A40" s="386"/>
      <c r="B40" s="34" t="s">
        <v>202</v>
      </c>
      <c r="C40" s="34">
        <v>1</v>
      </c>
      <c r="D40" s="19">
        <v>0.30705647840531564</v>
      </c>
      <c r="E40" s="21">
        <v>0.5</v>
      </c>
      <c r="F40" s="21">
        <v>1</v>
      </c>
      <c r="G40" s="20">
        <f t="shared" ref="G40:G44" si="61">(J40/K40)^F40</f>
        <v>3.7313432835820892E-2</v>
      </c>
      <c r="H40" s="22">
        <f t="shared" ref="H40:H44" si="62">((1-I40)/I40)*(((1-I40)*M40)+(I40*N40))</f>
        <v>40.207764524436364</v>
      </c>
      <c r="I40" s="23">
        <v>0.1</v>
      </c>
      <c r="J40" s="21">
        <v>2.5000000000000001E-2</v>
      </c>
      <c r="K40" s="21">
        <f t="shared" si="59"/>
        <v>0.67</v>
      </c>
      <c r="L40" s="21">
        <f>2000/10000</f>
        <v>0.2</v>
      </c>
      <c r="M40" s="21">
        <v>4.6100000000000003</v>
      </c>
      <c r="N40" s="20">
        <v>3.1852939160404103</v>
      </c>
      <c r="O40" s="20">
        <f t="shared" si="60"/>
        <v>0.2303368391683509</v>
      </c>
      <c r="P40" s="24">
        <v>850</v>
      </c>
      <c r="Q40" s="25">
        <f>15*1</f>
        <v>15</v>
      </c>
      <c r="R40" s="26" t="s">
        <v>83</v>
      </c>
      <c r="S40" s="27">
        <f>(O40*((K40)^3)*((1/Q40)-(1/P40)))+$R$39</f>
        <v>4.5448914803909472E-3</v>
      </c>
      <c r="T40" s="23">
        <f>SQRT(S40)</f>
        <v>6.7415810314724739E-2</v>
      </c>
      <c r="U40" s="21">
        <v>163</v>
      </c>
      <c r="V40" s="21">
        <v>144</v>
      </c>
      <c r="W40" s="20">
        <f t="shared" ref="W40:W44" si="63">V40/U40</f>
        <v>0.8834355828220859</v>
      </c>
      <c r="X40" s="20">
        <f t="shared" ref="X40:X44" si="64">1-W40</f>
        <v>0.1165644171779141</v>
      </c>
      <c r="Y40" s="23">
        <f>SQRT(S40)</f>
        <v>6.7415810314724739E-2</v>
      </c>
      <c r="Z40" s="23">
        <f>SQRT((W40*X40)/U40)</f>
        <v>2.5134869801003924E-2</v>
      </c>
      <c r="AA40" s="48">
        <f t="shared" ref="AA40:AA44" si="65">SQRT((T40^2)+(Z40^2))</f>
        <v>7.1948962190599833E-2</v>
      </c>
    </row>
    <row r="41" spans="1:27" ht="16">
      <c r="A41" s="386"/>
      <c r="B41" s="34" t="s">
        <v>203</v>
      </c>
      <c r="C41" s="34">
        <v>2</v>
      </c>
      <c r="D41" s="19">
        <v>0.30705647840531564</v>
      </c>
      <c r="E41" s="21">
        <v>0.5</v>
      </c>
      <c r="F41" s="21">
        <v>1</v>
      </c>
      <c r="G41" s="20">
        <f t="shared" si="61"/>
        <v>3.7313432835820892E-2</v>
      </c>
      <c r="H41" s="22">
        <f t="shared" si="62"/>
        <v>40.207764524436364</v>
      </c>
      <c r="I41" s="23">
        <v>0.1</v>
      </c>
      <c r="J41" s="21">
        <v>2.5000000000000001E-2</v>
      </c>
      <c r="K41" s="21">
        <f t="shared" si="59"/>
        <v>0.67</v>
      </c>
      <c r="L41" s="21">
        <f>2000/10000</f>
        <v>0.2</v>
      </c>
      <c r="M41" s="21">
        <v>4.6100000000000003</v>
      </c>
      <c r="N41" s="20">
        <v>3.1852939160404103</v>
      </c>
      <c r="O41" s="20">
        <f t="shared" si="60"/>
        <v>0.2303368391683509</v>
      </c>
      <c r="P41" s="24">
        <v>850</v>
      </c>
      <c r="Q41" s="25">
        <f>15*2</f>
        <v>30</v>
      </c>
      <c r="R41" s="26" t="s">
        <v>83</v>
      </c>
      <c r="S41" s="27">
        <f t="shared" ref="S41:S44" si="66">(O41*((K41)^3)*((1/Q41)-(1/P41)))+$R$39</f>
        <v>2.2356648550979226E-3</v>
      </c>
      <c r="T41" s="23">
        <f>SQRT(S41)</f>
        <v>4.7282817757594804E-2</v>
      </c>
      <c r="U41" s="21">
        <f>U40*2</f>
        <v>326</v>
      </c>
      <c r="V41" s="21">
        <f>V40*2</f>
        <v>288</v>
      </c>
      <c r="W41" s="20">
        <f t="shared" si="63"/>
        <v>0.8834355828220859</v>
      </c>
      <c r="X41" s="20">
        <f t="shared" si="64"/>
        <v>0.1165644171779141</v>
      </c>
      <c r="Y41" s="23">
        <f>SQRT(S41)</f>
        <v>4.7282817757594804E-2</v>
      </c>
      <c r="Z41" s="23">
        <f t="shared" ref="Z41:Z44" si="67">SQRT((W41*X41)/U41)</f>
        <v>1.7773036880530845E-2</v>
      </c>
      <c r="AA41" s="48">
        <f t="shared" si="65"/>
        <v>5.0512827034869395E-2</v>
      </c>
    </row>
    <row r="42" spans="1:27" ht="16">
      <c r="A42" s="386"/>
      <c r="B42" s="34" t="s">
        <v>204</v>
      </c>
      <c r="C42" s="34">
        <v>3</v>
      </c>
      <c r="D42" s="19">
        <v>0.30705647840531564</v>
      </c>
      <c r="E42" s="21">
        <v>0.5</v>
      </c>
      <c r="F42" s="21">
        <v>1</v>
      </c>
      <c r="G42" s="20">
        <f t="shared" si="61"/>
        <v>3.7313432835820892E-2</v>
      </c>
      <c r="H42" s="22">
        <f t="shared" si="62"/>
        <v>40.207764524436364</v>
      </c>
      <c r="I42" s="23">
        <v>0.1</v>
      </c>
      <c r="J42" s="21">
        <v>2.5000000000000001E-2</v>
      </c>
      <c r="K42" s="21">
        <f t="shared" si="59"/>
        <v>0.67</v>
      </c>
      <c r="L42" s="21">
        <f>2000/10000</f>
        <v>0.2</v>
      </c>
      <c r="M42" s="21">
        <v>4.6100000000000003</v>
      </c>
      <c r="N42" s="20">
        <v>3.1852939160404103</v>
      </c>
      <c r="O42" s="20">
        <f t="shared" si="60"/>
        <v>0.2303368391683509</v>
      </c>
      <c r="P42" s="24">
        <v>850</v>
      </c>
      <c r="Q42" s="25">
        <f>15*3</f>
        <v>45</v>
      </c>
      <c r="R42" s="26" t="s">
        <v>83</v>
      </c>
      <c r="S42" s="27">
        <f t="shared" si="66"/>
        <v>1.4659226466669148E-3</v>
      </c>
      <c r="T42" s="23">
        <f>SQRT(S42)</f>
        <v>3.8287369283706539E-2</v>
      </c>
      <c r="U42" s="21">
        <f>U40*3</f>
        <v>489</v>
      </c>
      <c r="V42" s="21">
        <f>V40*3</f>
        <v>432</v>
      </c>
      <c r="W42" s="20">
        <f t="shared" si="63"/>
        <v>0.8834355828220859</v>
      </c>
      <c r="X42" s="20">
        <f t="shared" si="64"/>
        <v>0.1165644171779141</v>
      </c>
      <c r="Y42" s="23">
        <f>SQRT(S42)</f>
        <v>3.8287369283706539E-2</v>
      </c>
      <c r="Z42" s="23">
        <f t="shared" si="67"/>
        <v>1.4511623845655811E-2</v>
      </c>
      <c r="AA42" s="48">
        <f t="shared" si="65"/>
        <v>4.0945205742610714E-2</v>
      </c>
    </row>
    <row r="43" spans="1:27" ht="16">
      <c r="A43" s="386"/>
      <c r="B43" s="34" t="s">
        <v>205</v>
      </c>
      <c r="C43" s="34">
        <v>4</v>
      </c>
      <c r="D43" s="19">
        <v>0.30705647840531564</v>
      </c>
      <c r="E43" s="21">
        <v>0.5</v>
      </c>
      <c r="F43" s="21">
        <v>1</v>
      </c>
      <c r="G43" s="20">
        <f t="shared" si="61"/>
        <v>3.7313432835820892E-2</v>
      </c>
      <c r="H43" s="22">
        <f t="shared" si="62"/>
        <v>40.207764524436364</v>
      </c>
      <c r="I43" s="23">
        <v>0.1</v>
      </c>
      <c r="J43" s="21">
        <v>2.5000000000000001E-2</v>
      </c>
      <c r="K43" s="21">
        <f t="shared" si="59"/>
        <v>0.67</v>
      </c>
      <c r="L43" s="21">
        <f>2000/10000</f>
        <v>0.2</v>
      </c>
      <c r="M43" s="21">
        <v>4.6100000000000003</v>
      </c>
      <c r="N43" s="20">
        <v>3.1852939160404103</v>
      </c>
      <c r="O43" s="20">
        <f t="shared" si="60"/>
        <v>0.2303368391683509</v>
      </c>
      <c r="P43" s="24">
        <v>850</v>
      </c>
      <c r="Q43" s="25">
        <f>15*4</f>
        <v>60</v>
      </c>
      <c r="R43" s="26" t="s">
        <v>83</v>
      </c>
      <c r="S43" s="27">
        <f t="shared" si="66"/>
        <v>1.0810515424514106E-3</v>
      </c>
      <c r="T43" s="23">
        <f>SQRT(S43)</f>
        <v>3.2879348266828687E-2</v>
      </c>
      <c r="U43" s="21">
        <f>U40*4</f>
        <v>652</v>
      </c>
      <c r="V43" s="21">
        <f>V40*4</f>
        <v>576</v>
      </c>
      <c r="W43" s="20">
        <f t="shared" si="63"/>
        <v>0.8834355828220859</v>
      </c>
      <c r="X43" s="20">
        <f t="shared" si="64"/>
        <v>0.1165644171779141</v>
      </c>
      <c r="Y43" s="23">
        <f>SQRT(S43)</f>
        <v>3.2879348266828687E-2</v>
      </c>
      <c r="Z43" s="23">
        <f t="shared" si="67"/>
        <v>1.2567434900501962E-2</v>
      </c>
      <c r="AA43" s="48">
        <f t="shared" si="65"/>
        <v>3.5199317641536255E-2</v>
      </c>
    </row>
    <row r="44" spans="1:27" ht="16">
      <c r="A44" s="386"/>
      <c r="B44" s="34" t="s">
        <v>206</v>
      </c>
      <c r="C44" s="34">
        <v>5</v>
      </c>
      <c r="D44" s="19">
        <v>0.30705647840531564</v>
      </c>
      <c r="E44" s="21">
        <v>0.5</v>
      </c>
      <c r="F44" s="21">
        <v>1</v>
      </c>
      <c r="G44" s="20">
        <f t="shared" si="61"/>
        <v>3.7313432835820892E-2</v>
      </c>
      <c r="H44" s="22">
        <f t="shared" si="62"/>
        <v>40.207764524436364</v>
      </c>
      <c r="I44" s="23">
        <v>0.1</v>
      </c>
      <c r="J44" s="21">
        <v>2.5000000000000001E-2</v>
      </c>
      <c r="K44" s="21">
        <f t="shared" si="59"/>
        <v>0.67</v>
      </c>
      <c r="L44" s="21">
        <f>2000/10000</f>
        <v>0.2</v>
      </c>
      <c r="M44" s="21">
        <v>4.6100000000000003</v>
      </c>
      <c r="N44" s="20">
        <v>3.1852939160404103</v>
      </c>
      <c r="O44" s="20">
        <f t="shared" si="60"/>
        <v>0.2303368391683509</v>
      </c>
      <c r="P44" s="24">
        <v>850</v>
      </c>
      <c r="Q44" s="25">
        <f>15*5</f>
        <v>75</v>
      </c>
      <c r="R44" s="26" t="s">
        <v>83</v>
      </c>
      <c r="S44" s="27">
        <f t="shared" si="66"/>
        <v>8.5012887992210818E-4</v>
      </c>
      <c r="T44" s="23">
        <f>SQRT(S44)</f>
        <v>2.9156969662880061E-2</v>
      </c>
      <c r="U44" s="21">
        <f>U40*5</f>
        <v>815</v>
      </c>
      <c r="V44" s="21">
        <f>V40*5</f>
        <v>720</v>
      </c>
      <c r="W44" s="20">
        <f t="shared" si="63"/>
        <v>0.8834355828220859</v>
      </c>
      <c r="X44" s="20">
        <f t="shared" si="64"/>
        <v>0.1165644171779141</v>
      </c>
      <c r="Y44" s="23">
        <f>SQRT(S44)</f>
        <v>2.9156969662880061E-2</v>
      </c>
      <c r="Z44" s="23">
        <f t="shared" si="67"/>
        <v>1.1240655496130276E-2</v>
      </c>
      <c r="AA44" s="48">
        <f t="shared" si="65"/>
        <v>3.1248699427412849E-2</v>
      </c>
    </row>
    <row r="45" spans="1:27">
      <c r="A45" s="386"/>
      <c r="B45" s="79"/>
      <c r="C45" s="79"/>
      <c r="D45" s="79"/>
      <c r="E45" s="79"/>
      <c r="F45" s="79"/>
      <c r="G45" s="79"/>
      <c r="H45" s="79"/>
      <c r="I45" s="79"/>
      <c r="J45" s="79"/>
      <c r="K45" s="79"/>
      <c r="L45" s="79"/>
      <c r="M45" s="79"/>
      <c r="N45" s="79"/>
      <c r="O45" s="79"/>
      <c r="P45" s="79"/>
      <c r="Q45" s="79"/>
      <c r="R45" s="79"/>
      <c r="S45" s="79"/>
      <c r="T45" s="79"/>
      <c r="U45" s="79"/>
      <c r="V45" s="79"/>
      <c r="W45" s="79"/>
      <c r="X45" s="79"/>
      <c r="Y45" s="79"/>
      <c r="Z45" s="79"/>
      <c r="AA45" s="82"/>
    </row>
    <row r="46" spans="1:27" ht="16" customHeight="1">
      <c r="A46" s="386"/>
      <c r="B46" s="33" t="s">
        <v>175</v>
      </c>
      <c r="C46" s="33"/>
      <c r="D46" s="19">
        <v>0.3</v>
      </c>
      <c r="E46" s="21">
        <v>0.25</v>
      </c>
      <c r="F46" s="21">
        <v>1</v>
      </c>
      <c r="G46" s="20">
        <f>(J46/K46)^F46</f>
        <v>3.2835820895522387E-2</v>
      </c>
      <c r="H46" s="22">
        <f>((1-I46)/I46)*(((1-I46)*M46)+(I46*N46))</f>
        <v>24.905969670835102</v>
      </c>
      <c r="I46" s="23">
        <v>0.15</v>
      </c>
      <c r="J46" s="21">
        <v>2.1999999999999999E-2</v>
      </c>
      <c r="K46" s="21">
        <f t="shared" ref="K46:K51" si="68">6700/10000</f>
        <v>0.67</v>
      </c>
      <c r="L46" s="21">
        <f>5/10000</f>
        <v>5.0000000000000001E-4</v>
      </c>
      <c r="M46" s="21">
        <v>4.6100000000000003</v>
      </c>
      <c r="N46" s="20">
        <v>3.1778074558844294</v>
      </c>
      <c r="O46" s="20">
        <f t="shared" ref="O46:O51" si="69">D46*E46*G46*H46</f>
        <v>6.133559695056405E-2</v>
      </c>
      <c r="P46" s="25">
        <v>120000</v>
      </c>
      <c r="Q46" s="25">
        <v>3750</v>
      </c>
      <c r="R46" s="27">
        <f>(O46*((K46)^3)*((1/Q46)-(1/P46)))+(O46*((K46)^3)*((1/P46)))</f>
        <v>4.9193275055046662E-6</v>
      </c>
      <c r="S46" s="61" t="s">
        <v>83</v>
      </c>
      <c r="T46" s="23">
        <f>SQRT(R46)</f>
        <v>2.2179557041349285E-3</v>
      </c>
      <c r="U46" s="21">
        <v>189792</v>
      </c>
      <c r="V46" s="21">
        <v>24201</v>
      </c>
      <c r="W46" s="20">
        <f>V46/U46</f>
        <v>0.12751327769347495</v>
      </c>
      <c r="X46" s="20">
        <f>1-W46</f>
        <v>0.87248672230652502</v>
      </c>
      <c r="Y46" s="23">
        <f>SQRT(R46)</f>
        <v>2.2179557041349285E-3</v>
      </c>
      <c r="Z46" s="23">
        <f>SQRT((W46*X46)/U46)</f>
        <v>7.6562863281594436E-4</v>
      </c>
      <c r="AA46" s="48">
        <f>SQRT((T46^2)+(Z46^2))</f>
        <v>2.3463833252246485E-3</v>
      </c>
    </row>
    <row r="47" spans="1:27" ht="16">
      <c r="A47" s="386"/>
      <c r="B47" s="34" t="s">
        <v>207</v>
      </c>
      <c r="C47" s="34">
        <v>1</v>
      </c>
      <c r="D47" s="19">
        <v>0.30705647840531564</v>
      </c>
      <c r="E47" s="21">
        <v>0.5</v>
      </c>
      <c r="F47" s="21">
        <v>1</v>
      </c>
      <c r="G47" s="20">
        <f t="shared" ref="G47:G51" si="70">(J47/K47)^F47</f>
        <v>3.7313432835820892E-2</v>
      </c>
      <c r="H47" s="22">
        <f t="shared" ref="H47:H51" si="71">((1-I47)/I47)*(((1-I47)*M47)+(I47*N47))</f>
        <v>24.912333161967688</v>
      </c>
      <c r="I47" s="23">
        <v>0.15</v>
      </c>
      <c r="J47" s="21">
        <v>2.5000000000000001E-2</v>
      </c>
      <c r="K47" s="21">
        <f t="shared" si="68"/>
        <v>0.67</v>
      </c>
      <c r="L47" s="21">
        <f>2000/10000</f>
        <v>0.2</v>
      </c>
      <c r="M47" s="21">
        <v>4.6100000000000003</v>
      </c>
      <c r="N47" s="20">
        <v>3.1852939160404103</v>
      </c>
      <c r="O47" s="20">
        <f t="shared" si="69"/>
        <v>0.14271442704428655</v>
      </c>
      <c r="P47" s="24">
        <v>850</v>
      </c>
      <c r="Q47" s="25">
        <f>15*1</f>
        <v>15</v>
      </c>
      <c r="R47" s="26" t="s">
        <v>83</v>
      </c>
      <c r="S47" s="27">
        <f>(O47*((K47)^3)*((1/Q47)-(1/P47)))+$R$46</f>
        <v>2.8159693706141984E-3</v>
      </c>
      <c r="T47" s="23">
        <f>SQRT(S47)</f>
        <v>5.3065708047798615E-2</v>
      </c>
      <c r="U47" s="21">
        <v>163</v>
      </c>
      <c r="V47" s="21">
        <v>144</v>
      </c>
      <c r="W47" s="20">
        <f t="shared" ref="W47:W51" si="72">V47/U47</f>
        <v>0.8834355828220859</v>
      </c>
      <c r="X47" s="20">
        <f t="shared" ref="X47:X51" si="73">1-W47</f>
        <v>0.1165644171779141</v>
      </c>
      <c r="Y47" s="23">
        <f>SQRT(S47)</f>
        <v>5.3065708047798615E-2</v>
      </c>
      <c r="Z47" s="23">
        <f t="shared" ref="Z47:Z51" si="74">SQRT((W47*X47)/U47)</f>
        <v>2.5134869801003924E-2</v>
      </c>
      <c r="AA47" s="48">
        <f t="shared" ref="AA47:AA51" si="75">SQRT((T47^2)+(Z47^2))</f>
        <v>5.8717382865107477E-2</v>
      </c>
    </row>
    <row r="48" spans="1:27" ht="16">
      <c r="A48" s="386"/>
      <c r="B48" s="34" t="s">
        <v>208</v>
      </c>
      <c r="C48" s="34">
        <v>2</v>
      </c>
      <c r="D48" s="19">
        <v>0.30705647840531564</v>
      </c>
      <c r="E48" s="21">
        <v>0.5</v>
      </c>
      <c r="F48" s="21">
        <v>1</v>
      </c>
      <c r="G48" s="20">
        <f t="shared" si="70"/>
        <v>3.7313432835820892E-2</v>
      </c>
      <c r="H48" s="22">
        <f t="shared" si="71"/>
        <v>24.912333161967688</v>
      </c>
      <c r="I48" s="23">
        <v>0.15</v>
      </c>
      <c r="J48" s="21">
        <v>2.5000000000000001E-2</v>
      </c>
      <c r="K48" s="21">
        <f t="shared" si="68"/>
        <v>0.67</v>
      </c>
      <c r="L48" s="21">
        <f>2000/10000</f>
        <v>0.2</v>
      </c>
      <c r="M48" s="21">
        <v>4.6100000000000003</v>
      </c>
      <c r="N48" s="20">
        <v>3.1852939160404103</v>
      </c>
      <c r="O48" s="20">
        <f t="shared" si="69"/>
        <v>0.14271442704428655</v>
      </c>
      <c r="P48" s="24">
        <v>850</v>
      </c>
      <c r="Q48" s="25">
        <f>15*2</f>
        <v>30</v>
      </c>
      <c r="R48" s="26" t="s">
        <v>83</v>
      </c>
      <c r="S48" s="27">
        <f t="shared" ref="S48:S51" si="76">(O48*((K48)^3)*((1/Q48)-(1/P48)))+$R$46</f>
        <v>1.3851953965768392E-3</v>
      </c>
      <c r="T48" s="23">
        <f>SQRT(S48)</f>
        <v>3.7218213237296051E-2</v>
      </c>
      <c r="U48" s="21">
        <f>U47*2</f>
        <v>326</v>
      </c>
      <c r="V48" s="21">
        <f>V47*2</f>
        <v>288</v>
      </c>
      <c r="W48" s="20">
        <f t="shared" si="72"/>
        <v>0.8834355828220859</v>
      </c>
      <c r="X48" s="20">
        <f t="shared" si="73"/>
        <v>0.1165644171779141</v>
      </c>
      <c r="Y48" s="23">
        <f>SQRT(S48)</f>
        <v>3.7218213237296051E-2</v>
      </c>
      <c r="Z48" s="23">
        <f t="shared" si="74"/>
        <v>1.7773036880530845E-2</v>
      </c>
      <c r="AA48" s="48">
        <f t="shared" si="75"/>
        <v>4.1244105476219851E-2</v>
      </c>
    </row>
    <row r="49" spans="1:27" ht="16">
      <c r="A49" s="386"/>
      <c r="B49" s="34" t="s">
        <v>209</v>
      </c>
      <c r="C49" s="34">
        <v>3</v>
      </c>
      <c r="D49" s="19">
        <v>0.30705647840531564</v>
      </c>
      <c r="E49" s="21">
        <v>0.5</v>
      </c>
      <c r="F49" s="21">
        <v>1</v>
      </c>
      <c r="G49" s="20">
        <f t="shared" si="70"/>
        <v>3.7313432835820892E-2</v>
      </c>
      <c r="H49" s="22">
        <f t="shared" si="71"/>
        <v>24.912333161967688</v>
      </c>
      <c r="I49" s="23">
        <v>0.15</v>
      </c>
      <c r="J49" s="21">
        <v>2.5000000000000001E-2</v>
      </c>
      <c r="K49" s="21">
        <f t="shared" si="68"/>
        <v>0.67</v>
      </c>
      <c r="L49" s="21">
        <f>2000/10000</f>
        <v>0.2</v>
      </c>
      <c r="M49" s="21">
        <v>4.6100000000000003</v>
      </c>
      <c r="N49" s="20">
        <v>3.1852939160404103</v>
      </c>
      <c r="O49" s="20">
        <f t="shared" si="69"/>
        <v>0.14271442704428655</v>
      </c>
      <c r="P49" s="24">
        <v>850</v>
      </c>
      <c r="Q49" s="25">
        <f>15*3</f>
        <v>45</v>
      </c>
      <c r="R49" s="26" t="s">
        <v>83</v>
      </c>
      <c r="S49" s="27">
        <f t="shared" si="76"/>
        <v>9.0827073856438617E-4</v>
      </c>
      <c r="T49" s="23">
        <f>SQRT(S49)</f>
        <v>3.0137530399227907E-2</v>
      </c>
      <c r="U49" s="21">
        <f>U47*3</f>
        <v>489</v>
      </c>
      <c r="V49" s="21">
        <f>V47*3</f>
        <v>432</v>
      </c>
      <c r="W49" s="20">
        <f t="shared" si="72"/>
        <v>0.8834355828220859</v>
      </c>
      <c r="X49" s="20">
        <f t="shared" si="73"/>
        <v>0.1165644171779141</v>
      </c>
      <c r="Y49" s="23">
        <f>SQRT(S49)</f>
        <v>3.0137530399227907E-2</v>
      </c>
      <c r="Z49" s="23">
        <f t="shared" si="74"/>
        <v>1.4511623845655811E-2</v>
      </c>
      <c r="AA49" s="48">
        <f t="shared" si="75"/>
        <v>3.3449334301330909E-2</v>
      </c>
    </row>
    <row r="50" spans="1:27" ht="16">
      <c r="A50" s="386"/>
      <c r="B50" s="34" t="s">
        <v>210</v>
      </c>
      <c r="C50" s="34">
        <v>4</v>
      </c>
      <c r="D50" s="19">
        <v>0.30705647840531564</v>
      </c>
      <c r="E50" s="21">
        <v>0.5</v>
      </c>
      <c r="F50" s="21">
        <v>1</v>
      </c>
      <c r="G50" s="20">
        <f t="shared" si="70"/>
        <v>3.7313432835820892E-2</v>
      </c>
      <c r="H50" s="22">
        <f t="shared" si="71"/>
        <v>24.912333161967688</v>
      </c>
      <c r="I50" s="23">
        <v>0.15</v>
      </c>
      <c r="J50" s="21">
        <v>2.5000000000000001E-2</v>
      </c>
      <c r="K50" s="21">
        <f t="shared" si="68"/>
        <v>0.67</v>
      </c>
      <c r="L50" s="21">
        <f>2000/10000</f>
        <v>0.2</v>
      </c>
      <c r="M50" s="21">
        <v>4.6100000000000003</v>
      </c>
      <c r="N50" s="20">
        <v>3.1852939160404103</v>
      </c>
      <c r="O50" s="20">
        <f t="shared" si="69"/>
        <v>0.14271442704428655</v>
      </c>
      <c r="P50" s="24">
        <v>850</v>
      </c>
      <c r="Q50" s="25">
        <f>15*4</f>
        <v>60</v>
      </c>
      <c r="R50" s="26" t="s">
        <v>83</v>
      </c>
      <c r="S50" s="27">
        <f t="shared" si="76"/>
        <v>6.6980840955815967E-4</v>
      </c>
      <c r="T50" s="23">
        <f>SQRT(S50)</f>
        <v>2.5880657054220237E-2</v>
      </c>
      <c r="U50" s="21">
        <f>U47*4</f>
        <v>652</v>
      </c>
      <c r="V50" s="21">
        <f>V47*4</f>
        <v>576</v>
      </c>
      <c r="W50" s="20">
        <f t="shared" si="72"/>
        <v>0.8834355828220859</v>
      </c>
      <c r="X50" s="20">
        <f t="shared" si="73"/>
        <v>0.1165644171779141</v>
      </c>
      <c r="Y50" s="23">
        <f>SQRT(S50)</f>
        <v>2.5880657054220237E-2</v>
      </c>
      <c r="Z50" s="23">
        <f t="shared" si="74"/>
        <v>1.2567434900501962E-2</v>
      </c>
      <c r="AA50" s="48">
        <f t="shared" si="75"/>
        <v>2.8770624420344348E-2</v>
      </c>
    </row>
    <row r="51" spans="1:27" ht="17" thickBot="1">
      <c r="A51" s="387"/>
      <c r="B51" s="103" t="s">
        <v>211</v>
      </c>
      <c r="C51" s="103">
        <v>5</v>
      </c>
      <c r="D51" s="104">
        <v>0.30705647840531564</v>
      </c>
      <c r="E51" s="97">
        <v>0.5</v>
      </c>
      <c r="F51" s="97">
        <v>1</v>
      </c>
      <c r="G51" s="105">
        <f t="shared" si="70"/>
        <v>3.7313432835820892E-2</v>
      </c>
      <c r="H51" s="106">
        <f t="shared" si="71"/>
        <v>24.912333161967688</v>
      </c>
      <c r="I51" s="107">
        <v>0.15</v>
      </c>
      <c r="J51" s="97">
        <v>2.5000000000000001E-2</v>
      </c>
      <c r="K51" s="97">
        <f t="shared" si="68"/>
        <v>0.67</v>
      </c>
      <c r="L51" s="97">
        <f>2000/10000</f>
        <v>0.2</v>
      </c>
      <c r="M51" s="97">
        <v>4.6100000000000003</v>
      </c>
      <c r="N51" s="105">
        <v>3.1852939160404103</v>
      </c>
      <c r="O51" s="105">
        <f t="shared" si="69"/>
        <v>0.14271442704428655</v>
      </c>
      <c r="P51" s="108">
        <v>850</v>
      </c>
      <c r="Q51" s="109">
        <f>15*5</f>
        <v>75</v>
      </c>
      <c r="R51" s="110" t="s">
        <v>83</v>
      </c>
      <c r="S51" s="111">
        <f t="shared" si="76"/>
        <v>5.2673101215442374E-4</v>
      </c>
      <c r="T51" s="107">
        <f>SQRT(S51)</f>
        <v>2.2950621171428535E-2</v>
      </c>
      <c r="U51" s="97">
        <f>U47*5</f>
        <v>815</v>
      </c>
      <c r="V51" s="97">
        <f>V47*5</f>
        <v>720</v>
      </c>
      <c r="W51" s="105">
        <f t="shared" si="72"/>
        <v>0.8834355828220859</v>
      </c>
      <c r="X51" s="105">
        <f t="shared" si="73"/>
        <v>0.1165644171779141</v>
      </c>
      <c r="Y51" s="107">
        <f>SQRT(S51)</f>
        <v>2.2950621171428535E-2</v>
      </c>
      <c r="Z51" s="107">
        <f t="shared" si="74"/>
        <v>1.1240655496130276E-2</v>
      </c>
      <c r="AA51" s="112">
        <f t="shared" si="75"/>
        <v>2.5555495458650525E-2</v>
      </c>
    </row>
    <row r="52" spans="1:27" ht="16" thickBot="1">
      <c r="A52" s="85"/>
      <c r="B52" s="86"/>
      <c r="C52" s="86"/>
      <c r="D52" s="87"/>
      <c r="E52" s="79"/>
      <c r="F52" s="79"/>
      <c r="G52" s="88"/>
      <c r="H52" s="89"/>
      <c r="I52" s="80"/>
      <c r="J52" s="79"/>
      <c r="K52" s="79"/>
      <c r="L52" s="79"/>
      <c r="M52" s="79"/>
      <c r="N52" s="88"/>
      <c r="O52" s="88"/>
      <c r="P52" s="90"/>
      <c r="Q52" s="81"/>
      <c r="R52" s="91"/>
      <c r="S52" s="92"/>
      <c r="T52" s="80"/>
      <c r="U52" s="79"/>
      <c r="V52" s="79"/>
      <c r="W52" s="88"/>
      <c r="X52" s="88"/>
      <c r="Y52" s="80"/>
      <c r="Z52" s="80"/>
      <c r="AA52" s="93"/>
    </row>
    <row r="53" spans="1:27" ht="16">
      <c r="A53" s="385" t="s">
        <v>174</v>
      </c>
      <c r="B53" s="114" t="s">
        <v>212</v>
      </c>
      <c r="C53" s="114">
        <v>1</v>
      </c>
      <c r="D53" s="70">
        <v>0.30705647840531564</v>
      </c>
      <c r="E53" s="70">
        <v>3.35</v>
      </c>
      <c r="F53" s="70">
        <v>1</v>
      </c>
      <c r="G53" s="70">
        <v>3.7313432835820892E-2</v>
      </c>
      <c r="H53" s="70">
        <v>76.693145448429661</v>
      </c>
      <c r="I53" s="70">
        <v>5.5778465330423702E-2</v>
      </c>
      <c r="J53" s="70">
        <v>2.5000000000000001E-2</v>
      </c>
      <c r="K53" s="70">
        <v>0.67</v>
      </c>
      <c r="L53" s="70">
        <v>0.2</v>
      </c>
      <c r="M53" s="70">
        <v>4.6100000000000003</v>
      </c>
      <c r="N53" s="70">
        <v>3.1852939160404103</v>
      </c>
      <c r="O53" s="70">
        <v>0.43934938729890805</v>
      </c>
      <c r="P53" s="70">
        <v>849.15</v>
      </c>
      <c r="Q53" s="73">
        <f>C65</f>
        <v>15.41</v>
      </c>
      <c r="R53" s="115">
        <f>'2. Error Calculation'!R3</f>
        <v>1.3074496971910778E-5</v>
      </c>
      <c r="S53" s="74">
        <f>(O53*((K53)^3)*((1/Q53)-(1/P53)))+R53</f>
        <v>8.4324139234051472E-3</v>
      </c>
      <c r="T53" s="72">
        <f t="shared" ref="T53:T58" si="77">SQRT(S53)</f>
        <v>9.182817608667368E-2</v>
      </c>
      <c r="U53" s="70">
        <f>C66</f>
        <v>163</v>
      </c>
      <c r="V53" s="70">
        <f>C67</f>
        <v>144</v>
      </c>
      <c r="W53" s="69">
        <f t="shared" ref="W53:W58" si="78">V53/U53</f>
        <v>0.8834355828220859</v>
      </c>
      <c r="X53" s="69">
        <f t="shared" ref="X53:X58" si="79">1-W53</f>
        <v>0.1165644171779141</v>
      </c>
      <c r="Y53" s="72">
        <f t="shared" ref="Y53:Y58" si="80">SQRT(S53)</f>
        <v>9.182817608667368E-2</v>
      </c>
      <c r="Z53" s="72">
        <f t="shared" ref="Z53:Z58" si="81">SQRT((W53*X53)/U53)</f>
        <v>2.5134869801003924E-2</v>
      </c>
      <c r="AA53" s="76">
        <f t="shared" ref="AA53:AA58" si="82">SQRT((T53^2)+(Z53^2))</f>
        <v>9.5205964116322914E-2</v>
      </c>
    </row>
    <row r="54" spans="1:27" ht="16">
      <c r="A54" s="386"/>
      <c r="B54" s="117" t="s">
        <v>213</v>
      </c>
      <c r="C54" s="117">
        <v>2</v>
      </c>
      <c r="D54" s="118">
        <v>0.30705647840531564</v>
      </c>
      <c r="E54" s="118">
        <v>3.35</v>
      </c>
      <c r="F54" s="118">
        <v>1</v>
      </c>
      <c r="G54" s="118">
        <v>3.7313432835820892E-2</v>
      </c>
      <c r="H54" s="118">
        <v>76.693145448429661</v>
      </c>
      <c r="I54" s="118">
        <v>5.5778465330423702E-2</v>
      </c>
      <c r="J54" s="118">
        <v>2.5000000000000001E-2</v>
      </c>
      <c r="K54" s="118">
        <v>0.67</v>
      </c>
      <c r="L54" s="118">
        <v>0.2</v>
      </c>
      <c r="M54" s="118">
        <v>4.6100000000000003</v>
      </c>
      <c r="N54" s="118">
        <v>3.1852939160404103</v>
      </c>
      <c r="O54" s="118">
        <v>0.43934938729890805</v>
      </c>
      <c r="P54" s="118">
        <v>849.15</v>
      </c>
      <c r="Q54" s="119">
        <f>C65+D65</f>
        <v>30.09</v>
      </c>
      <c r="R54" s="120">
        <f>'2. Error Calculation'!R3</f>
        <v>1.3074496971910778E-5</v>
      </c>
      <c r="S54" s="121">
        <f t="shared" ref="S54:S61" si="83">(O54*((K54)^3)*((1/Q54)-(1/P54)))+R54</f>
        <v>4.2489535240373306E-3</v>
      </c>
      <c r="T54" s="29">
        <f t="shared" si="77"/>
        <v>6.5183997453649084E-2</v>
      </c>
      <c r="U54" s="118">
        <f>C66+D66</f>
        <v>301</v>
      </c>
      <c r="V54" s="118">
        <f>C67+D67</f>
        <v>280</v>
      </c>
      <c r="W54" s="122">
        <f t="shared" si="78"/>
        <v>0.93023255813953487</v>
      </c>
      <c r="X54" s="122">
        <f t="shared" si="79"/>
        <v>6.9767441860465129E-2</v>
      </c>
      <c r="Y54" s="29">
        <f t="shared" si="80"/>
        <v>6.5183997453649084E-2</v>
      </c>
      <c r="Z54" s="29">
        <f t="shared" si="81"/>
        <v>1.4683815521229516E-2</v>
      </c>
      <c r="AA54" s="123">
        <f t="shared" si="82"/>
        <v>6.6817422595449094E-2</v>
      </c>
    </row>
    <row r="55" spans="1:27" ht="16">
      <c r="A55" s="386"/>
      <c r="B55" s="34" t="s">
        <v>214</v>
      </c>
      <c r="C55" s="34">
        <v>1</v>
      </c>
      <c r="D55" s="21">
        <v>0.29807321772639694</v>
      </c>
      <c r="E55" s="21">
        <v>3.35</v>
      </c>
      <c r="F55" s="21">
        <v>1</v>
      </c>
      <c r="G55" s="21">
        <v>3.4328358208955224E-2</v>
      </c>
      <c r="H55" s="21">
        <v>52.353702908748389</v>
      </c>
      <c r="I55" s="21">
        <v>8.45189070934598E-2</v>
      </c>
      <c r="J55" s="21">
        <v>2.3E-2</v>
      </c>
      <c r="K55" s="21">
        <v>0.67</v>
      </c>
      <c r="L55" s="21">
        <v>0.2</v>
      </c>
      <c r="M55" s="21">
        <v>5.01</v>
      </c>
      <c r="N55" s="21">
        <v>2.9204160373903636</v>
      </c>
      <c r="O55" s="21">
        <v>0.26785107744459447</v>
      </c>
      <c r="P55" s="21">
        <v>605.35</v>
      </c>
      <c r="Q55" s="21">
        <f>C68</f>
        <v>17.43</v>
      </c>
      <c r="R55" s="102">
        <f>'2. Error Calculation'!R11</f>
        <v>1.1574424922668017E-5</v>
      </c>
      <c r="S55" s="27">
        <f t="shared" si="83"/>
        <v>4.5003935525253242E-3</v>
      </c>
      <c r="T55" s="23">
        <f t="shared" si="77"/>
        <v>6.7084972628192407E-2</v>
      </c>
      <c r="U55" s="21">
        <f>C69</f>
        <v>186</v>
      </c>
      <c r="V55" s="21">
        <f>C70</f>
        <v>166</v>
      </c>
      <c r="W55" s="20">
        <f t="shared" si="78"/>
        <v>0.89247311827956988</v>
      </c>
      <c r="X55" s="20">
        <f t="shared" si="79"/>
        <v>0.10752688172043012</v>
      </c>
      <c r="Y55" s="23">
        <f t="shared" si="80"/>
        <v>6.7084972628192407E-2</v>
      </c>
      <c r="Z55" s="23">
        <f t="shared" si="81"/>
        <v>2.2714314020907178E-2</v>
      </c>
      <c r="AA55" s="48">
        <f t="shared" si="82"/>
        <v>7.0826080040940459E-2</v>
      </c>
    </row>
    <row r="56" spans="1:27" ht="16">
      <c r="A56" s="386"/>
      <c r="B56" s="34" t="s">
        <v>215</v>
      </c>
      <c r="C56" s="34">
        <v>2</v>
      </c>
      <c r="D56" s="21">
        <v>0.29807321772639694</v>
      </c>
      <c r="E56" s="21">
        <v>3.35</v>
      </c>
      <c r="F56" s="21">
        <v>1</v>
      </c>
      <c r="G56" s="21">
        <v>3.4328358208955224E-2</v>
      </c>
      <c r="H56" s="21">
        <v>52.353702908748389</v>
      </c>
      <c r="I56" s="21">
        <v>8.45189070934598E-2</v>
      </c>
      <c r="J56" s="21">
        <v>2.3E-2</v>
      </c>
      <c r="K56" s="21">
        <v>0.67</v>
      </c>
      <c r="L56" s="21">
        <v>0.2</v>
      </c>
      <c r="M56" s="21">
        <v>5.01</v>
      </c>
      <c r="N56" s="21">
        <v>2.9204160373903636</v>
      </c>
      <c r="O56" s="21">
        <v>0.26785107744459447</v>
      </c>
      <c r="P56" s="21">
        <v>605.35</v>
      </c>
      <c r="Q56" s="21">
        <f>C68+D68</f>
        <v>33.18</v>
      </c>
      <c r="R56" s="102">
        <f>'2. Error Calculation'!R11</f>
        <v>1.1574424922668017E-5</v>
      </c>
      <c r="S56" s="27">
        <f t="shared" si="83"/>
        <v>2.306454316227459E-3</v>
      </c>
      <c r="T56" s="23">
        <f t="shared" si="77"/>
        <v>4.8025558989224261E-2</v>
      </c>
      <c r="U56" s="21">
        <f>C69+D69</f>
        <v>361</v>
      </c>
      <c r="V56" s="21">
        <f>C70+D70</f>
        <v>324</v>
      </c>
      <c r="W56" s="20">
        <f t="shared" si="78"/>
        <v>0.89750692520775621</v>
      </c>
      <c r="X56" s="20">
        <f t="shared" si="79"/>
        <v>0.10249307479224379</v>
      </c>
      <c r="Y56" s="23">
        <f t="shared" si="80"/>
        <v>4.8025558989224261E-2</v>
      </c>
      <c r="Z56" s="23">
        <f t="shared" si="81"/>
        <v>1.5962928348938324E-2</v>
      </c>
      <c r="AA56" s="48">
        <f t="shared" si="82"/>
        <v>5.0608985345497667E-2</v>
      </c>
    </row>
    <row r="57" spans="1:27" ht="16">
      <c r="A57" s="386"/>
      <c r="B57" s="117" t="s">
        <v>216</v>
      </c>
      <c r="C57" s="117">
        <v>3</v>
      </c>
      <c r="D57" s="118">
        <v>0.29807321772639694</v>
      </c>
      <c r="E57" s="118">
        <v>3.35</v>
      </c>
      <c r="F57" s="118">
        <v>1</v>
      </c>
      <c r="G57" s="118">
        <v>3.4328358208955224E-2</v>
      </c>
      <c r="H57" s="118">
        <v>52.353702908748389</v>
      </c>
      <c r="I57" s="118">
        <v>8.45189070934598E-2</v>
      </c>
      <c r="J57" s="118">
        <v>2.3E-2</v>
      </c>
      <c r="K57" s="118">
        <v>0.67</v>
      </c>
      <c r="L57" s="118">
        <v>0.2</v>
      </c>
      <c r="M57" s="118">
        <v>5.01</v>
      </c>
      <c r="N57" s="118">
        <v>2.9204160373903636</v>
      </c>
      <c r="O57" s="118">
        <v>0.26785107744459447</v>
      </c>
      <c r="P57" s="118">
        <v>605.35</v>
      </c>
      <c r="Q57" s="118">
        <f>C68+D68+E68</f>
        <v>47.06</v>
      </c>
      <c r="R57" s="120">
        <f>'2. Error Calculation'!R11</f>
        <v>1.1574424922668017E-5</v>
      </c>
      <c r="S57" s="121">
        <f t="shared" si="83"/>
        <v>1.5903455875733738E-3</v>
      </c>
      <c r="T57" s="29">
        <f t="shared" si="77"/>
        <v>3.98791372471042E-2</v>
      </c>
      <c r="U57" s="118">
        <f>C69+D69+E69</f>
        <v>519</v>
      </c>
      <c r="V57" s="118">
        <f>C70+D70+E70</f>
        <v>470</v>
      </c>
      <c r="W57" s="122">
        <f t="shared" si="78"/>
        <v>0.90558766859344897</v>
      </c>
      <c r="X57" s="122">
        <f t="shared" si="79"/>
        <v>9.4412331406551031E-2</v>
      </c>
      <c r="Y57" s="29">
        <f t="shared" si="80"/>
        <v>3.98791372471042E-2</v>
      </c>
      <c r="Z57" s="29">
        <f t="shared" si="81"/>
        <v>1.2835001749636074E-2</v>
      </c>
      <c r="AA57" s="123">
        <f t="shared" si="82"/>
        <v>4.1893709044276979E-2</v>
      </c>
    </row>
    <row r="58" spans="1:27" ht="16">
      <c r="A58" s="386"/>
      <c r="B58" s="34" t="s">
        <v>217</v>
      </c>
      <c r="C58" s="34">
        <v>1</v>
      </c>
      <c r="D58" s="21">
        <v>0.29827956989247312</v>
      </c>
      <c r="E58" s="21">
        <v>3.35</v>
      </c>
      <c r="F58" s="21">
        <v>1</v>
      </c>
      <c r="G58" s="21">
        <v>8.8805970149253718E-2</v>
      </c>
      <c r="H58" s="21">
        <v>12.071391197962944</v>
      </c>
      <c r="I58" s="21">
        <v>0.25883212916494697</v>
      </c>
      <c r="J58" s="21">
        <v>5.9499999999999997E-2</v>
      </c>
      <c r="K58" s="21">
        <v>0.67</v>
      </c>
      <c r="L58" s="21">
        <v>0.2</v>
      </c>
      <c r="M58" s="21">
        <v>4.6100000000000003</v>
      </c>
      <c r="N58" s="21">
        <v>3.0862147733965961</v>
      </c>
      <c r="O58" s="21">
        <v>0.15987958043631659</v>
      </c>
      <c r="P58" s="21">
        <v>594.22</v>
      </c>
      <c r="Q58" s="21">
        <f>C71</f>
        <v>29.25</v>
      </c>
      <c r="R58" s="102">
        <f>'2. Error Calculation'!R19</f>
        <v>1.8178159983311454E-5</v>
      </c>
      <c r="S58" s="27">
        <f t="shared" si="83"/>
        <v>1.581216603876942E-3</v>
      </c>
      <c r="T58" s="23">
        <f t="shared" si="77"/>
        <v>3.9764514379996417E-2</v>
      </c>
      <c r="U58" s="21">
        <f>C72</f>
        <v>239</v>
      </c>
      <c r="V58" s="21">
        <f>C73</f>
        <v>239</v>
      </c>
      <c r="W58" s="20">
        <f t="shared" si="78"/>
        <v>1</v>
      </c>
      <c r="X58" s="20">
        <f t="shared" si="79"/>
        <v>0</v>
      </c>
      <c r="Y58" s="23">
        <f t="shared" si="80"/>
        <v>3.9764514379996417E-2</v>
      </c>
      <c r="Z58" s="23">
        <f t="shared" si="81"/>
        <v>0</v>
      </c>
      <c r="AA58" s="48">
        <f t="shared" si="82"/>
        <v>3.9764514379996417E-2</v>
      </c>
    </row>
    <row r="59" spans="1:27" ht="16">
      <c r="A59" s="386"/>
      <c r="B59" s="117" t="s">
        <v>218</v>
      </c>
      <c r="C59" s="117">
        <v>2</v>
      </c>
      <c r="D59" s="118">
        <v>0.29827956989247312</v>
      </c>
      <c r="E59" s="118">
        <v>3.35</v>
      </c>
      <c r="F59" s="118">
        <v>1</v>
      </c>
      <c r="G59" s="118">
        <v>8.8805970149253718E-2</v>
      </c>
      <c r="H59" s="118">
        <v>12.071391197962944</v>
      </c>
      <c r="I59" s="118">
        <v>0.25883212916494697</v>
      </c>
      <c r="J59" s="118">
        <v>5.9499999999999997E-2</v>
      </c>
      <c r="K59" s="118">
        <v>0.67</v>
      </c>
      <c r="L59" s="118">
        <v>0.2</v>
      </c>
      <c r="M59" s="118">
        <v>4.6100000000000003</v>
      </c>
      <c r="N59" s="118">
        <v>3.0862147733965961</v>
      </c>
      <c r="O59" s="118">
        <v>0.15987958043631659</v>
      </c>
      <c r="P59" s="118">
        <v>594.22</v>
      </c>
      <c r="Q59" s="118">
        <f>C71+D71</f>
        <v>61.19</v>
      </c>
      <c r="R59" s="120">
        <f>'2. Error Calculation'!R19</f>
        <v>1.8178159983311454E-5</v>
      </c>
      <c r="S59" s="121">
        <f t="shared" si="83"/>
        <v>7.2310061079415133E-4</v>
      </c>
      <c r="T59" s="29">
        <f t="shared" ref="T59:T61" si="84">SQRT(S59)</f>
        <v>2.689053013226313E-2</v>
      </c>
      <c r="U59" s="118">
        <f>C72+D72</f>
        <v>465</v>
      </c>
      <c r="V59" s="118">
        <f>C73+D73</f>
        <v>465</v>
      </c>
      <c r="W59" s="122">
        <f t="shared" ref="W59:W61" si="85">V59/U59</f>
        <v>1</v>
      </c>
      <c r="X59" s="122">
        <f t="shared" ref="X59:X61" si="86">1-W59</f>
        <v>0</v>
      </c>
      <c r="Y59" s="29">
        <f t="shared" ref="Y59:Y61" si="87">SQRT(S59)</f>
        <v>2.689053013226313E-2</v>
      </c>
      <c r="Z59" s="29">
        <f t="shared" ref="Z59:Z61" si="88">SQRT((W59*X59)/U59)</f>
        <v>0</v>
      </c>
      <c r="AA59" s="123">
        <f t="shared" ref="AA59:AA61" si="89">SQRT((T59^2)+(Z59^2))</f>
        <v>2.689053013226313E-2</v>
      </c>
    </row>
    <row r="60" spans="1:27" ht="16">
      <c r="A60" s="386"/>
      <c r="B60" s="34" t="s">
        <v>219</v>
      </c>
      <c r="C60" s="34">
        <v>1</v>
      </c>
      <c r="D60" s="21">
        <v>0.29065217391304349</v>
      </c>
      <c r="E60" s="21">
        <v>3.35</v>
      </c>
      <c r="F60" s="21">
        <v>1</v>
      </c>
      <c r="G60" s="21">
        <v>1.7910447761194027E-2</v>
      </c>
      <c r="H60" s="21">
        <v>187.16284046401034</v>
      </c>
      <c r="I60" s="21">
        <v>2.3870128543767001E-2</v>
      </c>
      <c r="J60" s="21">
        <v>1.2E-2</v>
      </c>
      <c r="K60" s="21">
        <v>0.67</v>
      </c>
      <c r="L60" s="21">
        <v>0.2</v>
      </c>
      <c r="M60" s="21">
        <v>4.6100000000000003</v>
      </c>
      <c r="N60" s="21">
        <v>3.2212803816178504</v>
      </c>
      <c r="O60" s="21">
        <v>0.48715778916362457</v>
      </c>
      <c r="P60" s="21">
        <v>592.98</v>
      </c>
      <c r="Q60" s="21">
        <f>C74</f>
        <v>26.58</v>
      </c>
      <c r="R60" s="102">
        <f>'2. Error Calculation'!R27</f>
        <v>4.9182520168471133E-5</v>
      </c>
      <c r="S60" s="27">
        <f t="shared" si="83"/>
        <v>5.3144723405726549E-3</v>
      </c>
      <c r="T60" s="23">
        <f t="shared" si="84"/>
        <v>7.290042757469023E-2</v>
      </c>
      <c r="U60" s="21">
        <f>C75</f>
        <v>211</v>
      </c>
      <c r="V60" s="21">
        <f>C76</f>
        <v>188</v>
      </c>
      <c r="W60" s="20">
        <f t="shared" si="85"/>
        <v>0.89099526066350709</v>
      </c>
      <c r="X60" s="20">
        <f t="shared" si="86"/>
        <v>0.10900473933649291</v>
      </c>
      <c r="Y60" s="23">
        <f t="shared" si="87"/>
        <v>7.290042757469023E-2</v>
      </c>
      <c r="Z60" s="23">
        <f t="shared" si="88"/>
        <v>2.1454537643383419E-2</v>
      </c>
      <c r="AA60" s="48">
        <f t="shared" si="89"/>
        <v>7.5991904345555208E-2</v>
      </c>
    </row>
    <row r="61" spans="1:27" ht="17" thickBot="1">
      <c r="A61" s="387"/>
      <c r="B61" s="103" t="s">
        <v>220</v>
      </c>
      <c r="C61" s="103">
        <v>2</v>
      </c>
      <c r="D61" s="97">
        <v>0.29065217391304349</v>
      </c>
      <c r="E61" s="97">
        <v>3.35</v>
      </c>
      <c r="F61" s="97">
        <v>1</v>
      </c>
      <c r="G61" s="97">
        <v>1.7910447761194027E-2</v>
      </c>
      <c r="H61" s="97">
        <v>187.16284046401034</v>
      </c>
      <c r="I61" s="97">
        <v>2.3870128543767001E-2</v>
      </c>
      <c r="J61" s="97">
        <v>1.2E-2</v>
      </c>
      <c r="K61" s="97">
        <v>0.67</v>
      </c>
      <c r="L61" s="97">
        <v>0.2</v>
      </c>
      <c r="M61" s="97">
        <v>4.6100000000000003</v>
      </c>
      <c r="N61" s="97">
        <v>3.2212803816178504</v>
      </c>
      <c r="O61" s="97">
        <v>0.48715778916362457</v>
      </c>
      <c r="P61" s="97">
        <v>592.98</v>
      </c>
      <c r="Q61" s="97">
        <f>C74+D74</f>
        <v>58.15</v>
      </c>
      <c r="R61" s="116">
        <f>'2. Error Calculation'!R27</f>
        <v>4.9182520168471133E-5</v>
      </c>
      <c r="S61" s="111">
        <f t="shared" si="83"/>
        <v>2.3217670927024622E-3</v>
      </c>
      <c r="T61" s="107">
        <f t="shared" si="84"/>
        <v>4.8184718456191711E-2</v>
      </c>
      <c r="U61" s="97">
        <f>C75+D75</f>
        <v>460</v>
      </c>
      <c r="V61" s="97">
        <f>C76+D76</f>
        <v>406</v>
      </c>
      <c r="W61" s="105">
        <f t="shared" si="85"/>
        <v>0.88260869565217392</v>
      </c>
      <c r="X61" s="105">
        <f t="shared" si="86"/>
        <v>0.11739130434782608</v>
      </c>
      <c r="Y61" s="107">
        <f t="shared" si="87"/>
        <v>4.8184718456191711E-2</v>
      </c>
      <c r="Z61" s="107">
        <f t="shared" si="88"/>
        <v>1.5008011339697305E-2</v>
      </c>
      <c r="AA61" s="112">
        <f t="shared" si="89"/>
        <v>5.0467885799535379E-2</v>
      </c>
    </row>
    <row r="63" spans="1:27" ht="16" thickBot="1"/>
    <row r="64" spans="1:27" ht="16" thickBot="1">
      <c r="A64" s="44"/>
      <c r="B64" s="99" t="s">
        <v>110</v>
      </c>
      <c r="C64" s="99" t="s">
        <v>222</v>
      </c>
      <c r="D64" s="99" t="s">
        <v>223</v>
      </c>
      <c r="E64" s="100" t="s">
        <v>224</v>
      </c>
    </row>
    <row r="65" spans="1:5" ht="17">
      <c r="A65" s="334" t="s">
        <v>38</v>
      </c>
      <c r="B65" s="70" t="s">
        <v>154</v>
      </c>
      <c r="C65" s="70">
        <v>15.41</v>
      </c>
      <c r="D65" s="70">
        <v>14.68</v>
      </c>
      <c r="E65" s="101" t="s">
        <v>83</v>
      </c>
    </row>
    <row r="66" spans="1:5">
      <c r="A66" s="335"/>
      <c r="B66" s="21" t="s">
        <v>11</v>
      </c>
      <c r="C66" s="21">
        <v>163</v>
      </c>
      <c r="D66" s="21">
        <v>138</v>
      </c>
      <c r="E66" s="96" t="s">
        <v>83</v>
      </c>
    </row>
    <row r="67" spans="1:5" ht="18" thickBot="1">
      <c r="A67" s="336"/>
      <c r="B67" s="97" t="s">
        <v>163</v>
      </c>
      <c r="C67" s="97">
        <v>144</v>
      </c>
      <c r="D67" s="97">
        <v>136</v>
      </c>
      <c r="E67" s="98" t="s">
        <v>83</v>
      </c>
    </row>
    <row r="68" spans="1:5" ht="17">
      <c r="A68" s="334" t="s">
        <v>14</v>
      </c>
      <c r="B68" s="70" t="s">
        <v>154</v>
      </c>
      <c r="C68" s="70">
        <v>17.43</v>
      </c>
      <c r="D68" s="70">
        <v>15.75</v>
      </c>
      <c r="E68" s="101">
        <v>13.88</v>
      </c>
    </row>
    <row r="69" spans="1:5">
      <c r="A69" s="335"/>
      <c r="B69" s="21" t="s">
        <v>11</v>
      </c>
      <c r="C69" s="21">
        <v>186</v>
      </c>
      <c r="D69" s="21">
        <v>175</v>
      </c>
      <c r="E69" s="96">
        <v>158</v>
      </c>
    </row>
    <row r="70" spans="1:5" ht="18" thickBot="1">
      <c r="A70" s="336"/>
      <c r="B70" s="97" t="s">
        <v>163</v>
      </c>
      <c r="C70" s="97">
        <v>166</v>
      </c>
      <c r="D70" s="97">
        <v>158</v>
      </c>
      <c r="E70" s="98">
        <v>146</v>
      </c>
    </row>
    <row r="71" spans="1:5" ht="17">
      <c r="A71" s="334" t="s">
        <v>29</v>
      </c>
      <c r="B71" s="70" t="s">
        <v>154</v>
      </c>
      <c r="C71" s="70">
        <v>29.25</v>
      </c>
      <c r="D71" s="70">
        <v>31.94</v>
      </c>
      <c r="E71" s="101" t="s">
        <v>83</v>
      </c>
    </row>
    <row r="72" spans="1:5">
      <c r="A72" s="335"/>
      <c r="B72" s="21" t="s">
        <v>11</v>
      </c>
      <c r="C72" s="21">
        <v>239</v>
      </c>
      <c r="D72" s="21">
        <v>226</v>
      </c>
      <c r="E72" s="96" t="s">
        <v>83</v>
      </c>
    </row>
    <row r="73" spans="1:5" ht="18" thickBot="1">
      <c r="A73" s="336"/>
      <c r="B73" s="97" t="s">
        <v>163</v>
      </c>
      <c r="C73" s="97">
        <v>239</v>
      </c>
      <c r="D73" s="97">
        <v>226</v>
      </c>
      <c r="E73" s="98" t="s">
        <v>83</v>
      </c>
    </row>
    <row r="74" spans="1:5" ht="17">
      <c r="A74" s="335" t="s">
        <v>22</v>
      </c>
      <c r="B74" s="21" t="s">
        <v>154</v>
      </c>
      <c r="C74" s="21">
        <v>26.58</v>
      </c>
      <c r="D74" s="21">
        <v>31.57</v>
      </c>
      <c r="E74" s="96" t="s">
        <v>83</v>
      </c>
    </row>
    <row r="75" spans="1:5">
      <c r="A75" s="335"/>
      <c r="B75" s="21" t="s">
        <v>11</v>
      </c>
      <c r="C75" s="21">
        <v>211</v>
      </c>
      <c r="D75" s="21">
        <v>249</v>
      </c>
      <c r="E75" s="96" t="s">
        <v>83</v>
      </c>
    </row>
    <row r="76" spans="1:5" ht="18" thickBot="1">
      <c r="A76" s="336"/>
      <c r="B76" s="97" t="s">
        <v>163</v>
      </c>
      <c r="C76" s="97">
        <v>188</v>
      </c>
      <c r="D76" s="97">
        <v>218</v>
      </c>
      <c r="E76" s="98" t="s">
        <v>83</v>
      </c>
    </row>
  </sheetData>
  <mergeCells count="11">
    <mergeCell ref="A71:A73"/>
    <mergeCell ref="A74:A76"/>
    <mergeCell ref="C1:C2"/>
    <mergeCell ref="A53:A61"/>
    <mergeCell ref="A18:A51"/>
    <mergeCell ref="A65:A67"/>
    <mergeCell ref="A68:A70"/>
    <mergeCell ref="A3:A9"/>
    <mergeCell ref="A11:A16"/>
    <mergeCell ref="A1:A2"/>
    <mergeCell ref="B1:B2"/>
  </mergeCells>
  <phoneticPr fontId="22"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X30"/>
  <sheetViews>
    <sheetView zoomScale="75" workbookViewId="0">
      <selection sqref="A1:G1"/>
    </sheetView>
  </sheetViews>
  <sheetFormatPr baseColWidth="10" defaultColWidth="8.83203125" defaultRowHeight="15"/>
  <cols>
    <col min="1" max="1" width="23.6640625" style="6" customWidth="1"/>
    <col min="2" max="2" width="9.6640625" style="6" bestFit="1" customWidth="1"/>
    <col min="3" max="5" width="13" style="6" bestFit="1" customWidth="1"/>
    <col min="6" max="6" width="9.1640625" style="6" bestFit="1" customWidth="1"/>
    <col min="7" max="7" width="13.33203125" style="6" bestFit="1" customWidth="1"/>
    <col min="8" max="8" width="19.1640625" style="6" bestFit="1" customWidth="1"/>
    <col min="9" max="9" width="23.6640625" style="6" customWidth="1"/>
    <col min="10" max="10" width="23.6640625" style="6" bestFit="1" customWidth="1"/>
    <col min="11" max="12" width="13" style="6" bestFit="1" customWidth="1"/>
    <col min="13" max="13" width="10.1640625" style="6" bestFit="1" customWidth="1"/>
    <col min="14" max="14" width="9.1640625" style="6" bestFit="1" customWidth="1"/>
    <col min="15" max="15" width="5.6640625" style="6" bestFit="1" customWidth="1"/>
    <col min="16" max="16" width="8.83203125" style="6"/>
    <col min="17" max="17" width="19.1640625" style="6" bestFit="1" customWidth="1"/>
    <col min="18" max="18" width="6.6640625" style="6" bestFit="1" customWidth="1"/>
    <col min="19" max="20" width="11.1640625" style="6" bestFit="1" customWidth="1"/>
    <col min="21" max="21" width="10.1640625" style="6" bestFit="1" customWidth="1"/>
    <col min="22" max="22" width="9.1640625" style="6" bestFit="1" customWidth="1"/>
    <col min="23" max="23" width="7.1640625" style="6" bestFit="1" customWidth="1"/>
    <col min="24" max="24" width="8.83203125" style="6"/>
    <col min="25" max="25" width="23.6640625" style="6" bestFit="1" customWidth="1"/>
    <col min="26" max="26" width="6.6640625" style="6" bestFit="1" customWidth="1"/>
    <col min="27" max="28" width="11.1640625" style="6" bestFit="1" customWidth="1"/>
    <col min="29" max="29" width="10.1640625" style="6" bestFit="1" customWidth="1"/>
    <col min="30" max="30" width="9.1640625" style="6" bestFit="1" customWidth="1"/>
    <col min="31" max="31" width="7.1640625" style="6" bestFit="1" customWidth="1"/>
    <col min="32" max="16384" width="8.83203125" style="6"/>
  </cols>
  <sheetData>
    <row r="1" spans="1:24" s="7" customFormat="1">
      <c r="A1" s="388" t="s">
        <v>76</v>
      </c>
      <c r="B1" s="389"/>
      <c r="C1" s="389"/>
      <c r="D1" s="389"/>
      <c r="E1" s="389"/>
      <c r="F1" s="389"/>
      <c r="G1" s="389"/>
      <c r="H1" s="162" t="s">
        <v>57</v>
      </c>
      <c r="J1" s="388" t="s">
        <v>78</v>
      </c>
      <c r="K1" s="389"/>
      <c r="L1" s="389"/>
      <c r="M1" s="389"/>
      <c r="N1" s="389"/>
      <c r="O1" s="389"/>
      <c r="P1" s="389"/>
      <c r="Q1" s="162" t="s">
        <v>86</v>
      </c>
      <c r="X1" s="10"/>
    </row>
    <row r="2" spans="1:24">
      <c r="A2" s="144" t="s">
        <v>13</v>
      </c>
      <c r="B2" s="153" t="s">
        <v>107</v>
      </c>
      <c r="C2" s="154" t="s">
        <v>8</v>
      </c>
      <c r="D2" s="154" t="s">
        <v>7</v>
      </c>
      <c r="E2" s="154" t="s">
        <v>6</v>
      </c>
      <c r="F2" s="154" t="s">
        <v>5</v>
      </c>
      <c r="G2" s="158" t="s">
        <v>4</v>
      </c>
      <c r="H2" s="145" t="s">
        <v>35</v>
      </c>
      <c r="J2" s="144" t="s">
        <v>13</v>
      </c>
      <c r="K2" s="153" t="s">
        <v>107</v>
      </c>
      <c r="L2" s="154" t="s">
        <v>8</v>
      </c>
      <c r="M2" s="154" t="s">
        <v>7</v>
      </c>
      <c r="N2" s="154" t="s">
        <v>6</v>
      </c>
      <c r="O2" s="154" t="s">
        <v>5</v>
      </c>
      <c r="P2" s="158" t="s">
        <v>4</v>
      </c>
      <c r="Q2" s="145" t="s">
        <v>35</v>
      </c>
      <c r="X2" s="10"/>
    </row>
    <row r="3" spans="1:24">
      <c r="A3" s="146" t="s">
        <v>27</v>
      </c>
      <c r="B3" s="155">
        <v>100</v>
      </c>
      <c r="C3" s="11">
        <v>63.19</v>
      </c>
      <c r="D3" s="11">
        <v>12.59</v>
      </c>
      <c r="E3" s="11">
        <v>10.14</v>
      </c>
      <c r="F3" s="11">
        <v>6.50999999999999</v>
      </c>
      <c r="G3" s="159">
        <v>7.3899999999991302</v>
      </c>
      <c r="H3" s="147">
        <v>99.999999999999901</v>
      </c>
      <c r="J3" s="146" t="s">
        <v>27</v>
      </c>
      <c r="K3" s="155">
        <v>100</v>
      </c>
      <c r="L3" s="11">
        <v>56.82</v>
      </c>
      <c r="M3" s="11">
        <v>13.51</v>
      </c>
      <c r="N3" s="11">
        <v>11.27</v>
      </c>
      <c r="O3" s="11">
        <v>4.0999999999999996</v>
      </c>
      <c r="P3" s="159">
        <v>11.520000000000801</v>
      </c>
      <c r="Q3" s="147">
        <v>99.999999999977007</v>
      </c>
      <c r="X3" s="10"/>
    </row>
    <row r="4" spans="1:24">
      <c r="A4" s="146" t="s">
        <v>28</v>
      </c>
      <c r="B4" s="155">
        <v>31.468237578342698</v>
      </c>
      <c r="C4" s="11">
        <v>19.838043730215801</v>
      </c>
      <c r="D4" s="11">
        <v>3.9348753625819799</v>
      </c>
      <c r="E4" s="11">
        <v>3.31063470530892</v>
      </c>
      <c r="F4" s="11">
        <v>2.0835710289025902</v>
      </c>
      <c r="G4" s="159">
        <v>2.3011127513171101</v>
      </c>
      <c r="H4" s="147">
        <v>30.484170072377601</v>
      </c>
      <c r="J4" s="146" t="s">
        <v>28</v>
      </c>
      <c r="K4" s="155">
        <v>31.325027457425001</v>
      </c>
      <c r="L4" s="11">
        <v>18.410902731006502</v>
      </c>
      <c r="M4" s="11">
        <v>4.25174092840287</v>
      </c>
      <c r="N4" s="11">
        <v>3.7342097316238898</v>
      </c>
      <c r="O4" s="11">
        <v>1.36951464135098</v>
      </c>
      <c r="P4" s="159">
        <v>3.5586594250291501</v>
      </c>
      <c r="Q4" s="147">
        <v>32.114554567816299</v>
      </c>
      <c r="X4" s="10"/>
    </row>
    <row r="5" spans="1:24">
      <c r="A5" s="148" t="s">
        <v>26</v>
      </c>
      <c r="B5" s="156">
        <v>6.3898827117177142</v>
      </c>
      <c r="C5" s="12">
        <v>5.5778465330423703</v>
      </c>
      <c r="D5" s="12">
        <v>6.32920735127695</v>
      </c>
      <c r="E5" s="12">
        <v>6.4409832064960799</v>
      </c>
      <c r="F5" s="12">
        <v>8.0596176753480808</v>
      </c>
      <c r="G5" s="160">
        <v>11.8957467561778</v>
      </c>
      <c r="H5" s="149">
        <v>6.7925359875684004</v>
      </c>
      <c r="J5" s="148" t="s">
        <v>26</v>
      </c>
      <c r="K5" s="156">
        <v>27.955628725861661</v>
      </c>
      <c r="L5" s="12">
        <v>25.883212916494699</v>
      </c>
      <c r="M5" s="12">
        <v>31.670433428552499</v>
      </c>
      <c r="N5" s="12">
        <v>24.171781063887899</v>
      </c>
      <c r="O5" s="12">
        <v>27.7104622905225</v>
      </c>
      <c r="P5" s="160">
        <v>37.609864862166901</v>
      </c>
      <c r="Q5" s="149">
        <v>29.4097177688665</v>
      </c>
      <c r="X5" s="10"/>
    </row>
    <row r="6" spans="1:24">
      <c r="A6" s="146" t="s">
        <v>15</v>
      </c>
      <c r="B6" s="155">
        <v>2.5355397747411596E-2</v>
      </c>
      <c r="C6" s="11">
        <v>9.6208939644423005E-3</v>
      </c>
      <c r="D6" s="11">
        <v>1.40117978828728E-2</v>
      </c>
      <c r="E6" s="11">
        <v>2.0178865921991099E-2</v>
      </c>
      <c r="F6" s="11">
        <v>7.1367062895628997E-2</v>
      </c>
      <c r="G6" s="159">
        <v>0.14579292263723101</v>
      </c>
      <c r="H6" s="147">
        <v>6.6273889269143099E-2</v>
      </c>
      <c r="J6" s="146" t="s">
        <v>15</v>
      </c>
      <c r="K6" s="155">
        <v>0.20082825040107374</v>
      </c>
      <c r="L6" s="11">
        <v>0.138412727720754</v>
      </c>
      <c r="M6" s="11">
        <v>0.26493817896383698</v>
      </c>
      <c r="N6" s="11">
        <v>0.19195823581687699</v>
      </c>
      <c r="O6" s="11">
        <v>5.2810715546212701E-2</v>
      </c>
      <c r="P6" s="159">
        <v>0.49485271403664899</v>
      </c>
      <c r="Q6" s="147">
        <v>0.48597893433621903</v>
      </c>
      <c r="X6" s="10"/>
    </row>
    <row r="7" spans="1:24">
      <c r="A7" s="146" t="s">
        <v>16</v>
      </c>
      <c r="B7" s="155">
        <v>1.1914309779959309</v>
      </c>
      <c r="C7" s="11">
        <v>1.0031947983057601</v>
      </c>
      <c r="D7" s="11">
        <v>1.0709351538493601</v>
      </c>
      <c r="E7" s="11">
        <v>1.4297801433748401</v>
      </c>
      <c r="F7" s="11">
        <v>1.20806760554854</v>
      </c>
      <c r="G7" s="159">
        <v>2.66457328358941</v>
      </c>
      <c r="H7" s="147">
        <v>1.28007754506774</v>
      </c>
      <c r="J7" s="146" t="s">
        <v>16</v>
      </c>
      <c r="K7" s="155">
        <v>15.884231183668973</v>
      </c>
      <c r="L7" s="11">
        <v>14.9104532147774</v>
      </c>
      <c r="M7" s="11">
        <v>14.5416057781483</v>
      </c>
      <c r="N7" s="11">
        <v>16.439620658369599</v>
      </c>
      <c r="O7" s="11">
        <v>17.1247955917603</v>
      </c>
      <c r="P7" s="159">
        <v>21.276885694777501</v>
      </c>
      <c r="Q7" s="147">
        <v>14.378928879716</v>
      </c>
      <c r="X7" s="10"/>
    </row>
    <row r="8" spans="1:24">
      <c r="A8" s="146" t="s">
        <v>17</v>
      </c>
      <c r="B8" s="155">
        <v>2.0224802513033655</v>
      </c>
      <c r="C8" s="11">
        <v>2.18910896355671</v>
      </c>
      <c r="D8" s="11">
        <v>1.6700624167762299</v>
      </c>
      <c r="E8" s="11">
        <v>1.7918827774425801</v>
      </c>
      <c r="F8" s="11">
        <v>2.0560525417561202</v>
      </c>
      <c r="G8" s="159">
        <v>1.4849125900786799</v>
      </c>
      <c r="H8" s="147">
        <v>1.2316392469359201</v>
      </c>
      <c r="J8" s="146" t="s">
        <v>17</v>
      </c>
      <c r="K8" s="155">
        <v>0.36502514901502126</v>
      </c>
      <c r="L8" s="11">
        <v>0.40768441608064998</v>
      </c>
      <c r="M8" s="11">
        <v>0.35203230667640401</v>
      </c>
      <c r="N8" s="11">
        <v>0.27366844656070299</v>
      </c>
      <c r="O8" s="11">
        <v>0.131976906914411</v>
      </c>
      <c r="P8" s="159">
        <v>0.34217111903227099</v>
      </c>
      <c r="Q8" s="147">
        <v>0.34098405004127902</v>
      </c>
      <c r="X8" s="10"/>
    </row>
    <row r="9" spans="1:24">
      <c r="A9" s="146" t="s">
        <v>18</v>
      </c>
      <c r="B9" s="155">
        <v>26.399428557595616</v>
      </c>
      <c r="C9" s="11">
        <v>27.537334968759701</v>
      </c>
      <c r="D9" s="11">
        <v>25.4018597017715</v>
      </c>
      <c r="E9" s="11">
        <v>23.8645218067496</v>
      </c>
      <c r="F9" s="11">
        <v>24.105208476150999</v>
      </c>
      <c r="G9" s="159">
        <v>23.868225980889399</v>
      </c>
      <c r="H9" s="147">
        <v>24.673333996202299</v>
      </c>
      <c r="J9" s="146" t="s">
        <v>18</v>
      </c>
      <c r="K9" s="155">
        <v>15.052479903287812</v>
      </c>
      <c r="L9" s="11">
        <v>16.4842968102054</v>
      </c>
      <c r="M9" s="11">
        <v>15.3477419372635</v>
      </c>
      <c r="N9" s="11">
        <v>12.909504600163</v>
      </c>
      <c r="O9" s="11">
        <v>9.6979742010255503</v>
      </c>
      <c r="P9" s="159">
        <v>11.646228020947101</v>
      </c>
      <c r="Q9" s="147">
        <v>13.7994163696562</v>
      </c>
      <c r="X9" s="10"/>
    </row>
    <row r="10" spans="1:24">
      <c r="A10" s="146" t="s">
        <v>19</v>
      </c>
      <c r="B10" s="155">
        <v>31.235664748367022</v>
      </c>
      <c r="C10" s="11">
        <v>30.4057563862062</v>
      </c>
      <c r="D10" s="11">
        <v>32.405313274376397</v>
      </c>
      <c r="E10" s="11">
        <v>32.265432941343697</v>
      </c>
      <c r="F10" s="11">
        <v>31.587564116024001</v>
      </c>
      <c r="G10" s="159">
        <v>34.616357590406302</v>
      </c>
      <c r="H10" s="147">
        <v>34.442907079550899</v>
      </c>
      <c r="J10" s="146" t="s">
        <v>19</v>
      </c>
      <c r="K10" s="155">
        <v>9.8184767477631354</v>
      </c>
      <c r="L10" s="11">
        <v>10.1153370595769</v>
      </c>
      <c r="M10" s="11">
        <v>9.9983628575975292</v>
      </c>
      <c r="N10" s="11">
        <v>11.815958735855</v>
      </c>
      <c r="O10" s="11">
        <v>11.3796731568846</v>
      </c>
      <c r="P10" s="159">
        <v>5.6335469262089504</v>
      </c>
      <c r="Q10" s="147">
        <v>7.5278500799544696</v>
      </c>
      <c r="X10" s="10"/>
    </row>
    <row r="11" spans="1:24">
      <c r="A11" s="146" t="s">
        <v>20</v>
      </c>
      <c r="B11" s="155">
        <v>32.136287813669988</v>
      </c>
      <c r="C11" s="11">
        <v>32.6515846851551</v>
      </c>
      <c r="D11" s="11">
        <v>32.550060449639503</v>
      </c>
      <c r="E11" s="11">
        <v>33.741329121280103</v>
      </c>
      <c r="F11" s="11">
        <v>32.283183308663901</v>
      </c>
      <c r="G11" s="159">
        <v>24.693471124963398</v>
      </c>
      <c r="H11" s="147">
        <v>30.881196981414899</v>
      </c>
      <c r="J11" s="146" t="s">
        <v>20</v>
      </c>
      <c r="K11" s="155">
        <v>30.13472781125628</v>
      </c>
      <c r="L11" s="11">
        <v>31.4904391772486</v>
      </c>
      <c r="M11" s="11">
        <v>27.259360989213</v>
      </c>
      <c r="N11" s="11">
        <v>33.504655140968801</v>
      </c>
      <c r="O11" s="11">
        <v>33.038012378668903</v>
      </c>
      <c r="P11" s="159">
        <v>22.489948142670599</v>
      </c>
      <c r="Q11" s="147">
        <v>33.536199661906601</v>
      </c>
      <c r="X11" s="10"/>
    </row>
    <row r="12" spans="1:24">
      <c r="A12" s="146" t="s">
        <v>21</v>
      </c>
      <c r="B12" s="155">
        <v>0.59946954160295762</v>
      </c>
      <c r="C12" s="11">
        <v>0.62555277100978302</v>
      </c>
      <c r="D12" s="11">
        <v>0.55854985442723804</v>
      </c>
      <c r="E12" s="11">
        <v>0.44589113739113301</v>
      </c>
      <c r="F12" s="11">
        <v>0.628939213612558</v>
      </c>
      <c r="G12" s="159">
        <v>0.63091975124594801</v>
      </c>
      <c r="H12" s="147">
        <v>0.63203527398589598</v>
      </c>
      <c r="J12" s="146" t="s">
        <v>21</v>
      </c>
      <c r="K12" s="155">
        <v>0.58860222874604251</v>
      </c>
      <c r="L12" s="11">
        <v>0.57016367789565803</v>
      </c>
      <c r="M12" s="11">
        <v>0.56552452358504302</v>
      </c>
      <c r="N12" s="11">
        <v>0.69285311837833596</v>
      </c>
      <c r="O12" s="11">
        <v>0.86429475867764705</v>
      </c>
      <c r="P12" s="159">
        <v>0.50650252016695796</v>
      </c>
      <c r="Q12" s="147">
        <v>0.52092425549979104</v>
      </c>
      <c r="X12" s="10"/>
    </row>
    <row r="13" spans="1:24" s="14" customFormat="1" ht="17" thickBot="1">
      <c r="A13" s="152" t="s">
        <v>279</v>
      </c>
      <c r="B13" s="157">
        <f>B3/B4</f>
        <v>3.1778074558844294</v>
      </c>
      <c r="C13" s="150">
        <f>(C3/C4)</f>
        <v>3.1852939160404103</v>
      </c>
      <c r="D13" s="150">
        <f t="shared" ref="D13:G13" si="0">(D3/D4)</f>
        <v>3.1995930848845782</v>
      </c>
      <c r="E13" s="150">
        <f t="shared" si="0"/>
        <v>3.0628567941185234</v>
      </c>
      <c r="F13" s="150">
        <f t="shared" si="0"/>
        <v>3.1244435201370528</v>
      </c>
      <c r="G13" s="161">
        <f t="shared" si="0"/>
        <v>3.2114897437203997</v>
      </c>
      <c r="H13" s="151">
        <f>(H3/H4)</f>
        <v>3.280391093560135</v>
      </c>
      <c r="J13" s="152" t="s">
        <v>279</v>
      </c>
      <c r="K13" s="157">
        <f>(K3/K4)</f>
        <v>3.1923355896786902</v>
      </c>
      <c r="L13" s="150">
        <f>(L3/L4)</f>
        <v>3.0862147733965961</v>
      </c>
      <c r="M13" s="150">
        <f t="shared" ref="M13:Q13" si="1">(M3/M4)</f>
        <v>3.177521920432465</v>
      </c>
      <c r="N13" s="150">
        <f t="shared" si="1"/>
        <v>3.0180415161360079</v>
      </c>
      <c r="O13" s="150">
        <f t="shared" si="1"/>
        <v>2.9937613488786714</v>
      </c>
      <c r="P13" s="161">
        <f t="shared" si="1"/>
        <v>3.2371740658791581</v>
      </c>
      <c r="Q13" s="151">
        <f t="shared" si="1"/>
        <v>3.1138529350860846</v>
      </c>
      <c r="X13" s="13"/>
    </row>
    <row r="14" spans="1:24">
      <c r="A14" s="10"/>
      <c r="B14" s="10"/>
      <c r="G14" s="10"/>
      <c r="H14" s="10"/>
      <c r="I14" s="10"/>
      <c r="N14" s="10"/>
      <c r="O14" s="10"/>
      <c r="P14" s="10"/>
      <c r="U14" s="10"/>
      <c r="V14" s="10"/>
      <c r="W14" s="10"/>
    </row>
    <row r="15" spans="1:24" ht="16" thickBot="1">
      <c r="A15" s="9"/>
      <c r="G15" s="10"/>
      <c r="H15" s="9"/>
      <c r="N15" s="10"/>
      <c r="O15" s="10"/>
      <c r="P15" s="10"/>
      <c r="T15" s="8"/>
      <c r="U15" s="10"/>
      <c r="V15" s="10"/>
      <c r="W15" s="10"/>
      <c r="X15" s="8"/>
    </row>
    <row r="16" spans="1:24">
      <c r="A16" s="388" t="s">
        <v>77</v>
      </c>
      <c r="B16" s="389"/>
      <c r="C16" s="389"/>
      <c r="D16" s="389"/>
      <c r="E16" s="389"/>
      <c r="F16" s="389"/>
      <c r="G16" s="389"/>
      <c r="H16" s="162" t="s">
        <v>80</v>
      </c>
      <c r="J16" s="388" t="s">
        <v>79</v>
      </c>
      <c r="K16" s="389"/>
      <c r="L16" s="389"/>
      <c r="M16" s="389"/>
      <c r="N16" s="389"/>
      <c r="O16" s="389"/>
      <c r="P16" s="389"/>
      <c r="Q16" s="162" t="s">
        <v>87</v>
      </c>
      <c r="S16" s="8"/>
      <c r="T16" s="8"/>
      <c r="U16" s="10"/>
      <c r="V16" s="9"/>
      <c r="W16" s="9"/>
      <c r="X16" s="8"/>
    </row>
    <row r="17" spans="1:24">
      <c r="A17" s="144" t="s">
        <v>13</v>
      </c>
      <c r="B17" s="153" t="s">
        <v>107</v>
      </c>
      <c r="C17" s="154" t="s">
        <v>8</v>
      </c>
      <c r="D17" s="154" t="s">
        <v>75</v>
      </c>
      <c r="E17" s="154" t="s">
        <v>6</v>
      </c>
      <c r="F17" s="154" t="s">
        <v>5</v>
      </c>
      <c r="G17" s="158" t="s">
        <v>4</v>
      </c>
      <c r="H17" s="145" t="s">
        <v>35</v>
      </c>
      <c r="J17" s="144" t="s">
        <v>13</v>
      </c>
      <c r="K17" s="153" t="s">
        <v>107</v>
      </c>
      <c r="L17" s="154" t="s">
        <v>8</v>
      </c>
      <c r="M17" s="154" t="s">
        <v>7</v>
      </c>
      <c r="N17" s="154" t="s">
        <v>6</v>
      </c>
      <c r="O17" s="154" t="s">
        <v>5</v>
      </c>
      <c r="P17" s="158" t="s">
        <v>4</v>
      </c>
      <c r="Q17" s="145" t="s">
        <v>35</v>
      </c>
      <c r="S17" s="8"/>
      <c r="T17" s="8"/>
      <c r="U17" s="10"/>
      <c r="V17" s="9"/>
      <c r="W17" s="8"/>
      <c r="X17" s="8"/>
    </row>
    <row r="18" spans="1:24">
      <c r="A18" s="146" t="s">
        <v>27</v>
      </c>
      <c r="B18" s="155">
        <v>100</v>
      </c>
      <c r="C18" s="11">
        <v>63.19</v>
      </c>
      <c r="D18" s="11">
        <v>12.660000000000011</v>
      </c>
      <c r="E18" s="11">
        <v>10.1899999999999</v>
      </c>
      <c r="F18" s="11">
        <v>6.5399999999999698</v>
      </c>
      <c r="G18" s="159">
        <v>7.4199999999947002</v>
      </c>
      <c r="H18" s="147">
        <v>99.999999999977703</v>
      </c>
      <c r="J18" s="146" t="s">
        <v>27</v>
      </c>
      <c r="K18" s="155">
        <v>100</v>
      </c>
      <c r="L18" s="11">
        <v>59.6</v>
      </c>
      <c r="M18" s="11">
        <v>12.59</v>
      </c>
      <c r="N18" s="11">
        <v>10.14</v>
      </c>
      <c r="O18" s="11">
        <v>6.50999999999999</v>
      </c>
      <c r="P18" s="159">
        <v>7.3899999999956103</v>
      </c>
      <c r="Q18" s="147">
        <v>99.999999999896303</v>
      </c>
      <c r="R18" s="8"/>
      <c r="S18" s="8"/>
      <c r="T18" s="8"/>
      <c r="U18" s="8"/>
      <c r="V18" s="8"/>
      <c r="W18" s="8"/>
      <c r="X18" s="8"/>
    </row>
    <row r="19" spans="1:24">
      <c r="A19" s="146" t="s">
        <v>28</v>
      </c>
      <c r="B19" s="155">
        <v>34.2741713706925</v>
      </c>
      <c r="C19" s="11">
        <v>21.6373281035895</v>
      </c>
      <c r="D19" s="11">
        <v>4.3182516142561695</v>
      </c>
      <c r="E19" s="11">
        <v>3.5788211230761702</v>
      </c>
      <c r="F19" s="11">
        <v>2.2653954226495898</v>
      </c>
      <c r="G19" s="159">
        <v>2.4743751070418698</v>
      </c>
      <c r="H19" s="147">
        <v>35.697641786835703</v>
      </c>
      <c r="J19" s="146" t="s">
        <v>28</v>
      </c>
      <c r="K19" s="155">
        <v>30.309818095275698</v>
      </c>
      <c r="L19" s="11">
        <v>18.501959761126599</v>
      </c>
      <c r="M19" s="11">
        <v>3.9369346483024299</v>
      </c>
      <c r="N19" s="11">
        <v>3.30658876241898</v>
      </c>
      <c r="O19" s="11">
        <v>2.1814153958237998</v>
      </c>
      <c r="P19" s="159">
        <v>2.3829195275847601</v>
      </c>
      <c r="Q19" s="147">
        <v>31.488102244976499</v>
      </c>
      <c r="R19" s="8"/>
      <c r="S19" s="8"/>
      <c r="T19" s="8"/>
      <c r="U19" s="8"/>
      <c r="V19" s="8"/>
      <c r="W19" s="8"/>
      <c r="X19" s="8"/>
    </row>
    <row r="20" spans="1:24">
      <c r="A20" s="148" t="s">
        <v>26</v>
      </c>
      <c r="B20" s="156">
        <v>8.5528296447526841</v>
      </c>
      <c r="C20" s="12">
        <v>8.4518907093459799</v>
      </c>
      <c r="D20" s="12">
        <v>7.8497697230399401</v>
      </c>
      <c r="E20" s="12">
        <v>5.8359239800927503</v>
      </c>
      <c r="F20" s="12">
        <v>8.4083084070310505</v>
      </c>
      <c r="G20" s="160">
        <v>14.4705530349146</v>
      </c>
      <c r="H20" s="149">
        <v>8.7666067323413994</v>
      </c>
      <c r="J20" s="148" t="s">
        <v>26</v>
      </c>
      <c r="K20" s="156">
        <v>3.3405202314797129</v>
      </c>
      <c r="L20" s="12">
        <v>2.3870128543767</v>
      </c>
      <c r="M20" s="12">
        <v>6.8588581981994201</v>
      </c>
      <c r="N20" s="12">
        <v>3.1695433589090598</v>
      </c>
      <c r="O20" s="12">
        <v>3.11679822495464</v>
      </c>
      <c r="P20" s="160">
        <v>5.4681657558167096</v>
      </c>
      <c r="Q20" s="149">
        <v>4.2846964842211799</v>
      </c>
    </row>
    <row r="21" spans="1:24">
      <c r="A21" s="146" t="s">
        <v>15</v>
      </c>
      <c r="B21" s="155">
        <v>2.3464493601245719E-2</v>
      </c>
      <c r="C21" s="11">
        <v>1.53498421281269E-2</v>
      </c>
      <c r="D21" s="11">
        <v>2.2918436205569128E-2</v>
      </c>
      <c r="E21" s="11">
        <v>2.3908850341175601E-2</v>
      </c>
      <c r="F21" s="11">
        <v>2.3254704059664202E-2</v>
      </c>
      <c r="G21" s="159">
        <v>9.30766151157678E-2</v>
      </c>
      <c r="H21" s="147">
        <v>3.39023480337673E-2</v>
      </c>
      <c r="J21" s="146" t="s">
        <v>15</v>
      </c>
      <c r="K21" s="155">
        <v>0.26458414340857594</v>
      </c>
      <c r="L21" s="11">
        <v>0.26556345976002999</v>
      </c>
      <c r="M21" s="11">
        <v>0.34177799944616999</v>
      </c>
      <c r="N21" s="11">
        <v>0.215906529910563</v>
      </c>
      <c r="O21" s="11">
        <v>0.170426719800365</v>
      </c>
      <c r="P21" s="159">
        <v>0.27491133238068599</v>
      </c>
      <c r="Q21" s="147">
        <v>0.25133628353625498</v>
      </c>
    </row>
    <row r="22" spans="1:24">
      <c r="A22" s="146" t="s">
        <v>16</v>
      </c>
      <c r="B22" s="155">
        <v>4.0472176107817166</v>
      </c>
      <c r="C22" s="11">
        <v>3.7556262277155099</v>
      </c>
      <c r="D22" s="11">
        <v>3.7365838021266962</v>
      </c>
      <c r="E22" s="11">
        <v>4.1066616122362598</v>
      </c>
      <c r="F22" s="11">
        <v>4.3195566271254799</v>
      </c>
      <c r="G22" s="159">
        <v>6.7387879573984604</v>
      </c>
      <c r="H22" s="147">
        <v>1.8803196250209899</v>
      </c>
      <c r="J22" s="146" t="s">
        <v>16</v>
      </c>
      <c r="K22" s="155">
        <v>5.6659379551527591</v>
      </c>
      <c r="L22" s="11">
        <v>6.11021585576181</v>
      </c>
      <c r="M22" s="11">
        <v>4.4487887438049203</v>
      </c>
      <c r="N22" s="11">
        <v>5.0513301583863504</v>
      </c>
      <c r="O22" s="11">
        <v>4.6620886868295104</v>
      </c>
      <c r="P22" s="159">
        <v>5.8840878185601602</v>
      </c>
      <c r="Q22" s="147">
        <v>3.2253791168373702</v>
      </c>
    </row>
    <row r="23" spans="1:24">
      <c r="A23" s="146" t="s">
        <v>17</v>
      </c>
      <c r="B23" s="155">
        <v>0.72808785337536164</v>
      </c>
      <c r="C23" s="11">
        <v>0.76508895604391902</v>
      </c>
      <c r="D23" s="11">
        <v>0.80531447262790612</v>
      </c>
      <c r="E23" s="11">
        <v>0.65220370843656295</v>
      </c>
      <c r="F23" s="11">
        <v>0.65358046802545899</v>
      </c>
      <c r="G23" s="159">
        <v>0.45109985603333602</v>
      </c>
      <c r="H23" s="147">
        <v>1.2360553191741299</v>
      </c>
      <c r="J23" s="146" t="s">
        <v>17</v>
      </c>
      <c r="K23" s="155">
        <v>0.92229584051837477</v>
      </c>
      <c r="L23" s="11">
        <v>0.90766844503604105</v>
      </c>
      <c r="M23" s="11">
        <v>1.3963940719845001</v>
      </c>
      <c r="N23" s="11">
        <v>0.696053005903291</v>
      </c>
      <c r="O23" s="11">
        <v>0.55396466215903595</v>
      </c>
      <c r="P23" s="159">
        <v>0.86746963628417195</v>
      </c>
      <c r="Q23" s="147">
        <v>0.86628408045404504</v>
      </c>
    </row>
    <row r="24" spans="1:24">
      <c r="A24" s="146" t="s">
        <v>18</v>
      </c>
      <c r="B24" s="155">
        <v>18.474838889192515</v>
      </c>
      <c r="C24" s="11">
        <v>18.733634368970598</v>
      </c>
      <c r="D24" s="11">
        <v>18.463705215416294</v>
      </c>
      <c r="E24" s="11">
        <v>16.915516544824701</v>
      </c>
      <c r="F24" s="11">
        <v>16.7889702770645</v>
      </c>
      <c r="G24" s="159">
        <v>19.9172568615862</v>
      </c>
      <c r="H24" s="147">
        <v>17.623227698423499</v>
      </c>
      <c r="J24" s="146" t="s">
        <v>18</v>
      </c>
      <c r="K24" s="155">
        <v>49.525780213415899</v>
      </c>
      <c r="L24" s="11">
        <v>54.612354725069601</v>
      </c>
      <c r="M24" s="11">
        <v>39.3593933778752</v>
      </c>
      <c r="N24" s="11">
        <v>45.047646526287501</v>
      </c>
      <c r="O24" s="11">
        <v>40.427814850941999</v>
      </c>
      <c r="P24" s="159">
        <v>39.981937109811597</v>
      </c>
      <c r="Q24" s="147">
        <v>47.421181324876898</v>
      </c>
    </row>
    <row r="25" spans="1:24">
      <c r="A25" s="146" t="s">
        <v>19</v>
      </c>
      <c r="B25" s="155">
        <v>36.751796937334866</v>
      </c>
      <c r="C25" s="11">
        <v>36.635341698286801</v>
      </c>
      <c r="D25" s="11">
        <v>37.471021223724186</v>
      </c>
      <c r="E25" s="11">
        <v>38.782899014942799</v>
      </c>
      <c r="F25" s="11">
        <v>38.763072800318</v>
      </c>
      <c r="G25" s="159">
        <v>31.954324265447099</v>
      </c>
      <c r="H25" s="147">
        <v>40.293329129452303</v>
      </c>
      <c r="J25" s="146" t="s">
        <v>19</v>
      </c>
      <c r="K25" s="155">
        <v>9.987798136252124</v>
      </c>
      <c r="L25" s="11">
        <v>9.9388825971246195</v>
      </c>
      <c r="M25" s="11">
        <v>14.9977112993367</v>
      </c>
      <c r="N25" s="11">
        <v>6.5127800050009297</v>
      </c>
      <c r="O25" s="11">
        <v>6.4264391809233601</v>
      </c>
      <c r="P25" s="159">
        <v>9.7525735163265903</v>
      </c>
      <c r="Q25" s="147">
        <v>9.1805779923611706</v>
      </c>
    </row>
    <row r="26" spans="1:24">
      <c r="A26" s="146" t="s">
        <v>20</v>
      </c>
      <c r="B26" s="155">
        <v>30.731823662450282</v>
      </c>
      <c r="C26" s="11">
        <v>30.960171376260799</v>
      </c>
      <c r="D26" s="11">
        <v>31.039638014438474</v>
      </c>
      <c r="E26" s="11">
        <v>33.080169127525203</v>
      </c>
      <c r="F26" s="11">
        <v>30.448359154881299</v>
      </c>
      <c r="G26" s="159">
        <v>25.286809627175799</v>
      </c>
      <c r="H26" s="147">
        <v>27.510026438377999</v>
      </c>
      <c r="J26" s="146" t="s">
        <v>20</v>
      </c>
      <c r="K26" s="155">
        <v>29.847497588021188</v>
      </c>
      <c r="L26" s="11">
        <v>25.3425902298663</v>
      </c>
      <c r="M26" s="11">
        <v>31.9770178953307</v>
      </c>
      <c r="N26" s="11">
        <v>38.964115953704798</v>
      </c>
      <c r="O26" s="11">
        <v>44.298398636303403</v>
      </c>
      <c r="P26" s="159">
        <v>37.312171718174397</v>
      </c>
      <c r="Q26" s="147">
        <v>34.301023510666397</v>
      </c>
    </row>
    <row r="27" spans="1:24">
      <c r="A27" s="146" t="s">
        <v>21</v>
      </c>
      <c r="B27" s="155">
        <v>0.68994090851133882</v>
      </c>
      <c r="C27" s="11">
        <v>0.68289682124832496</v>
      </c>
      <c r="D27" s="11">
        <v>0.61104911242095183</v>
      </c>
      <c r="E27" s="11">
        <v>0.60271716160006905</v>
      </c>
      <c r="F27" s="11">
        <v>0.59489756149398398</v>
      </c>
      <c r="G27" s="159">
        <v>1.0880917822573899</v>
      </c>
      <c r="H27" s="147">
        <v>2.65653270915361</v>
      </c>
      <c r="J27" s="146" t="s">
        <v>21</v>
      </c>
      <c r="K27" s="155">
        <v>0.4455858917513662</v>
      </c>
      <c r="L27" s="11">
        <v>0.43571183300503802</v>
      </c>
      <c r="M27" s="11">
        <v>0.62005841402231898</v>
      </c>
      <c r="N27" s="11">
        <v>0.34262446189741302</v>
      </c>
      <c r="O27" s="11">
        <v>0.34406903808752998</v>
      </c>
      <c r="P27" s="159">
        <v>0.45868311258632499</v>
      </c>
      <c r="Q27" s="147">
        <v>0.46952120694301702</v>
      </c>
    </row>
    <row r="28" spans="1:24" ht="17" thickBot="1">
      <c r="A28" s="152" t="s">
        <v>279</v>
      </c>
      <c r="B28" s="157">
        <f>B18/B19</f>
        <v>2.9176489467374549</v>
      </c>
      <c r="C28" s="150">
        <f>(C18/C19)</f>
        <v>2.9204160373903636</v>
      </c>
      <c r="D28" s="150">
        <f>(D18/D19)</f>
        <v>2.9317420870531485</v>
      </c>
      <c r="E28" s="150">
        <f t="shared" ref="E28:H28" si="2">(E18/E19)</f>
        <v>2.8473063194734642</v>
      </c>
      <c r="F28" s="150">
        <f t="shared" si="2"/>
        <v>2.8869132225714633</v>
      </c>
      <c r="G28" s="161">
        <f t="shared" si="2"/>
        <v>2.9987369250838265</v>
      </c>
      <c r="H28" s="151">
        <f t="shared" si="2"/>
        <v>2.8013054923099969</v>
      </c>
      <c r="J28" s="152" t="s">
        <v>279</v>
      </c>
      <c r="K28" s="157">
        <f>(K18/K19)</f>
        <v>3.2992609749639739</v>
      </c>
      <c r="L28" s="150">
        <f>(L18/L19)</f>
        <v>3.2212803816178504</v>
      </c>
      <c r="M28" s="150">
        <f t="shared" ref="M28:Q28" si="3">(M18/M19)</f>
        <v>3.1979194791634891</v>
      </c>
      <c r="N28" s="150">
        <f t="shared" si="3"/>
        <v>3.0666045065071672</v>
      </c>
      <c r="O28" s="150">
        <f t="shared" si="3"/>
        <v>2.9843009325335412</v>
      </c>
      <c r="P28" s="161">
        <f t="shared" si="3"/>
        <v>3.1012377524497623</v>
      </c>
      <c r="Q28" s="151">
        <f t="shared" si="3"/>
        <v>3.175802695948434</v>
      </c>
    </row>
    <row r="30" spans="1:24">
      <c r="I30" s="31"/>
    </row>
  </sheetData>
  <mergeCells count="4">
    <mergeCell ref="A1:G1"/>
    <mergeCell ref="J1:P1"/>
    <mergeCell ref="A16:G16"/>
    <mergeCell ref="J16:P16"/>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S28"/>
  <sheetViews>
    <sheetView zoomScale="85" zoomScaleNormal="70" workbookViewId="0"/>
  </sheetViews>
  <sheetFormatPr baseColWidth="10" defaultColWidth="8.83203125" defaultRowHeight="15"/>
  <cols>
    <col min="1" max="1" width="16.1640625" style="4" bestFit="1" customWidth="1"/>
    <col min="2" max="2" width="16.33203125" style="192" customWidth="1"/>
    <col min="3" max="3" width="19.83203125" style="192" bestFit="1" customWidth="1"/>
    <col min="4" max="4" width="7.6640625" style="192" bestFit="1" customWidth="1"/>
    <col min="5" max="7" width="7" style="192" bestFit="1" customWidth="1"/>
    <col min="8" max="8" width="15.1640625" style="192" bestFit="1" customWidth="1"/>
    <col min="9" max="9" width="6.6640625" style="192" bestFit="1" customWidth="1"/>
    <col min="10" max="10" width="8.83203125" style="192"/>
    <col min="11" max="11" width="16.1640625" style="4" bestFit="1" customWidth="1"/>
    <col min="12" max="13" width="19.83203125" style="192" bestFit="1" customWidth="1"/>
    <col min="14" max="17" width="7" style="192" bestFit="1" customWidth="1"/>
    <col min="18" max="18" width="15.1640625" style="192" bestFit="1" customWidth="1"/>
    <col min="19" max="19" width="8.83203125" style="192"/>
    <col min="20" max="20" width="15.83203125" style="192" bestFit="1" customWidth="1"/>
    <col min="21" max="21" width="19.83203125" style="192" bestFit="1" customWidth="1"/>
    <col min="22" max="22" width="7.6640625" style="192" bestFit="1" customWidth="1"/>
    <col min="23" max="25" width="7" style="192" bestFit="1" customWidth="1"/>
    <col min="26" max="26" width="15.1640625" style="192" bestFit="1" customWidth="1"/>
    <col min="27" max="27" width="6.6640625" style="192" bestFit="1" customWidth="1"/>
    <col min="28" max="28" width="8.83203125" style="192"/>
    <col min="29" max="29" width="16.1640625" style="192" bestFit="1" customWidth="1"/>
    <col min="30" max="30" width="8.83203125" style="192"/>
    <col min="31" max="31" width="7.6640625" style="192" bestFit="1" customWidth="1"/>
    <col min="32" max="34" width="7" style="192" bestFit="1" customWidth="1"/>
    <col min="35" max="35" width="15.1640625" style="192" bestFit="1" customWidth="1"/>
    <col min="36" max="36" width="6.6640625" style="192" bestFit="1" customWidth="1"/>
    <col min="37" max="16384" width="8.83203125" style="192"/>
  </cols>
  <sheetData>
    <row r="1" spans="1:19" ht="16" thickBot="1"/>
    <row r="2" spans="1:19" ht="15" customHeight="1">
      <c r="A2" s="305" t="s">
        <v>38</v>
      </c>
      <c r="B2" s="193"/>
      <c r="C2" s="193"/>
      <c r="D2" s="193" t="s">
        <v>51</v>
      </c>
      <c r="E2" s="193"/>
      <c r="F2" s="193"/>
      <c r="G2" s="193"/>
      <c r="H2" s="193" t="s">
        <v>52</v>
      </c>
      <c r="I2" s="194"/>
      <c r="K2" s="305" t="s">
        <v>29</v>
      </c>
      <c r="L2" s="193"/>
      <c r="M2" s="193"/>
      <c r="N2" s="193" t="s">
        <v>51</v>
      </c>
      <c r="O2" s="193"/>
      <c r="P2" s="193"/>
      <c r="Q2" s="193"/>
      <c r="R2" s="193" t="s">
        <v>52</v>
      </c>
      <c r="S2" s="194"/>
    </row>
    <row r="3" spans="1:19" ht="15" customHeight="1">
      <c r="A3" s="298"/>
      <c r="B3" s="390" t="s">
        <v>49</v>
      </c>
      <c r="C3" s="195" t="s">
        <v>54</v>
      </c>
      <c r="D3" s="195">
        <v>0.1</v>
      </c>
      <c r="E3" s="195">
        <v>0.2</v>
      </c>
      <c r="F3" s="195">
        <v>0.3</v>
      </c>
      <c r="G3" s="195">
        <v>0.4</v>
      </c>
      <c r="H3" s="195">
        <v>0.52400000000000002</v>
      </c>
      <c r="I3" s="196" t="s">
        <v>39</v>
      </c>
      <c r="K3" s="298"/>
      <c r="L3" s="390" t="s">
        <v>49</v>
      </c>
      <c r="M3" s="195" t="s">
        <v>54</v>
      </c>
      <c r="N3" s="195">
        <v>0.1</v>
      </c>
      <c r="O3" s="195">
        <v>0.2</v>
      </c>
      <c r="P3" s="195">
        <v>0.3</v>
      </c>
      <c r="Q3" s="195">
        <v>0.4</v>
      </c>
      <c r="R3" s="195">
        <v>0.52400000000000002</v>
      </c>
      <c r="S3" s="197"/>
    </row>
    <row r="4" spans="1:19" ht="15" customHeight="1">
      <c r="A4" s="298"/>
      <c r="B4" s="391"/>
      <c r="C4" s="198" t="s">
        <v>53</v>
      </c>
      <c r="D4" s="198" t="s">
        <v>30</v>
      </c>
      <c r="E4" s="198" t="s">
        <v>31</v>
      </c>
      <c r="F4" s="198" t="s">
        <v>32</v>
      </c>
      <c r="G4" s="198" t="s">
        <v>33</v>
      </c>
      <c r="H4" s="198" t="s">
        <v>34</v>
      </c>
      <c r="I4" s="197"/>
      <c r="K4" s="298"/>
      <c r="L4" s="391"/>
      <c r="M4" s="198" t="s">
        <v>53</v>
      </c>
      <c r="N4" s="198" t="s">
        <v>30</v>
      </c>
      <c r="O4" s="198" t="s">
        <v>31</v>
      </c>
      <c r="P4" s="198" t="s">
        <v>32</v>
      </c>
      <c r="Q4" s="198" t="s">
        <v>33</v>
      </c>
      <c r="R4" s="198" t="s">
        <v>34</v>
      </c>
      <c r="S4" s="196" t="s">
        <v>39</v>
      </c>
    </row>
    <row r="5" spans="1:19" ht="15" customHeight="1">
      <c r="A5" s="298"/>
      <c r="B5" s="392" t="s">
        <v>8</v>
      </c>
      <c r="C5" s="199" t="s">
        <v>24</v>
      </c>
      <c r="D5" s="200">
        <v>5</v>
      </c>
      <c r="E5" s="200">
        <v>60</v>
      </c>
      <c r="F5" s="200">
        <v>146</v>
      </c>
      <c r="G5" s="200">
        <v>89</v>
      </c>
      <c r="H5" s="200">
        <v>1</v>
      </c>
      <c r="I5" s="201">
        <f t="shared" ref="I5:I14" si="0">SUM(D5:H5)</f>
        <v>301</v>
      </c>
      <c r="K5" s="298"/>
      <c r="L5" s="392" t="s">
        <v>8</v>
      </c>
      <c r="M5" s="199" t="s">
        <v>24</v>
      </c>
      <c r="N5" s="200">
        <v>4</v>
      </c>
      <c r="O5" s="200">
        <v>112</v>
      </c>
      <c r="P5" s="200">
        <v>237</v>
      </c>
      <c r="Q5" s="200">
        <v>112</v>
      </c>
      <c r="R5" s="200">
        <v>0</v>
      </c>
      <c r="S5" s="201">
        <f t="shared" ref="S5:S14" si="1">SUM(N5:R5)</f>
        <v>465</v>
      </c>
    </row>
    <row r="6" spans="1:19" s="205" customFormat="1" ht="15" customHeight="1">
      <c r="A6" s="298"/>
      <c r="B6" s="394"/>
      <c r="C6" s="202" t="s">
        <v>55</v>
      </c>
      <c r="D6" s="203">
        <f>(D5/$I$5)*D3</f>
        <v>1.6611295681063125E-3</v>
      </c>
      <c r="E6" s="203">
        <f>(E5/$I$5)*E3</f>
        <v>3.9867109634551499E-2</v>
      </c>
      <c r="F6" s="203">
        <f>(F5/$I$5)*F3</f>
        <v>0.14551495016611296</v>
      </c>
      <c r="G6" s="203">
        <f>(G5/$I$5)*G3</f>
        <v>0.11827242524916944</v>
      </c>
      <c r="H6" s="203">
        <f>(H5/$I$5)*H3</f>
        <v>1.7408637873754153E-3</v>
      </c>
      <c r="I6" s="204">
        <f t="shared" si="0"/>
        <v>0.30705647840531564</v>
      </c>
      <c r="K6" s="298"/>
      <c r="L6" s="394"/>
      <c r="M6" s="202" t="s">
        <v>55</v>
      </c>
      <c r="N6" s="203">
        <f>(N5/$S$5)*N3</f>
        <v>8.6021505376344086E-4</v>
      </c>
      <c r="O6" s="203">
        <f>(O5/$S$5)*O3</f>
        <v>4.8172043010752695E-2</v>
      </c>
      <c r="P6" s="203">
        <f>(P5/$S$5)*P3</f>
        <v>0.1529032258064516</v>
      </c>
      <c r="Q6" s="203">
        <f>(Q5/$S$5)*Q3</f>
        <v>9.634408602150539E-2</v>
      </c>
      <c r="R6" s="203">
        <f>(R5/$S$5)*R3</f>
        <v>0</v>
      </c>
      <c r="S6" s="204">
        <f t="shared" si="1"/>
        <v>0.29827956989247312</v>
      </c>
    </row>
    <row r="7" spans="1:19" ht="15" customHeight="1">
      <c r="A7" s="298"/>
      <c r="B7" s="392" t="s">
        <v>7</v>
      </c>
      <c r="C7" s="199" t="s">
        <v>24</v>
      </c>
      <c r="D7" s="200">
        <v>20</v>
      </c>
      <c r="E7" s="200">
        <v>290</v>
      </c>
      <c r="F7" s="200">
        <v>617</v>
      </c>
      <c r="G7" s="200">
        <v>195</v>
      </c>
      <c r="H7" s="200">
        <v>3</v>
      </c>
      <c r="I7" s="201">
        <f t="shared" si="0"/>
        <v>1125</v>
      </c>
      <c r="K7" s="298"/>
      <c r="L7" s="392" t="s">
        <v>7</v>
      </c>
      <c r="M7" s="199" t="s">
        <v>24</v>
      </c>
      <c r="N7" s="200">
        <v>16</v>
      </c>
      <c r="O7" s="200">
        <v>333</v>
      </c>
      <c r="P7" s="200">
        <v>694</v>
      </c>
      <c r="Q7" s="200">
        <v>260</v>
      </c>
      <c r="R7" s="200">
        <v>1</v>
      </c>
      <c r="S7" s="201">
        <f t="shared" si="1"/>
        <v>1304</v>
      </c>
    </row>
    <row r="8" spans="1:19" s="205" customFormat="1" ht="15" customHeight="1">
      <c r="A8" s="298"/>
      <c r="B8" s="395"/>
      <c r="C8" s="206" t="s">
        <v>55</v>
      </c>
      <c r="D8" s="207">
        <f>(D7/$I$7)*D3</f>
        <v>1.7777777777777779E-3</v>
      </c>
      <c r="E8" s="207">
        <f>(E7/$I$7)*E3</f>
        <v>5.1555555555555556E-2</v>
      </c>
      <c r="F8" s="207">
        <f>(F7/$I$7)*F3</f>
        <v>0.16453333333333331</v>
      </c>
      <c r="G8" s="207">
        <f>(G7/$I$7)*G3</f>
        <v>6.9333333333333344E-2</v>
      </c>
      <c r="H8" s="207">
        <f>(H7/$I$7)*H3</f>
        <v>1.3973333333333333E-3</v>
      </c>
      <c r="I8" s="208">
        <f t="shared" si="0"/>
        <v>0.28859733333333332</v>
      </c>
      <c r="K8" s="298"/>
      <c r="L8" s="395"/>
      <c r="M8" s="206" t="s">
        <v>55</v>
      </c>
      <c r="N8" s="207">
        <f>(N7/$S$7)*N3</f>
        <v>1.2269938650306749E-3</v>
      </c>
      <c r="O8" s="207">
        <f>(O7/$S$7)*O3</f>
        <v>5.1073619631901851E-2</v>
      </c>
      <c r="P8" s="207">
        <f>(P7/$S$7)*P3</f>
        <v>0.15966257668711656</v>
      </c>
      <c r="Q8" s="207">
        <f>(Q7/$S$7)*Q3</f>
        <v>7.9754601226993863E-2</v>
      </c>
      <c r="R8" s="207">
        <f>(R7/$S$7)*R3</f>
        <v>4.0184049079754604E-4</v>
      </c>
      <c r="S8" s="208">
        <f t="shared" si="1"/>
        <v>0.29211963190184048</v>
      </c>
    </row>
    <row r="9" spans="1:19" ht="15" customHeight="1">
      <c r="A9" s="298"/>
      <c r="B9" s="394" t="s">
        <v>6</v>
      </c>
      <c r="C9" s="198" t="s">
        <v>24</v>
      </c>
      <c r="D9" s="209">
        <v>28</v>
      </c>
      <c r="E9" s="209">
        <v>311</v>
      </c>
      <c r="F9" s="209">
        <v>348</v>
      </c>
      <c r="G9" s="209">
        <v>76</v>
      </c>
      <c r="H9" s="209">
        <v>0</v>
      </c>
      <c r="I9" s="210">
        <f t="shared" si="0"/>
        <v>763</v>
      </c>
      <c r="K9" s="298"/>
      <c r="L9" s="394" t="s">
        <v>6</v>
      </c>
      <c r="M9" s="198" t="s">
        <v>24</v>
      </c>
      <c r="N9" s="209">
        <v>48</v>
      </c>
      <c r="O9" s="209">
        <v>556</v>
      </c>
      <c r="P9" s="209">
        <v>582</v>
      </c>
      <c r="Q9" s="209">
        <v>160</v>
      </c>
      <c r="R9" s="209">
        <v>0</v>
      </c>
      <c r="S9" s="210">
        <f t="shared" si="1"/>
        <v>1346</v>
      </c>
    </row>
    <row r="10" spans="1:19" s="205" customFormat="1" ht="15" customHeight="1">
      <c r="A10" s="298"/>
      <c r="B10" s="394"/>
      <c r="C10" s="202" t="s">
        <v>55</v>
      </c>
      <c r="D10" s="203">
        <f>(D9/$I$9)*D3</f>
        <v>3.669724770642202E-3</v>
      </c>
      <c r="E10" s="203">
        <f>(E9/$I$9)*E3</f>
        <v>8.152031454783748E-2</v>
      </c>
      <c r="F10" s="203">
        <f>(F9/$I$9)*F3</f>
        <v>0.13682830930537351</v>
      </c>
      <c r="G10" s="203">
        <f>(G9/$I$9)*G3</f>
        <v>3.984272608125819E-2</v>
      </c>
      <c r="H10" s="203">
        <f>(H9/$I$9)*H3</f>
        <v>0</v>
      </c>
      <c r="I10" s="204">
        <f t="shared" si="0"/>
        <v>0.26186107470511139</v>
      </c>
      <c r="K10" s="298"/>
      <c r="L10" s="394"/>
      <c r="M10" s="202" t="s">
        <v>55</v>
      </c>
      <c r="N10" s="203">
        <f>(N9/$S$9)*N3</f>
        <v>3.5661218424962852E-3</v>
      </c>
      <c r="O10" s="203">
        <f>(O9/$S$9)*O3</f>
        <v>8.2615156017830607E-2</v>
      </c>
      <c r="P10" s="203">
        <f>(P9/$S$9)*P3</f>
        <v>0.12971768202080239</v>
      </c>
      <c r="Q10" s="203">
        <f>(Q9/$S$9)*Q3</f>
        <v>4.7548291233283801E-2</v>
      </c>
      <c r="R10" s="203">
        <f>(R9/$S$9)*R3</f>
        <v>0</v>
      </c>
      <c r="S10" s="204">
        <f t="shared" si="1"/>
        <v>0.26344725111441308</v>
      </c>
    </row>
    <row r="11" spans="1:19" ht="15" customHeight="1">
      <c r="A11" s="298"/>
      <c r="B11" s="392" t="s">
        <v>5</v>
      </c>
      <c r="C11" s="199" t="s">
        <v>24</v>
      </c>
      <c r="D11" s="200">
        <v>160</v>
      </c>
      <c r="E11" s="200">
        <v>1869</v>
      </c>
      <c r="F11" s="200">
        <v>1873</v>
      </c>
      <c r="G11" s="200">
        <v>516</v>
      </c>
      <c r="H11" s="200">
        <v>2</v>
      </c>
      <c r="I11" s="201">
        <f t="shared" si="0"/>
        <v>4420</v>
      </c>
      <c r="K11" s="298"/>
      <c r="L11" s="392" t="s">
        <v>5</v>
      </c>
      <c r="M11" s="199" t="s">
        <v>24</v>
      </c>
      <c r="N11" s="200">
        <v>75</v>
      </c>
      <c r="O11" s="200">
        <v>929</v>
      </c>
      <c r="P11" s="200">
        <v>1151</v>
      </c>
      <c r="Q11" s="200">
        <v>293</v>
      </c>
      <c r="R11" s="200">
        <v>2</v>
      </c>
      <c r="S11" s="201">
        <f t="shared" si="1"/>
        <v>2450</v>
      </c>
    </row>
    <row r="12" spans="1:19" s="205" customFormat="1" ht="15" customHeight="1">
      <c r="A12" s="298"/>
      <c r="B12" s="395"/>
      <c r="C12" s="206" t="s">
        <v>55</v>
      </c>
      <c r="D12" s="207">
        <f>(D11/$I$11)*D3</f>
        <v>3.619909502262444E-3</v>
      </c>
      <c r="E12" s="207">
        <f>(E11/$I$11)*E3</f>
        <v>8.4570135746606337E-2</v>
      </c>
      <c r="F12" s="207">
        <f>(F11/$I$11)*F3</f>
        <v>0.12712669683257918</v>
      </c>
      <c r="G12" s="207">
        <f>(G11/$I$11)*G3</f>
        <v>4.6696832579185527E-2</v>
      </c>
      <c r="H12" s="207">
        <f>(H11/$I$11)*H3</f>
        <v>2.3710407239819006E-4</v>
      </c>
      <c r="I12" s="208">
        <f t="shared" si="0"/>
        <v>0.26225067873303165</v>
      </c>
      <c r="K12" s="298"/>
      <c r="L12" s="395"/>
      <c r="M12" s="206" t="s">
        <v>55</v>
      </c>
      <c r="N12" s="207">
        <f>(N11/$S$11)*N3</f>
        <v>3.0612244897959186E-3</v>
      </c>
      <c r="O12" s="207">
        <f>(O11/$S$11)*O3</f>
        <v>7.5836734693877556E-2</v>
      </c>
      <c r="P12" s="207">
        <f>(P11/$S$11)*P3</f>
        <v>0.14093877551020409</v>
      </c>
      <c r="Q12" s="207">
        <f>(Q11/$S$11)*Q3</f>
        <v>4.7836734693877558E-2</v>
      </c>
      <c r="R12" s="207">
        <f>(R11/$S$11)*R3</f>
        <v>4.2775510204081638E-4</v>
      </c>
      <c r="S12" s="208">
        <f t="shared" si="1"/>
        <v>0.2681012244897959</v>
      </c>
    </row>
    <row r="13" spans="1:19" ht="15" customHeight="1">
      <c r="A13" s="298"/>
      <c r="B13" s="392" t="s">
        <v>4</v>
      </c>
      <c r="C13" s="199" t="s">
        <v>24</v>
      </c>
      <c r="D13" s="200">
        <v>375</v>
      </c>
      <c r="E13" s="200">
        <v>14471</v>
      </c>
      <c r="F13" s="200">
        <v>32838</v>
      </c>
      <c r="G13" s="200">
        <v>12004</v>
      </c>
      <c r="H13" s="200">
        <v>615</v>
      </c>
      <c r="I13" s="201">
        <f t="shared" si="0"/>
        <v>60303</v>
      </c>
      <c r="K13" s="298"/>
      <c r="L13" s="392" t="s">
        <v>4</v>
      </c>
      <c r="M13" s="199" t="s">
        <v>24</v>
      </c>
      <c r="N13" s="200">
        <v>237</v>
      </c>
      <c r="O13" s="200">
        <v>11410</v>
      </c>
      <c r="P13" s="200">
        <v>28446</v>
      </c>
      <c r="Q13" s="200">
        <v>10985</v>
      </c>
      <c r="R13" s="200">
        <v>652</v>
      </c>
      <c r="S13" s="201">
        <f t="shared" si="1"/>
        <v>51730</v>
      </c>
    </row>
    <row r="14" spans="1:19" s="205" customFormat="1" ht="16" customHeight="1" thickBot="1">
      <c r="A14" s="300"/>
      <c r="B14" s="393"/>
      <c r="C14" s="211" t="s">
        <v>55</v>
      </c>
      <c r="D14" s="212">
        <f>(D13/$I$13)*D3</f>
        <v>6.2185960897467786E-4</v>
      </c>
      <c r="E14" s="212">
        <f>(E13/$I$13)*E3</f>
        <v>4.7994295474520339E-2</v>
      </c>
      <c r="F14" s="212">
        <f>(F13/$I$13)*F3</f>
        <v>0.16336500671608378</v>
      </c>
      <c r="G14" s="212">
        <f>(G13/$I$13)*G3</f>
        <v>7.962456262540836E-2</v>
      </c>
      <c r="H14" s="212">
        <f>(H13/$I$13)*H3</f>
        <v>5.3440127356847913E-3</v>
      </c>
      <c r="I14" s="213">
        <f t="shared" si="0"/>
        <v>0.29694973716067197</v>
      </c>
      <c r="K14" s="300"/>
      <c r="L14" s="393"/>
      <c r="M14" s="211" t="s">
        <v>55</v>
      </c>
      <c r="N14" s="212">
        <f>(N13/$S$13)*N3</f>
        <v>4.5814807655132422E-4</v>
      </c>
      <c r="O14" s="212">
        <f>(O13/$S$13)*O3</f>
        <v>4.4113667117726657E-2</v>
      </c>
      <c r="P14" s="212">
        <f>(P13/$S$13)*P3</f>
        <v>0.16496810361492364</v>
      </c>
      <c r="Q14" s="212">
        <f>(Q13/$S$13)*Q3</f>
        <v>8.494104001546493E-2</v>
      </c>
      <c r="R14" s="212">
        <f>(R13/$S$13)*R3</f>
        <v>6.6044461627682198E-3</v>
      </c>
      <c r="S14" s="213">
        <f t="shared" si="1"/>
        <v>0.3010854049874348</v>
      </c>
    </row>
    <row r="15" spans="1:19" ht="16" thickBot="1"/>
    <row r="16" spans="1:19" ht="15" customHeight="1">
      <c r="A16" s="305" t="s">
        <v>14</v>
      </c>
      <c r="B16" s="193"/>
      <c r="C16" s="193"/>
      <c r="D16" s="193" t="s">
        <v>51</v>
      </c>
      <c r="E16" s="193"/>
      <c r="F16" s="193"/>
      <c r="G16" s="193"/>
      <c r="H16" s="193" t="s">
        <v>52</v>
      </c>
      <c r="I16" s="194"/>
      <c r="K16" s="305" t="s">
        <v>22</v>
      </c>
      <c r="L16" s="193"/>
      <c r="M16" s="193"/>
      <c r="N16" s="193" t="s">
        <v>51</v>
      </c>
      <c r="O16" s="193"/>
      <c r="P16" s="193"/>
      <c r="Q16" s="193"/>
      <c r="R16" s="193" t="s">
        <v>52</v>
      </c>
      <c r="S16" s="194"/>
    </row>
    <row r="17" spans="1:19" ht="15" customHeight="1">
      <c r="A17" s="298"/>
      <c r="B17" s="390" t="s">
        <v>49</v>
      </c>
      <c r="C17" s="195" t="s">
        <v>54</v>
      </c>
      <c r="D17" s="195">
        <v>0.1</v>
      </c>
      <c r="E17" s="195">
        <v>0.2</v>
      </c>
      <c r="F17" s="195">
        <v>0.3</v>
      </c>
      <c r="G17" s="195">
        <v>0.4</v>
      </c>
      <c r="H17" s="195">
        <v>0.52400000000000002</v>
      </c>
      <c r="I17" s="197"/>
      <c r="K17" s="298"/>
      <c r="L17" s="390" t="s">
        <v>49</v>
      </c>
      <c r="M17" s="195" t="s">
        <v>54</v>
      </c>
      <c r="N17" s="195">
        <v>0.1</v>
      </c>
      <c r="O17" s="195">
        <v>0.2</v>
      </c>
      <c r="P17" s="195">
        <v>0.3</v>
      </c>
      <c r="Q17" s="195">
        <v>0.4</v>
      </c>
      <c r="R17" s="195">
        <v>0.52400000000000002</v>
      </c>
      <c r="S17" s="197"/>
    </row>
    <row r="18" spans="1:19" ht="15" customHeight="1">
      <c r="A18" s="298"/>
      <c r="B18" s="391"/>
      <c r="C18" s="198" t="s">
        <v>53</v>
      </c>
      <c r="D18" s="198" t="s">
        <v>30</v>
      </c>
      <c r="E18" s="198" t="s">
        <v>31</v>
      </c>
      <c r="F18" s="198" t="s">
        <v>32</v>
      </c>
      <c r="G18" s="198" t="s">
        <v>33</v>
      </c>
      <c r="H18" s="198" t="s">
        <v>34</v>
      </c>
      <c r="I18" s="196" t="s">
        <v>39</v>
      </c>
      <c r="K18" s="298"/>
      <c r="L18" s="391"/>
      <c r="M18" s="198" t="s">
        <v>53</v>
      </c>
      <c r="N18" s="214" t="s">
        <v>30</v>
      </c>
      <c r="O18" s="214" t="s">
        <v>31</v>
      </c>
      <c r="P18" s="214" t="s">
        <v>32</v>
      </c>
      <c r="Q18" s="214" t="s">
        <v>33</v>
      </c>
      <c r="R18" s="214" t="s">
        <v>34</v>
      </c>
      <c r="S18" s="196" t="s">
        <v>39</v>
      </c>
    </row>
    <row r="19" spans="1:19" ht="15" customHeight="1">
      <c r="A19" s="298"/>
      <c r="B19" s="392" t="s">
        <v>8</v>
      </c>
      <c r="C19" s="199" t="s">
        <v>24</v>
      </c>
      <c r="D19" s="200">
        <v>8</v>
      </c>
      <c r="E19" s="200">
        <v>114</v>
      </c>
      <c r="F19" s="200">
        <v>277</v>
      </c>
      <c r="G19" s="200">
        <v>120</v>
      </c>
      <c r="H19" s="200">
        <v>0</v>
      </c>
      <c r="I19" s="201">
        <f t="shared" ref="I19:I28" si="2">SUM(D19:H19)</f>
        <v>519</v>
      </c>
      <c r="K19" s="298"/>
      <c r="L19" s="392" t="s">
        <v>8</v>
      </c>
      <c r="M19" s="199" t="s">
        <v>24</v>
      </c>
      <c r="N19" s="200">
        <v>10</v>
      </c>
      <c r="O19" s="200">
        <v>123</v>
      </c>
      <c r="P19" s="200">
        <v>227</v>
      </c>
      <c r="Q19" s="200">
        <v>100</v>
      </c>
      <c r="R19" s="200">
        <v>0</v>
      </c>
      <c r="S19" s="201">
        <f t="shared" ref="S19:S28" si="3">SUM(N19:R19)</f>
        <v>460</v>
      </c>
    </row>
    <row r="20" spans="1:19" ht="15" customHeight="1">
      <c r="A20" s="298"/>
      <c r="B20" s="394"/>
      <c r="C20" s="202" t="s">
        <v>55</v>
      </c>
      <c r="D20" s="203">
        <f>(D19/$I$19)*D17</f>
        <v>1.5414258188824663E-3</v>
      </c>
      <c r="E20" s="203">
        <f>(E19/$I$19)*E17</f>
        <v>4.3930635838150295E-2</v>
      </c>
      <c r="F20" s="203">
        <f>(F19/$I$19)*F17</f>
        <v>0.16011560693641616</v>
      </c>
      <c r="G20" s="203">
        <f>(G19/$I$19)*G17</f>
        <v>9.2485549132947986E-2</v>
      </c>
      <c r="H20" s="203">
        <f>(H19/$I$19)*H17</f>
        <v>0</v>
      </c>
      <c r="I20" s="204">
        <f t="shared" si="2"/>
        <v>0.29807321772639694</v>
      </c>
      <c r="J20" s="205"/>
      <c r="K20" s="298"/>
      <c r="L20" s="394"/>
      <c r="M20" s="202" t="s">
        <v>55</v>
      </c>
      <c r="N20" s="203">
        <f>(N19/$S$19)*N17</f>
        <v>2.1739130434782609E-3</v>
      </c>
      <c r="O20" s="203">
        <f>(O19/$S$19)*O17</f>
        <v>5.3478260869565225E-2</v>
      </c>
      <c r="P20" s="203">
        <f>(P19/$S$19)*P17</f>
        <v>0.14804347826086955</v>
      </c>
      <c r="Q20" s="203">
        <f>(Q19/$S$19)*Q17</f>
        <v>8.6956521739130432E-2</v>
      </c>
      <c r="R20" s="203">
        <f>(R19/$S$19)*R17</f>
        <v>0</v>
      </c>
      <c r="S20" s="204">
        <f t="shared" si="3"/>
        <v>0.29065217391304349</v>
      </c>
    </row>
    <row r="21" spans="1:19" ht="15" customHeight="1">
      <c r="A21" s="298"/>
      <c r="B21" s="392" t="s">
        <v>7</v>
      </c>
      <c r="C21" s="199" t="s">
        <v>24</v>
      </c>
      <c r="D21" s="200">
        <v>27</v>
      </c>
      <c r="E21" s="200">
        <v>442</v>
      </c>
      <c r="F21" s="200">
        <v>937</v>
      </c>
      <c r="G21" s="200">
        <v>393</v>
      </c>
      <c r="H21" s="200">
        <v>3</v>
      </c>
      <c r="I21" s="201">
        <f t="shared" si="2"/>
        <v>1802</v>
      </c>
      <c r="K21" s="298"/>
      <c r="L21" s="392" t="s">
        <v>7</v>
      </c>
      <c r="M21" s="199" t="s">
        <v>24</v>
      </c>
      <c r="N21" s="200">
        <v>12</v>
      </c>
      <c r="O21" s="200">
        <v>252</v>
      </c>
      <c r="P21" s="200">
        <v>586</v>
      </c>
      <c r="Q21" s="200">
        <v>241</v>
      </c>
      <c r="R21" s="200">
        <v>2</v>
      </c>
      <c r="S21" s="201">
        <f t="shared" si="3"/>
        <v>1093</v>
      </c>
    </row>
    <row r="22" spans="1:19" ht="15" customHeight="1">
      <c r="A22" s="298"/>
      <c r="B22" s="395"/>
      <c r="C22" s="206" t="s">
        <v>55</v>
      </c>
      <c r="D22" s="207">
        <v>1.494384583633664E-3</v>
      </c>
      <c r="E22" s="207">
        <v>4.8971852070896563E-2</v>
      </c>
      <c r="F22" s="207">
        <v>0.15601290036409335</v>
      </c>
      <c r="G22" s="207">
        <v>8.7392019516883218E-2</v>
      </c>
      <c r="H22" s="207">
        <v>8.7709415294385824E-4</v>
      </c>
      <c r="I22" s="208">
        <f t="shared" si="2"/>
        <v>0.29474825068845062</v>
      </c>
      <c r="J22" s="205"/>
      <c r="K22" s="298"/>
      <c r="L22" s="395"/>
      <c r="M22" s="206" t="s">
        <v>55</v>
      </c>
      <c r="N22" s="207">
        <f>(N21/$S$21)*N17</f>
        <v>1.0978956999085087E-3</v>
      </c>
      <c r="O22" s="207">
        <f>(O21/$S$21)*O17</f>
        <v>4.611161939615737E-2</v>
      </c>
      <c r="P22" s="207">
        <f>(P21/$S$21)*P17</f>
        <v>0.16084172003659652</v>
      </c>
      <c r="Q22" s="207">
        <f>(Q21/$S$21)*Q17</f>
        <v>8.8197621225983541E-2</v>
      </c>
      <c r="R22" s="207">
        <f>(R21/$S$21)*R17</f>
        <v>9.5882891125343101E-4</v>
      </c>
      <c r="S22" s="208">
        <f t="shared" si="3"/>
        <v>0.29720768526989938</v>
      </c>
    </row>
    <row r="23" spans="1:19" ht="15" customHeight="1">
      <c r="A23" s="298"/>
      <c r="B23" s="394" t="s">
        <v>6</v>
      </c>
      <c r="C23" s="198" t="s">
        <v>24</v>
      </c>
      <c r="D23" s="209">
        <v>141</v>
      </c>
      <c r="E23" s="209">
        <v>1224</v>
      </c>
      <c r="F23" s="209">
        <v>1129</v>
      </c>
      <c r="G23" s="209">
        <v>253</v>
      </c>
      <c r="H23" s="209">
        <v>1</v>
      </c>
      <c r="I23" s="210">
        <f t="shared" si="2"/>
        <v>2748</v>
      </c>
      <c r="K23" s="298"/>
      <c r="L23" s="394" t="s">
        <v>6</v>
      </c>
      <c r="M23" s="198" t="s">
        <v>24</v>
      </c>
      <c r="N23" s="209">
        <v>53</v>
      </c>
      <c r="O23" s="209">
        <v>588</v>
      </c>
      <c r="P23" s="209">
        <v>594</v>
      </c>
      <c r="Q23" s="209">
        <v>196</v>
      </c>
      <c r="R23" s="209">
        <v>0</v>
      </c>
      <c r="S23" s="210">
        <f t="shared" si="3"/>
        <v>1431</v>
      </c>
    </row>
    <row r="24" spans="1:19" ht="15" customHeight="1">
      <c r="A24" s="298"/>
      <c r="B24" s="394"/>
      <c r="C24" s="202" t="s">
        <v>55</v>
      </c>
      <c r="D24" s="203">
        <f>(D23/$I$23)*D17</f>
        <v>5.1310043668122279E-3</v>
      </c>
      <c r="E24" s="203">
        <f>(E23/$I$23)*E17</f>
        <v>8.9082969432314418E-2</v>
      </c>
      <c r="F24" s="203">
        <f>(F23/$I$23)*F17</f>
        <v>0.12325327510917031</v>
      </c>
      <c r="G24" s="203">
        <f>(G23/$I$23)*G17</f>
        <v>3.6826783114992725E-2</v>
      </c>
      <c r="H24" s="203">
        <f>(H23/$I$23)*H17</f>
        <v>1.9068413391557499E-4</v>
      </c>
      <c r="I24" s="204">
        <f t="shared" si="2"/>
        <v>0.25448471615720525</v>
      </c>
      <c r="J24" s="205"/>
      <c r="K24" s="298"/>
      <c r="L24" s="394"/>
      <c r="M24" s="202" t="s">
        <v>55</v>
      </c>
      <c r="N24" s="203">
        <f>(N23/$S$23)*N17</f>
        <v>3.7037037037037038E-3</v>
      </c>
      <c r="O24" s="203">
        <f>(O23/$S$23)*O17</f>
        <v>8.2180293501048218E-2</v>
      </c>
      <c r="P24" s="203">
        <f>(P23/$S$23)*P17</f>
        <v>0.12452830188679245</v>
      </c>
      <c r="Q24" s="203">
        <f>(Q23/$S$23)*Q17</f>
        <v>5.4786862334032155E-2</v>
      </c>
      <c r="R24" s="203">
        <f>(R23/$S$23)*R17</f>
        <v>0</v>
      </c>
      <c r="S24" s="204">
        <f t="shared" si="3"/>
        <v>0.26519916142557654</v>
      </c>
    </row>
    <row r="25" spans="1:19" ht="15" customHeight="1">
      <c r="A25" s="298"/>
      <c r="B25" s="392" t="s">
        <v>5</v>
      </c>
      <c r="C25" s="199" t="s">
        <v>24</v>
      </c>
      <c r="D25" s="200">
        <v>397</v>
      </c>
      <c r="E25" s="200">
        <v>4092</v>
      </c>
      <c r="F25" s="200">
        <v>4775</v>
      </c>
      <c r="G25" s="200">
        <v>1283</v>
      </c>
      <c r="H25" s="200">
        <v>8</v>
      </c>
      <c r="I25" s="201">
        <f t="shared" si="2"/>
        <v>10555</v>
      </c>
      <c r="K25" s="298"/>
      <c r="L25" s="392" t="s">
        <v>5</v>
      </c>
      <c r="M25" s="199" t="s">
        <v>24</v>
      </c>
      <c r="N25" s="200">
        <v>7</v>
      </c>
      <c r="O25" s="200">
        <v>134</v>
      </c>
      <c r="P25" s="200">
        <v>235</v>
      </c>
      <c r="Q25" s="200">
        <v>87</v>
      </c>
      <c r="R25" s="200">
        <v>0</v>
      </c>
      <c r="S25" s="201">
        <f t="shared" si="3"/>
        <v>463</v>
      </c>
    </row>
    <row r="26" spans="1:19" ht="15" customHeight="1">
      <c r="A26" s="298"/>
      <c r="B26" s="395"/>
      <c r="C26" s="206" t="s">
        <v>55</v>
      </c>
      <c r="D26" s="207">
        <f>(D25/$I$25)*D17</f>
        <v>3.7612505921364283E-3</v>
      </c>
      <c r="E26" s="207">
        <f>(E25/$I$25)*E17</f>
        <v>7.7536712458550455E-2</v>
      </c>
      <c r="F26" s="207">
        <f>(F25/$I$25)*F17</f>
        <v>0.13571766935101848</v>
      </c>
      <c r="G26" s="207">
        <f>(G25/$I$25)*G17</f>
        <v>4.8621506395073427E-2</v>
      </c>
      <c r="H26" s="207">
        <f>(H25/$I$25)*H17</f>
        <v>3.9715774514448131E-4</v>
      </c>
      <c r="I26" s="208">
        <f t="shared" si="2"/>
        <v>0.26603429654192323</v>
      </c>
      <c r="J26" s="205"/>
      <c r="K26" s="298"/>
      <c r="L26" s="395"/>
      <c r="M26" s="206" t="s">
        <v>55</v>
      </c>
      <c r="N26" s="207">
        <f>(N25/$S$25)*N17</f>
        <v>1.5118790496760261E-3</v>
      </c>
      <c r="O26" s="207">
        <f>(O25/$S$25)*O17</f>
        <v>5.7883369330453564E-2</v>
      </c>
      <c r="P26" s="207">
        <f>(P25/$S$25)*P17</f>
        <v>0.15226781857451402</v>
      </c>
      <c r="Q26" s="207">
        <f>(Q25/$S$25)*Q17</f>
        <v>7.5161987041036715E-2</v>
      </c>
      <c r="R26" s="207">
        <f>(R25/$S$25)*R17</f>
        <v>0</v>
      </c>
      <c r="S26" s="208">
        <f t="shared" si="3"/>
        <v>0.28682505399568031</v>
      </c>
    </row>
    <row r="27" spans="1:19" ht="15" customHeight="1">
      <c r="A27" s="298"/>
      <c r="B27" s="392" t="s">
        <v>4</v>
      </c>
      <c r="C27" s="199" t="s">
        <v>24</v>
      </c>
      <c r="D27" s="200">
        <v>584</v>
      </c>
      <c r="E27" s="200">
        <v>24392</v>
      </c>
      <c r="F27" s="200">
        <v>52122</v>
      </c>
      <c r="G27" s="200">
        <v>20050</v>
      </c>
      <c r="H27" s="200">
        <v>1229</v>
      </c>
      <c r="I27" s="201">
        <f t="shared" si="2"/>
        <v>98377</v>
      </c>
      <c r="K27" s="298"/>
      <c r="L27" s="392" t="s">
        <v>4</v>
      </c>
      <c r="M27" s="199" t="s">
        <v>24</v>
      </c>
      <c r="N27" s="200">
        <v>319</v>
      </c>
      <c r="O27" s="200">
        <v>12871</v>
      </c>
      <c r="P27" s="200">
        <v>29215</v>
      </c>
      <c r="Q27" s="200">
        <v>11255</v>
      </c>
      <c r="R27" s="200">
        <v>625</v>
      </c>
      <c r="S27" s="201">
        <f t="shared" si="3"/>
        <v>54285</v>
      </c>
    </row>
    <row r="28" spans="1:19" ht="16" customHeight="1" thickBot="1">
      <c r="A28" s="300"/>
      <c r="B28" s="393"/>
      <c r="C28" s="211" t="s">
        <v>55</v>
      </c>
      <c r="D28" s="212">
        <f>(D27/$I$27)*D17</f>
        <v>5.9363469103550627E-4</v>
      </c>
      <c r="E28" s="212">
        <f>(E27/$I$27)*E17</f>
        <v>4.9588826656637226E-2</v>
      </c>
      <c r="F28" s="212">
        <f>(F27/$I$27)*F17</f>
        <v>0.1589456885247568</v>
      </c>
      <c r="G28" s="212">
        <f>(G27/$I$27)*G17</f>
        <v>8.1523120241519864E-2</v>
      </c>
      <c r="H28" s="212">
        <f>(H27/$I$27)*H17</f>
        <v>6.5462049056181837E-3</v>
      </c>
      <c r="I28" s="213">
        <f t="shared" si="2"/>
        <v>0.29719747501956761</v>
      </c>
      <c r="J28" s="205"/>
      <c r="K28" s="300"/>
      <c r="L28" s="393"/>
      <c r="M28" s="211" t="s">
        <v>55</v>
      </c>
      <c r="N28" s="212">
        <f>(N27/$S$27)*N17</f>
        <v>5.8763931104356638E-4</v>
      </c>
      <c r="O28" s="212">
        <f>(O27/$S$27)*O17</f>
        <v>4.7420097632863589E-2</v>
      </c>
      <c r="P28" s="212">
        <f>(P27/$S$27)*P17</f>
        <v>0.16145344017684443</v>
      </c>
      <c r="Q28" s="212">
        <f>(Q27/$S$27)*Q17</f>
        <v>8.2932670166712727E-2</v>
      </c>
      <c r="R28" s="212">
        <f>(R27/$S$27)*R17</f>
        <v>6.0329741180805019E-3</v>
      </c>
      <c r="S28" s="213">
        <f t="shared" si="3"/>
        <v>0.29842682140554483</v>
      </c>
    </row>
  </sheetData>
  <mergeCells count="28">
    <mergeCell ref="B17:B18"/>
    <mergeCell ref="L17:L18"/>
    <mergeCell ref="L19:L20"/>
    <mergeCell ref="L21:L22"/>
    <mergeCell ref="L23:L24"/>
    <mergeCell ref="L25:L26"/>
    <mergeCell ref="L27:L28"/>
    <mergeCell ref="A2:A14"/>
    <mergeCell ref="A16:A28"/>
    <mergeCell ref="K16:K28"/>
    <mergeCell ref="K2:K14"/>
    <mergeCell ref="L3:L4"/>
    <mergeCell ref="B19:B20"/>
    <mergeCell ref="B21:B22"/>
    <mergeCell ref="B23:B24"/>
    <mergeCell ref="B25:B26"/>
    <mergeCell ref="B27:B28"/>
    <mergeCell ref="L5:L6"/>
    <mergeCell ref="L7:L8"/>
    <mergeCell ref="L9:L10"/>
    <mergeCell ref="L11:L12"/>
    <mergeCell ref="B3:B4"/>
    <mergeCell ref="L13:L14"/>
    <mergeCell ref="B5:B6"/>
    <mergeCell ref="B7:B8"/>
    <mergeCell ref="B9:B10"/>
    <mergeCell ref="B11:B12"/>
    <mergeCell ref="B13:B14"/>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898E8D-78D3-9740-B0EC-FA20DFD93E25}">
  <dimension ref="A1:AA151"/>
  <sheetViews>
    <sheetView zoomScale="61" workbookViewId="0"/>
  </sheetViews>
  <sheetFormatPr baseColWidth="10" defaultRowHeight="15"/>
  <cols>
    <col min="1" max="1" width="18.33203125" style="3" bestFit="1" customWidth="1"/>
    <col min="2" max="2" width="12.6640625" style="4" bestFit="1" customWidth="1"/>
    <col min="3" max="3" width="17.6640625" style="3" bestFit="1" customWidth="1"/>
    <col min="4" max="4" width="12.6640625" style="4" bestFit="1" customWidth="1"/>
    <col min="5" max="5" width="14.33203125" style="4" bestFit="1" customWidth="1"/>
    <col min="6" max="7" width="12.6640625" style="4" bestFit="1" customWidth="1"/>
    <col min="8" max="8" width="17.6640625" style="3" bestFit="1" customWidth="1"/>
    <col min="9" max="9" width="17.6640625" style="4" bestFit="1" customWidth="1"/>
    <col min="10" max="10" width="19.5" style="3" bestFit="1" customWidth="1"/>
    <col min="11" max="11" width="14.33203125" style="4" bestFit="1" customWidth="1"/>
    <col min="12" max="12" width="18.33203125" style="4" bestFit="1" customWidth="1"/>
    <col min="13" max="16" width="10.83203125" style="4"/>
    <col min="17" max="17" width="14.33203125" style="4" bestFit="1" customWidth="1"/>
    <col min="18" max="16384" width="10.83203125" style="4"/>
  </cols>
  <sheetData>
    <row r="1" spans="1:24" ht="16" thickBot="1"/>
    <row r="2" spans="1:24" ht="19">
      <c r="A2" s="399" t="s">
        <v>38</v>
      </c>
      <c r="B2" s="400"/>
      <c r="C2" s="400"/>
      <c r="D2" s="400"/>
      <c r="E2" s="400"/>
      <c r="F2" s="400"/>
      <c r="G2" s="400"/>
      <c r="H2" s="400"/>
      <c r="I2" s="400"/>
      <c r="J2" s="400"/>
      <c r="K2" s="400"/>
      <c r="L2" s="400"/>
      <c r="M2" s="400"/>
      <c r="N2" s="400"/>
      <c r="O2" s="400"/>
      <c r="P2" s="400"/>
      <c r="Q2" s="400"/>
      <c r="R2" s="400"/>
      <c r="S2" s="400"/>
      <c r="T2" s="400"/>
      <c r="U2" s="400"/>
      <c r="V2" s="400"/>
      <c r="W2" s="400"/>
      <c r="X2" s="401"/>
    </row>
    <row r="3" spans="1:24">
      <c r="A3" s="185" t="s">
        <v>69</v>
      </c>
      <c r="B3" s="124" t="s">
        <v>107</v>
      </c>
      <c r="C3" s="124"/>
      <c r="D3" s="125" t="s">
        <v>8</v>
      </c>
      <c r="E3" s="126" t="s">
        <v>7</v>
      </c>
      <c r="F3" s="125" t="s">
        <v>6</v>
      </c>
      <c r="G3" s="126" t="s">
        <v>5</v>
      </c>
      <c r="H3" s="127"/>
      <c r="I3" s="125" t="s">
        <v>4</v>
      </c>
      <c r="J3" s="124"/>
      <c r="K3" s="125" t="s">
        <v>35</v>
      </c>
      <c r="L3" s="128"/>
      <c r="M3" s="128"/>
      <c r="N3" s="128"/>
      <c r="O3" s="128"/>
      <c r="P3" s="187"/>
      <c r="Q3" s="187"/>
      <c r="R3" s="187"/>
      <c r="S3" s="187"/>
      <c r="T3" s="187"/>
      <c r="U3" s="187"/>
      <c r="V3" s="187"/>
      <c r="W3" s="187"/>
      <c r="X3" s="189"/>
    </row>
    <row r="4" spans="1:24">
      <c r="A4" s="129" t="s">
        <v>68</v>
      </c>
      <c r="B4" s="124" t="s">
        <v>66</v>
      </c>
      <c r="C4" s="127" t="s">
        <v>68</v>
      </c>
      <c r="D4" s="124" t="s">
        <v>66</v>
      </c>
      <c r="E4" s="124" t="s">
        <v>66</v>
      </c>
      <c r="F4" s="124" t="s">
        <v>66</v>
      </c>
      <c r="G4" s="124" t="s">
        <v>66</v>
      </c>
      <c r="H4" s="127" t="s">
        <v>68</v>
      </c>
      <c r="I4" s="124" t="s">
        <v>66</v>
      </c>
      <c r="J4" s="127" t="s">
        <v>68</v>
      </c>
      <c r="K4" s="124" t="s">
        <v>66</v>
      </c>
      <c r="L4" s="187"/>
      <c r="M4" s="187"/>
      <c r="N4" s="187"/>
      <c r="O4" s="187"/>
      <c r="P4" s="187"/>
      <c r="Q4" s="187"/>
      <c r="R4" s="187"/>
      <c r="S4" s="187"/>
      <c r="T4" s="187"/>
      <c r="U4" s="187"/>
      <c r="V4" s="187"/>
      <c r="W4" s="187"/>
      <c r="X4" s="189"/>
    </row>
    <row r="5" spans="1:24">
      <c r="A5" s="129">
        <v>0.5</v>
      </c>
      <c r="B5" s="130">
        <v>0</v>
      </c>
      <c r="C5" s="127">
        <v>2.5</v>
      </c>
      <c r="D5" s="131">
        <v>0</v>
      </c>
      <c r="E5" s="131">
        <v>0</v>
      </c>
      <c r="F5" s="131">
        <v>0</v>
      </c>
      <c r="G5" s="131">
        <v>0</v>
      </c>
      <c r="H5" s="124">
        <v>0.5</v>
      </c>
      <c r="I5" s="131">
        <v>0</v>
      </c>
      <c r="J5" s="124">
        <v>0.5</v>
      </c>
      <c r="K5" s="132">
        <v>0</v>
      </c>
      <c r="L5" s="187"/>
      <c r="M5" s="187"/>
      <c r="N5" s="187"/>
      <c r="O5" s="187"/>
      <c r="P5" s="187"/>
      <c r="Q5" s="187"/>
      <c r="R5" s="187"/>
      <c r="S5" s="187"/>
      <c r="T5" s="187"/>
      <c r="U5" s="187"/>
      <c r="V5" s="187"/>
      <c r="W5" s="187"/>
      <c r="X5" s="189"/>
    </row>
    <row r="6" spans="1:24">
      <c r="A6" s="133">
        <v>2</v>
      </c>
      <c r="B6" s="130">
        <v>0</v>
      </c>
      <c r="C6" s="127">
        <v>7.5</v>
      </c>
      <c r="D6" s="131">
        <v>0</v>
      </c>
      <c r="E6" s="131">
        <v>0</v>
      </c>
      <c r="F6" s="131">
        <v>0</v>
      </c>
      <c r="G6" s="131">
        <v>2.3485882195548782E-2</v>
      </c>
      <c r="H6" s="124">
        <v>2</v>
      </c>
      <c r="I6" s="131">
        <v>0</v>
      </c>
      <c r="J6" s="124">
        <v>2</v>
      </c>
      <c r="K6" s="132">
        <v>5.6527458510909519E-2</v>
      </c>
      <c r="L6" s="187"/>
      <c r="M6" s="187"/>
      <c r="N6" s="187"/>
      <c r="O6" s="187"/>
      <c r="P6" s="187"/>
      <c r="Q6" s="187"/>
      <c r="R6" s="187"/>
      <c r="S6" s="187"/>
      <c r="T6" s="187"/>
      <c r="U6" s="187"/>
      <c r="V6" s="187"/>
      <c r="W6" s="187"/>
      <c r="X6" s="189"/>
    </row>
    <row r="7" spans="1:24">
      <c r="A7" s="129">
        <v>4</v>
      </c>
      <c r="B7" s="130">
        <v>0</v>
      </c>
      <c r="C7" s="127">
        <v>17.5</v>
      </c>
      <c r="D7" s="131">
        <v>2.8609094007148769E-2</v>
      </c>
      <c r="E7" s="131">
        <v>0.12457109034393403</v>
      </c>
      <c r="F7" s="131">
        <v>0.10641945672554876</v>
      </c>
      <c r="G7" s="131">
        <v>0.13288740371772512</v>
      </c>
      <c r="H7" s="124">
        <v>4</v>
      </c>
      <c r="I7" s="131">
        <v>0</v>
      </c>
      <c r="J7" s="124">
        <v>4</v>
      </c>
      <c r="K7" s="132">
        <v>0.10609376337618179</v>
      </c>
      <c r="L7" s="187"/>
      <c r="M7" s="187"/>
      <c r="N7" s="187"/>
      <c r="O7" s="187"/>
      <c r="P7" s="187"/>
      <c r="Q7" s="187"/>
      <c r="R7" s="187"/>
      <c r="S7" s="187"/>
      <c r="T7" s="187"/>
      <c r="U7" s="187"/>
      <c r="V7" s="187"/>
      <c r="W7" s="187"/>
      <c r="X7" s="189"/>
    </row>
    <row r="8" spans="1:24">
      <c r="A8" s="133">
        <v>6</v>
      </c>
      <c r="B8" s="130">
        <v>9.1626120974974933E-3</v>
      </c>
      <c r="C8" s="127">
        <v>37.5</v>
      </c>
      <c r="D8" s="131">
        <v>9.0347870754196785E-2</v>
      </c>
      <c r="E8" s="131">
        <v>0.29240891878457365</v>
      </c>
      <c r="F8" s="131">
        <v>0.29940111868510938</v>
      </c>
      <c r="G8" s="131">
        <v>0.33910104166020821</v>
      </c>
      <c r="H8" s="124">
        <v>6</v>
      </c>
      <c r="I8" s="131">
        <v>6.6488147488703672E-2</v>
      </c>
      <c r="J8" s="124">
        <v>6</v>
      </c>
      <c r="K8" s="132">
        <v>0.21254959689710209</v>
      </c>
      <c r="L8" s="187"/>
      <c r="M8" s="187"/>
      <c r="N8" s="187"/>
      <c r="O8" s="187"/>
      <c r="P8" s="187"/>
      <c r="Q8" s="187"/>
      <c r="R8" s="187"/>
      <c r="S8" s="187"/>
      <c r="T8" s="187"/>
      <c r="U8" s="187"/>
      <c r="V8" s="187"/>
      <c r="W8" s="187"/>
      <c r="X8" s="189"/>
    </row>
    <row r="9" spans="1:24">
      <c r="A9" s="185">
        <v>8.5</v>
      </c>
      <c r="B9" s="132">
        <v>1.8260673155877507E-2</v>
      </c>
      <c r="C9" s="127">
        <v>62.5</v>
      </c>
      <c r="D9" s="131">
        <v>0.18708884215292626</v>
      </c>
      <c r="E9" s="131">
        <v>0.47934945651562549</v>
      </c>
      <c r="F9" s="131">
        <v>0.4830003813228802</v>
      </c>
      <c r="G9" s="131">
        <v>0.4750405753983904</v>
      </c>
      <c r="H9" s="124">
        <v>8.5</v>
      </c>
      <c r="I9" s="131">
        <v>0.11849953149795216</v>
      </c>
      <c r="J9" s="124">
        <v>8.5</v>
      </c>
      <c r="K9" s="132">
        <v>0.33955394385864079</v>
      </c>
      <c r="L9" s="187"/>
      <c r="M9" s="187"/>
      <c r="N9" s="187"/>
      <c r="O9" s="187"/>
      <c r="P9" s="187"/>
      <c r="Q9" s="187"/>
      <c r="R9" s="187"/>
      <c r="S9" s="187"/>
      <c r="T9" s="187"/>
      <c r="U9" s="187"/>
      <c r="V9" s="187"/>
      <c r="W9" s="187"/>
      <c r="X9" s="189"/>
    </row>
    <row r="10" spans="1:24">
      <c r="A10" s="185">
        <v>12.5</v>
      </c>
      <c r="B10" s="132">
        <v>4.5429290210092392E-2</v>
      </c>
      <c r="C10" s="127">
        <v>87.5</v>
      </c>
      <c r="D10" s="131">
        <v>0.3067825791287826</v>
      </c>
      <c r="E10" s="131">
        <v>0.61768201368113818</v>
      </c>
      <c r="F10" s="131">
        <v>0.58306665679563396</v>
      </c>
      <c r="G10" s="131">
        <v>0.58156692118698483</v>
      </c>
      <c r="H10" s="124">
        <v>12.5</v>
      </c>
      <c r="I10" s="131">
        <v>0.24478952244593177</v>
      </c>
      <c r="J10" s="124">
        <v>12.5</v>
      </c>
      <c r="K10" s="132">
        <v>0.50928847436914537</v>
      </c>
      <c r="L10" s="187"/>
      <c r="M10" s="187"/>
      <c r="N10" s="187"/>
      <c r="O10" s="187"/>
      <c r="P10" s="187"/>
      <c r="Q10" s="187"/>
      <c r="R10" s="187"/>
      <c r="S10" s="187"/>
      <c r="T10" s="187"/>
      <c r="U10" s="187"/>
      <c r="V10" s="187"/>
      <c r="W10" s="187"/>
      <c r="X10" s="189"/>
    </row>
    <row r="11" spans="1:24">
      <c r="A11" s="185">
        <v>17.5</v>
      </c>
      <c r="B11" s="132">
        <v>5.3207761045736726E-2</v>
      </c>
      <c r="C11" s="127">
        <v>112.5</v>
      </c>
      <c r="D11" s="131">
        <v>0.44985893587422493</v>
      </c>
      <c r="E11" s="131">
        <v>0.70618468184144689</v>
      </c>
      <c r="F11" s="131">
        <v>0.68624413441353971</v>
      </c>
      <c r="G11" s="131">
        <v>0.65757262456833254</v>
      </c>
      <c r="H11" s="124">
        <v>17.5</v>
      </c>
      <c r="I11" s="131">
        <v>0.35843464378972251</v>
      </c>
      <c r="J11" s="124">
        <v>17.5</v>
      </c>
      <c r="K11" s="132">
        <v>0.63522009068966767</v>
      </c>
      <c r="L11" s="187"/>
      <c r="M11" s="187"/>
      <c r="N11" s="187"/>
      <c r="O11" s="187"/>
      <c r="P11" s="187"/>
      <c r="Q11" s="187"/>
      <c r="R11" s="187"/>
      <c r="S11" s="187"/>
      <c r="T11" s="187"/>
      <c r="U11" s="187"/>
      <c r="V11" s="187"/>
      <c r="W11" s="187"/>
      <c r="X11" s="189"/>
    </row>
    <row r="12" spans="1:24">
      <c r="A12" s="185">
        <v>21</v>
      </c>
      <c r="B12" s="132">
        <v>6.4773221948359105E-2</v>
      </c>
      <c r="C12" s="127">
        <v>137.5</v>
      </c>
      <c r="D12" s="131">
        <v>0.58620284317184879</v>
      </c>
      <c r="E12" s="131">
        <v>0.77488737654533824</v>
      </c>
      <c r="F12" s="131">
        <v>0.71172242329963387</v>
      </c>
      <c r="G12" s="131">
        <v>0.74215951622235499</v>
      </c>
      <c r="H12" s="124">
        <v>22.5</v>
      </c>
      <c r="I12" s="131">
        <v>0.452112429256603</v>
      </c>
      <c r="J12" s="124">
        <v>22.5</v>
      </c>
      <c r="K12" s="132">
        <v>0.7228794577644615</v>
      </c>
      <c r="L12" s="187"/>
      <c r="M12" s="187"/>
      <c r="N12" s="187"/>
      <c r="O12" s="187"/>
      <c r="P12" s="187"/>
      <c r="Q12" s="187"/>
      <c r="R12" s="187"/>
      <c r="S12" s="187"/>
      <c r="T12" s="187"/>
      <c r="U12" s="187"/>
      <c r="V12" s="187"/>
      <c r="W12" s="187"/>
      <c r="X12" s="189"/>
    </row>
    <row r="13" spans="1:24">
      <c r="A13" s="185">
        <v>22.5</v>
      </c>
      <c r="B13" s="132">
        <v>0.15885387051059577</v>
      </c>
      <c r="C13" s="127">
        <v>162.5</v>
      </c>
      <c r="D13" s="131">
        <v>0.68702977240233842</v>
      </c>
      <c r="E13" s="131">
        <v>0.85950495199699595</v>
      </c>
      <c r="F13" s="131">
        <v>0.73016362872345897</v>
      </c>
      <c r="G13" s="131">
        <v>0.83369575560652809</v>
      </c>
      <c r="H13" s="124">
        <v>27.5</v>
      </c>
      <c r="I13" s="131">
        <v>0.53995155651324445</v>
      </c>
      <c r="J13" s="124">
        <v>27.5</v>
      </c>
      <c r="K13" s="132">
        <v>0.78851675620735173</v>
      </c>
      <c r="L13" s="187"/>
      <c r="M13" s="187"/>
      <c r="N13" s="187"/>
      <c r="O13" s="187"/>
      <c r="P13" s="187"/>
      <c r="Q13" s="187"/>
      <c r="R13" s="187"/>
      <c r="S13" s="187"/>
      <c r="T13" s="187"/>
      <c r="U13" s="187"/>
      <c r="V13" s="187"/>
      <c r="W13" s="187"/>
      <c r="X13" s="189"/>
    </row>
    <row r="14" spans="1:24">
      <c r="A14" s="185">
        <v>24</v>
      </c>
      <c r="B14" s="132">
        <v>0.16632008410797242</v>
      </c>
      <c r="C14" s="127">
        <v>187.5</v>
      </c>
      <c r="D14" s="131">
        <v>0.77398858378330992</v>
      </c>
      <c r="E14" s="131">
        <v>0.87822448796450336</v>
      </c>
      <c r="F14" s="131">
        <v>0.75582245630039069</v>
      </c>
      <c r="G14" s="131">
        <v>0.88170431687871431</v>
      </c>
      <c r="H14" s="124">
        <v>34</v>
      </c>
      <c r="I14" s="131">
        <v>0.65467601630155114</v>
      </c>
      <c r="J14" s="124">
        <v>34</v>
      </c>
      <c r="K14" s="132">
        <v>0.83887592294233404</v>
      </c>
      <c r="L14" s="187"/>
      <c r="M14" s="187"/>
      <c r="N14" s="187"/>
      <c r="O14" s="187"/>
      <c r="P14" s="187"/>
      <c r="Q14" s="187"/>
      <c r="R14" s="187"/>
      <c r="S14" s="187"/>
      <c r="T14" s="187"/>
      <c r="U14" s="187"/>
      <c r="V14" s="187"/>
      <c r="W14" s="187"/>
      <c r="X14" s="189"/>
    </row>
    <row r="15" spans="1:24">
      <c r="A15" s="185">
        <v>27.5</v>
      </c>
      <c r="B15" s="132">
        <v>0.19559501182430605</v>
      </c>
      <c r="C15" s="127">
        <v>212.5</v>
      </c>
      <c r="D15" s="131">
        <v>0.82133498284113993</v>
      </c>
      <c r="E15" s="131">
        <v>0.90086172286575494</v>
      </c>
      <c r="F15" s="131">
        <v>0.80455617649789513</v>
      </c>
      <c r="G15" s="131">
        <v>0.91682141241526971</v>
      </c>
      <c r="H15" s="124">
        <v>41.5</v>
      </c>
      <c r="I15" s="131">
        <v>0.73592904927301894</v>
      </c>
      <c r="J15" s="124">
        <v>41.5</v>
      </c>
      <c r="K15" s="132">
        <v>0.87480718143231539</v>
      </c>
      <c r="L15" s="187"/>
      <c r="M15" s="187"/>
      <c r="N15" s="187"/>
      <c r="O15" s="187"/>
      <c r="P15" s="187"/>
      <c r="Q15" s="187"/>
      <c r="R15" s="187"/>
      <c r="S15" s="187"/>
      <c r="T15" s="187"/>
      <c r="U15" s="187"/>
      <c r="V15" s="187"/>
      <c r="W15" s="187"/>
      <c r="X15" s="189"/>
    </row>
    <row r="16" spans="1:24">
      <c r="A16" s="185">
        <v>34</v>
      </c>
      <c r="B16" s="132">
        <v>0.256166834750578</v>
      </c>
      <c r="C16" s="127">
        <v>237.5</v>
      </c>
      <c r="D16" s="131">
        <v>0.84191308515930996</v>
      </c>
      <c r="E16" s="131">
        <v>0.91308792707714392</v>
      </c>
      <c r="F16" s="131">
        <v>0.88159464841092217</v>
      </c>
      <c r="G16" s="131">
        <v>0.93066645858224639</v>
      </c>
      <c r="H16" s="124">
        <v>49</v>
      </c>
      <c r="I16" s="131">
        <v>0.8107921894225929</v>
      </c>
      <c r="J16" s="124">
        <v>49</v>
      </c>
      <c r="K16" s="132">
        <v>0.93416999849167881</v>
      </c>
      <c r="L16" s="187"/>
      <c r="M16" s="187"/>
      <c r="N16" s="187"/>
      <c r="O16" s="187"/>
      <c r="P16" s="187"/>
      <c r="Q16" s="187"/>
      <c r="R16" s="187"/>
      <c r="S16" s="187"/>
      <c r="T16" s="187"/>
      <c r="U16" s="187"/>
      <c r="V16" s="187"/>
      <c r="W16" s="187"/>
      <c r="X16" s="189"/>
    </row>
    <row r="17" spans="1:24">
      <c r="A17" s="185">
        <v>41.5</v>
      </c>
      <c r="B17" s="132">
        <v>0.33016346144856124</v>
      </c>
      <c r="C17" s="127">
        <v>262.5</v>
      </c>
      <c r="D17" s="131">
        <v>0.86058259448883545</v>
      </c>
      <c r="E17" s="131">
        <v>0.92325728148846653</v>
      </c>
      <c r="F17" s="131">
        <v>0.88159464841092217</v>
      </c>
      <c r="G17" s="131">
        <v>0.97661444036374279</v>
      </c>
      <c r="H17" s="124">
        <v>64</v>
      </c>
      <c r="I17" s="131">
        <v>0.92894341737051211</v>
      </c>
      <c r="J17" s="124">
        <v>64</v>
      </c>
      <c r="K17" s="132">
        <v>1</v>
      </c>
      <c r="L17" s="187"/>
      <c r="M17" s="187"/>
      <c r="N17" s="187"/>
      <c r="O17" s="187"/>
      <c r="P17" s="187"/>
      <c r="Q17" s="187"/>
      <c r="R17" s="187"/>
      <c r="S17" s="187"/>
      <c r="T17" s="187"/>
      <c r="U17" s="187"/>
      <c r="V17" s="187"/>
      <c r="W17" s="187"/>
      <c r="X17" s="189"/>
    </row>
    <row r="18" spans="1:24">
      <c r="A18" s="185">
        <v>49</v>
      </c>
      <c r="B18" s="132">
        <v>0.38284329826531743</v>
      </c>
      <c r="C18" s="127">
        <v>287.5</v>
      </c>
      <c r="D18" s="131">
        <v>0.90416694485484883</v>
      </c>
      <c r="E18" s="131">
        <v>0.94655049486006437</v>
      </c>
      <c r="F18" s="131">
        <v>0.94616250379768996</v>
      </c>
      <c r="G18" s="131">
        <v>0.97661444036374279</v>
      </c>
      <c r="H18" s="124">
        <v>77.5</v>
      </c>
      <c r="I18" s="131">
        <v>0.93466023896351913</v>
      </c>
      <c r="J18" s="124">
        <v>77.5</v>
      </c>
      <c r="K18" s="132">
        <v>1</v>
      </c>
      <c r="L18" s="187"/>
      <c r="M18" s="187"/>
      <c r="N18" s="187"/>
      <c r="O18" s="187"/>
      <c r="P18" s="187"/>
      <c r="Q18" s="187"/>
      <c r="R18" s="187"/>
      <c r="S18" s="187"/>
      <c r="T18" s="187"/>
      <c r="U18" s="187"/>
      <c r="V18" s="187"/>
      <c r="W18" s="187"/>
      <c r="X18" s="189"/>
    </row>
    <row r="19" spans="1:24">
      <c r="A19" s="185">
        <v>59</v>
      </c>
      <c r="B19" s="132">
        <v>0.46474401969557322</v>
      </c>
      <c r="C19" s="127">
        <v>312.5</v>
      </c>
      <c r="D19" s="131">
        <v>0.90990300708588645</v>
      </c>
      <c r="E19" s="131">
        <v>0.94731125324520671</v>
      </c>
      <c r="F19" s="131">
        <v>0.94616250379768996</v>
      </c>
      <c r="G19" s="131">
        <v>1</v>
      </c>
      <c r="H19" s="124">
        <v>85</v>
      </c>
      <c r="I19" s="131">
        <v>0.9596804904211178</v>
      </c>
      <c r="J19" s="124">
        <v>85</v>
      </c>
      <c r="K19" s="132">
        <v>1</v>
      </c>
      <c r="L19" s="187"/>
      <c r="M19" s="187"/>
      <c r="N19" s="187"/>
      <c r="O19" s="187"/>
      <c r="P19" s="187"/>
      <c r="Q19" s="187"/>
      <c r="R19" s="187"/>
      <c r="S19" s="187"/>
      <c r="T19" s="187"/>
      <c r="U19" s="187"/>
      <c r="V19" s="187"/>
      <c r="W19" s="187"/>
      <c r="X19" s="189"/>
    </row>
    <row r="20" spans="1:24">
      <c r="A20" s="185">
        <v>70</v>
      </c>
      <c r="B20" s="132">
        <v>0.5316435323824078</v>
      </c>
      <c r="C20" s="127">
        <v>337.5</v>
      </c>
      <c r="D20" s="131">
        <v>0.91420501579018332</v>
      </c>
      <c r="E20" s="131">
        <v>0.94994680933936904</v>
      </c>
      <c r="F20" s="131">
        <v>0.94616250379768996</v>
      </c>
      <c r="G20" s="131">
        <v>1</v>
      </c>
      <c r="H20" s="124">
        <v>92.5</v>
      </c>
      <c r="I20" s="131">
        <v>0.96864398619880221</v>
      </c>
      <c r="J20" s="124">
        <v>92.5</v>
      </c>
      <c r="K20" s="132">
        <v>1</v>
      </c>
      <c r="L20" s="187"/>
      <c r="M20" s="187"/>
      <c r="N20" s="187"/>
      <c r="O20" s="187"/>
      <c r="P20" s="187"/>
      <c r="Q20" s="187"/>
      <c r="R20" s="187"/>
      <c r="S20" s="187"/>
      <c r="T20" s="187"/>
      <c r="U20" s="187"/>
      <c r="V20" s="187"/>
      <c r="W20" s="187"/>
      <c r="X20" s="189"/>
    </row>
    <row r="21" spans="1:24">
      <c r="A21" s="185">
        <v>77.5</v>
      </c>
      <c r="B21" s="132">
        <v>0.55608862930410052</v>
      </c>
      <c r="C21" s="127">
        <v>362.5</v>
      </c>
      <c r="D21" s="131">
        <v>0.91607798754848957</v>
      </c>
      <c r="E21" s="131">
        <v>0.9634723346760532</v>
      </c>
      <c r="F21" s="131">
        <v>0.94616250379768996</v>
      </c>
      <c r="G21" s="131">
        <v>1</v>
      </c>
      <c r="H21" s="124">
        <v>97.5</v>
      </c>
      <c r="I21" s="131">
        <v>0.97158261289540382</v>
      </c>
      <c r="J21" s="124">
        <v>97.5</v>
      </c>
      <c r="K21" s="132">
        <v>1</v>
      </c>
      <c r="L21" s="187"/>
      <c r="M21" s="187"/>
      <c r="N21" s="187"/>
      <c r="O21" s="187"/>
      <c r="P21" s="187"/>
      <c r="Q21" s="187"/>
      <c r="R21" s="187"/>
      <c r="S21" s="187"/>
      <c r="T21" s="187"/>
      <c r="U21" s="187"/>
      <c r="V21" s="187"/>
      <c r="W21" s="187"/>
      <c r="X21" s="189"/>
    </row>
    <row r="22" spans="1:24">
      <c r="A22" s="185">
        <v>85</v>
      </c>
      <c r="B22" s="132">
        <v>0.60536272163002169</v>
      </c>
      <c r="C22" s="127">
        <v>387.5</v>
      </c>
      <c r="D22" s="131">
        <v>0.91683923182447835</v>
      </c>
      <c r="E22" s="131">
        <v>0.9634723346760532</v>
      </c>
      <c r="F22" s="131">
        <v>1</v>
      </c>
      <c r="G22" s="131">
        <v>1</v>
      </c>
      <c r="H22" s="124">
        <v>102.5</v>
      </c>
      <c r="I22" s="131">
        <v>0.97417772119649026</v>
      </c>
      <c r="J22" s="124">
        <v>102.5</v>
      </c>
      <c r="K22" s="132">
        <v>1</v>
      </c>
      <c r="L22" s="187"/>
      <c r="M22" s="187"/>
      <c r="N22" s="187"/>
      <c r="O22" s="187"/>
      <c r="P22" s="187"/>
      <c r="Q22" s="187"/>
      <c r="R22" s="187"/>
      <c r="S22" s="187"/>
      <c r="T22" s="187"/>
      <c r="U22" s="187"/>
      <c r="V22" s="187"/>
      <c r="W22" s="187"/>
      <c r="X22" s="189"/>
    </row>
    <row r="23" spans="1:24">
      <c r="A23" s="185">
        <v>92.5</v>
      </c>
      <c r="B23" s="132">
        <v>0.62483670354436682</v>
      </c>
      <c r="C23" s="127">
        <v>412.5</v>
      </c>
      <c r="D23" s="131">
        <v>0.91854109954362184</v>
      </c>
      <c r="E23" s="131">
        <v>0.9634723346760532</v>
      </c>
      <c r="F23" s="131">
        <v>1</v>
      </c>
      <c r="G23" s="131">
        <v>1</v>
      </c>
      <c r="H23" s="124">
        <v>107.5</v>
      </c>
      <c r="I23" s="131">
        <v>0.97993352281026214</v>
      </c>
      <c r="J23" s="124">
        <v>107.5</v>
      </c>
      <c r="K23" s="132">
        <v>1</v>
      </c>
      <c r="L23" s="187"/>
      <c r="M23" s="187"/>
      <c r="N23" s="187"/>
      <c r="O23" s="187"/>
      <c r="P23" s="187"/>
      <c r="Q23" s="187"/>
      <c r="R23" s="187"/>
      <c r="S23" s="187"/>
      <c r="T23" s="187"/>
      <c r="U23" s="187"/>
      <c r="V23" s="187"/>
      <c r="W23" s="187"/>
      <c r="X23" s="189"/>
    </row>
    <row r="24" spans="1:24">
      <c r="A24" s="185">
        <v>97.5</v>
      </c>
      <c r="B24" s="132">
        <v>0.64626287175801633</v>
      </c>
      <c r="C24" s="127">
        <v>437.5</v>
      </c>
      <c r="D24" s="131">
        <v>0.92636397798600367</v>
      </c>
      <c r="E24" s="131">
        <v>0.9634723346760532</v>
      </c>
      <c r="F24" s="131">
        <v>1</v>
      </c>
      <c r="G24" s="131">
        <v>1</v>
      </c>
      <c r="H24" s="124">
        <v>112.5</v>
      </c>
      <c r="I24" s="131">
        <v>0.9848261736914381</v>
      </c>
      <c r="J24" s="124">
        <v>112.5</v>
      </c>
      <c r="K24" s="132">
        <v>1</v>
      </c>
      <c r="L24" s="187"/>
      <c r="M24" s="187"/>
      <c r="N24" s="187"/>
      <c r="O24" s="187"/>
      <c r="P24" s="187"/>
      <c r="Q24" s="187"/>
      <c r="R24" s="187"/>
      <c r="S24" s="187"/>
      <c r="T24" s="187"/>
      <c r="U24" s="187"/>
      <c r="V24" s="187"/>
      <c r="W24" s="187"/>
      <c r="X24" s="189"/>
    </row>
    <row r="25" spans="1:24">
      <c r="A25" s="185">
        <v>102.5</v>
      </c>
      <c r="B25" s="132">
        <v>0.66221893587358072</v>
      </c>
      <c r="C25" s="127">
        <v>465</v>
      </c>
      <c r="D25" s="131">
        <v>0.98769420957520415</v>
      </c>
      <c r="E25" s="131">
        <v>0.98397961270298262</v>
      </c>
      <c r="F25" s="131">
        <v>1</v>
      </c>
      <c r="G25" s="131">
        <v>1</v>
      </c>
      <c r="H25" s="124">
        <v>117.5</v>
      </c>
      <c r="I25" s="131">
        <v>0.9848261736914381</v>
      </c>
      <c r="J25" s="124">
        <v>117.5</v>
      </c>
      <c r="K25" s="132">
        <v>1</v>
      </c>
      <c r="L25" s="187"/>
      <c r="M25" s="187"/>
      <c r="N25" s="187"/>
      <c r="O25" s="187"/>
      <c r="P25" s="187"/>
      <c r="Q25" s="187"/>
      <c r="R25" s="187"/>
      <c r="S25" s="187"/>
      <c r="T25" s="187"/>
      <c r="U25" s="187"/>
      <c r="V25" s="187"/>
      <c r="W25" s="187"/>
      <c r="X25" s="189"/>
    </row>
    <row r="26" spans="1:24">
      <c r="A26" s="185">
        <v>107.5</v>
      </c>
      <c r="B26" s="132">
        <v>0.67580303181143087</v>
      </c>
      <c r="C26" s="127">
        <v>485</v>
      </c>
      <c r="D26" s="131">
        <v>0.9996268418521097</v>
      </c>
      <c r="E26" s="131">
        <v>0.98397961270298262</v>
      </c>
      <c r="F26" s="131">
        <v>1</v>
      </c>
      <c r="G26" s="131">
        <v>1</v>
      </c>
      <c r="H26" s="124">
        <v>122.5</v>
      </c>
      <c r="I26" s="131">
        <v>0.98899400278354244</v>
      </c>
      <c r="J26" s="124">
        <v>122.5</v>
      </c>
      <c r="K26" s="132">
        <v>1</v>
      </c>
      <c r="L26" s="187"/>
      <c r="M26" s="187"/>
      <c r="N26" s="187"/>
      <c r="O26" s="187"/>
      <c r="P26" s="187"/>
      <c r="Q26" s="187"/>
      <c r="R26" s="187"/>
      <c r="S26" s="187"/>
      <c r="T26" s="187"/>
      <c r="U26" s="187"/>
      <c r="V26" s="187"/>
      <c r="W26" s="187"/>
      <c r="X26" s="189"/>
    </row>
    <row r="27" spans="1:24" ht="16" thickBot="1">
      <c r="A27" s="185">
        <v>112.5</v>
      </c>
      <c r="B27" s="132">
        <v>0.69249118041590196</v>
      </c>
      <c r="C27" s="127">
        <v>495</v>
      </c>
      <c r="D27" s="131">
        <v>0.9996268418521097</v>
      </c>
      <c r="E27" s="131">
        <v>0.98397961270298262</v>
      </c>
      <c r="F27" s="131">
        <v>1</v>
      </c>
      <c r="G27" s="131">
        <v>1</v>
      </c>
      <c r="H27" s="124">
        <v>137.5</v>
      </c>
      <c r="I27" s="131">
        <v>1</v>
      </c>
      <c r="J27" s="124">
        <v>137.5</v>
      </c>
      <c r="K27" s="132">
        <v>1</v>
      </c>
      <c r="L27" s="187"/>
      <c r="M27" s="187"/>
      <c r="N27" s="187"/>
      <c r="O27" s="187"/>
      <c r="P27" s="187"/>
      <c r="Q27" s="187"/>
      <c r="R27" s="187"/>
      <c r="S27" s="187"/>
      <c r="T27" s="187"/>
      <c r="U27" s="187"/>
      <c r="V27" s="187"/>
      <c r="W27" s="187"/>
      <c r="X27" s="189"/>
    </row>
    <row r="28" spans="1:24" ht="15" customHeight="1" thickBot="1">
      <c r="A28" s="185">
        <v>117.5</v>
      </c>
      <c r="B28" s="132">
        <v>0.70487061535176054</v>
      </c>
      <c r="C28" s="127">
        <v>750</v>
      </c>
      <c r="D28" s="131">
        <v>1</v>
      </c>
      <c r="E28" s="131">
        <v>1</v>
      </c>
      <c r="F28" s="131">
        <v>1</v>
      </c>
      <c r="G28" s="131">
        <v>1</v>
      </c>
      <c r="H28" s="124">
        <v>225</v>
      </c>
      <c r="I28" s="131">
        <v>1</v>
      </c>
      <c r="J28" s="124">
        <v>225</v>
      </c>
      <c r="K28" s="132">
        <v>1</v>
      </c>
      <c r="O28" s="187"/>
      <c r="P28" s="187"/>
      <c r="Q28" s="396" t="s">
        <v>134</v>
      </c>
      <c r="R28" s="397"/>
      <c r="S28" s="398"/>
      <c r="T28" s="187"/>
      <c r="U28" s="187"/>
      <c r="V28" s="187"/>
      <c r="W28" s="187"/>
      <c r="X28" s="189"/>
    </row>
    <row r="29" spans="1:24">
      <c r="A29" s="185">
        <v>122.5</v>
      </c>
      <c r="B29" s="132">
        <v>0.72484705150917483</v>
      </c>
      <c r="C29" s="127">
        <v>1000</v>
      </c>
      <c r="D29" s="131">
        <v>1</v>
      </c>
      <c r="E29" s="131">
        <v>1</v>
      </c>
      <c r="F29" s="131">
        <v>1</v>
      </c>
      <c r="G29" s="131">
        <v>1</v>
      </c>
      <c r="H29" s="124">
        <v>300</v>
      </c>
      <c r="I29" s="131">
        <v>1</v>
      </c>
      <c r="J29" s="124">
        <v>300</v>
      </c>
      <c r="K29" s="132">
        <v>1</v>
      </c>
      <c r="O29" s="187"/>
      <c r="P29" s="187"/>
      <c r="Q29" s="186" t="s">
        <v>108</v>
      </c>
      <c r="R29" s="187">
        <v>220</v>
      </c>
      <c r="S29" s="35">
        <v>0.85</v>
      </c>
      <c r="T29" s="187"/>
      <c r="U29" s="187"/>
      <c r="V29" s="187"/>
      <c r="W29" s="187"/>
      <c r="X29" s="189"/>
    </row>
    <row r="30" spans="1:24">
      <c r="A30" s="129">
        <v>137.5</v>
      </c>
      <c r="B30" s="132">
        <v>0.78189466707084365</v>
      </c>
      <c r="C30" s="124"/>
      <c r="D30" s="187"/>
      <c r="E30" s="187"/>
      <c r="F30" s="187"/>
      <c r="G30" s="187"/>
      <c r="H30" s="124"/>
      <c r="I30" s="187"/>
      <c r="J30" s="124"/>
      <c r="K30" s="187"/>
      <c r="O30" s="187"/>
      <c r="P30" s="187"/>
      <c r="Q30" s="191" t="s">
        <v>70</v>
      </c>
      <c r="R30" s="187">
        <v>250</v>
      </c>
      <c r="S30" s="35">
        <v>0.85</v>
      </c>
      <c r="T30" s="187"/>
      <c r="U30" s="187"/>
      <c r="V30" s="187"/>
      <c r="W30" s="187"/>
      <c r="X30" s="189"/>
    </row>
    <row r="31" spans="1:24">
      <c r="A31" s="185">
        <v>225</v>
      </c>
      <c r="B31" s="132">
        <v>0.94824257901724318</v>
      </c>
      <c r="C31" s="187"/>
      <c r="D31" s="187"/>
      <c r="E31" s="187"/>
      <c r="F31" s="187"/>
      <c r="G31" s="187"/>
      <c r="H31" s="124"/>
      <c r="I31" s="187"/>
      <c r="J31" s="124"/>
      <c r="K31" s="187"/>
      <c r="O31" s="187"/>
      <c r="P31" s="187"/>
      <c r="Q31" s="191" t="s">
        <v>71</v>
      </c>
      <c r="R31" s="187">
        <v>220</v>
      </c>
      <c r="S31" s="35">
        <v>0.85</v>
      </c>
      <c r="T31" s="187"/>
      <c r="U31" s="187"/>
      <c r="V31" s="187"/>
      <c r="W31" s="187"/>
      <c r="X31" s="189"/>
    </row>
    <row r="32" spans="1:24">
      <c r="A32" s="185">
        <v>350</v>
      </c>
      <c r="B32" s="132">
        <v>0.97043308523497407</v>
      </c>
      <c r="C32" s="124"/>
      <c r="D32" s="187"/>
      <c r="E32" s="187"/>
      <c r="F32" s="187"/>
      <c r="G32" s="187"/>
      <c r="H32" s="124"/>
      <c r="I32" s="187"/>
      <c r="J32" s="124"/>
      <c r="K32" s="187"/>
      <c r="O32" s="187"/>
      <c r="P32" s="187"/>
      <c r="Q32" s="191" t="s">
        <v>72</v>
      </c>
      <c r="R32" s="187">
        <v>220</v>
      </c>
      <c r="S32" s="35">
        <v>0.85</v>
      </c>
      <c r="T32" s="187"/>
      <c r="U32" s="187"/>
      <c r="V32" s="187"/>
      <c r="W32" s="187"/>
      <c r="X32" s="189"/>
    </row>
    <row r="33" spans="1:24">
      <c r="A33" s="185">
        <v>450</v>
      </c>
      <c r="B33" s="132">
        <v>0.98536938220776182</v>
      </c>
      <c r="C33" s="124"/>
      <c r="D33" s="187"/>
      <c r="E33" s="187"/>
      <c r="F33" s="187"/>
      <c r="G33" s="187"/>
      <c r="H33" s="124"/>
      <c r="I33" s="187"/>
      <c r="J33" s="124"/>
      <c r="K33" s="187"/>
      <c r="O33" s="187"/>
      <c r="P33" s="187"/>
      <c r="Q33" s="191" t="s">
        <v>73</v>
      </c>
      <c r="R33" s="187">
        <v>170</v>
      </c>
      <c r="S33" s="35">
        <v>0.85</v>
      </c>
      <c r="T33" s="187"/>
      <c r="U33" s="187"/>
      <c r="V33" s="187"/>
      <c r="W33" s="187"/>
      <c r="X33" s="189"/>
    </row>
    <row r="34" spans="1:24">
      <c r="A34" s="185">
        <v>750</v>
      </c>
      <c r="B34" s="132">
        <v>1</v>
      </c>
      <c r="C34" s="124"/>
      <c r="D34" s="187"/>
      <c r="E34" s="187"/>
      <c r="F34" s="187"/>
      <c r="G34" s="187"/>
      <c r="H34" s="124"/>
      <c r="I34" s="187"/>
      <c r="J34" s="124"/>
      <c r="K34" s="187"/>
      <c r="O34" s="187"/>
      <c r="P34" s="128"/>
      <c r="Q34" s="191" t="s">
        <v>74</v>
      </c>
      <c r="R34" s="187">
        <v>53</v>
      </c>
      <c r="S34" s="35">
        <v>0.85</v>
      </c>
      <c r="T34" s="187"/>
      <c r="U34" s="187"/>
      <c r="V34" s="187"/>
      <c r="W34" s="187"/>
      <c r="X34" s="189"/>
    </row>
    <row r="35" spans="1:24" ht="16" thickBot="1">
      <c r="A35" s="185">
        <v>1500</v>
      </c>
      <c r="B35" s="130">
        <v>1</v>
      </c>
      <c r="C35" s="124"/>
      <c r="D35" s="187"/>
      <c r="E35" s="187"/>
      <c r="F35" s="187"/>
      <c r="G35" s="187"/>
      <c r="H35" s="124"/>
      <c r="I35" s="187"/>
      <c r="J35" s="124"/>
      <c r="K35" s="187"/>
      <c r="O35" s="187"/>
      <c r="P35" s="187"/>
      <c r="Q35" s="36" t="s">
        <v>109</v>
      </c>
      <c r="R35" s="37">
        <v>35</v>
      </c>
      <c r="S35" s="38">
        <v>0.85</v>
      </c>
      <c r="T35" s="187"/>
      <c r="U35" s="187"/>
      <c r="V35" s="187"/>
      <c r="W35" s="187"/>
      <c r="X35" s="189"/>
    </row>
    <row r="36" spans="1:24">
      <c r="A36" s="129">
        <v>3000</v>
      </c>
      <c r="B36" s="130">
        <v>1</v>
      </c>
      <c r="C36" s="124"/>
      <c r="D36" s="187"/>
      <c r="E36" s="187"/>
      <c r="F36" s="187"/>
      <c r="G36" s="187"/>
      <c r="H36" s="124"/>
      <c r="I36" s="187"/>
      <c r="J36" s="134"/>
      <c r="K36" s="135"/>
      <c r="L36" s="187"/>
      <c r="M36" s="187"/>
      <c r="N36" s="187"/>
      <c r="O36" s="187"/>
      <c r="P36" s="187"/>
      <c r="Q36" s="187"/>
      <c r="R36" s="187"/>
      <c r="S36" s="187"/>
      <c r="T36" s="187"/>
      <c r="U36" s="187"/>
      <c r="V36" s="187"/>
      <c r="W36" s="187"/>
      <c r="X36" s="189"/>
    </row>
    <row r="37" spans="1:24" ht="16" thickBot="1">
      <c r="A37" s="136">
        <v>5350</v>
      </c>
      <c r="B37" s="137">
        <v>1</v>
      </c>
      <c r="C37" s="138"/>
      <c r="D37" s="188"/>
      <c r="E37" s="188"/>
      <c r="F37" s="188"/>
      <c r="G37" s="188"/>
      <c r="H37" s="138"/>
      <c r="I37" s="188"/>
      <c r="J37" s="139"/>
      <c r="K37" s="37"/>
      <c r="L37" s="37"/>
      <c r="M37" s="37"/>
      <c r="N37" s="37"/>
      <c r="O37" s="37"/>
      <c r="P37" s="37"/>
      <c r="Q37" s="37"/>
      <c r="R37" s="37"/>
      <c r="S37" s="37"/>
      <c r="T37" s="37"/>
      <c r="U37" s="37"/>
      <c r="V37" s="37"/>
      <c r="W37" s="37"/>
      <c r="X37" s="190"/>
    </row>
    <row r="39" spans="1:24" ht="16" thickBot="1"/>
    <row r="40" spans="1:24" ht="19">
      <c r="A40" s="399" t="s">
        <v>14</v>
      </c>
      <c r="B40" s="400"/>
      <c r="C40" s="400"/>
      <c r="D40" s="400"/>
      <c r="E40" s="400"/>
      <c r="F40" s="400"/>
      <c r="G40" s="400"/>
      <c r="H40" s="400"/>
      <c r="I40" s="400"/>
      <c r="J40" s="400"/>
      <c r="K40" s="400"/>
      <c r="L40" s="400"/>
      <c r="M40" s="400"/>
      <c r="N40" s="400"/>
      <c r="O40" s="400"/>
      <c r="P40" s="400"/>
      <c r="Q40" s="400"/>
      <c r="R40" s="400"/>
      <c r="S40" s="400"/>
      <c r="T40" s="400"/>
      <c r="U40" s="400"/>
      <c r="V40" s="400"/>
      <c r="W40" s="400"/>
      <c r="X40" s="401"/>
    </row>
    <row r="41" spans="1:24">
      <c r="A41" s="185" t="s">
        <v>69</v>
      </c>
      <c r="B41" s="124" t="s">
        <v>50</v>
      </c>
      <c r="C41" s="124" t="s">
        <v>69</v>
      </c>
      <c r="D41" s="125" t="s">
        <v>8</v>
      </c>
      <c r="E41" s="126" t="s">
        <v>7</v>
      </c>
      <c r="F41" s="125" t="s">
        <v>6</v>
      </c>
      <c r="G41" s="126" t="s">
        <v>5</v>
      </c>
      <c r="H41" s="127"/>
      <c r="I41" s="125" t="s">
        <v>4</v>
      </c>
      <c r="J41" s="124"/>
      <c r="K41" s="125" t="s">
        <v>35</v>
      </c>
      <c r="L41" s="187"/>
      <c r="M41" s="187"/>
      <c r="N41" s="187"/>
      <c r="O41" s="187"/>
      <c r="P41" s="187"/>
      <c r="Q41" s="187"/>
      <c r="R41" s="187"/>
      <c r="S41" s="187"/>
      <c r="T41" s="187"/>
      <c r="U41" s="187"/>
      <c r="V41" s="187"/>
      <c r="W41" s="187"/>
      <c r="X41" s="189"/>
    </row>
    <row r="42" spans="1:24">
      <c r="A42" s="129" t="s">
        <v>68</v>
      </c>
      <c r="B42" s="124" t="s">
        <v>66</v>
      </c>
      <c r="C42" s="127" t="s">
        <v>68</v>
      </c>
      <c r="D42" s="124" t="s">
        <v>66</v>
      </c>
      <c r="E42" s="127" t="s">
        <v>67</v>
      </c>
      <c r="F42" s="124" t="s">
        <v>66</v>
      </c>
      <c r="G42" s="124" t="s">
        <v>66</v>
      </c>
      <c r="H42" s="127" t="s">
        <v>68</v>
      </c>
      <c r="I42" s="124" t="s">
        <v>66</v>
      </c>
      <c r="J42" s="127" t="s">
        <v>68</v>
      </c>
      <c r="K42" s="124" t="s">
        <v>66</v>
      </c>
      <c r="L42" s="187"/>
      <c r="M42" s="187"/>
      <c r="N42" s="187"/>
      <c r="O42" s="187"/>
      <c r="P42" s="187"/>
      <c r="Q42" s="187"/>
      <c r="R42" s="187"/>
      <c r="S42" s="187"/>
      <c r="T42" s="187"/>
      <c r="U42" s="187"/>
      <c r="V42" s="187"/>
      <c r="W42" s="187"/>
      <c r="X42" s="189"/>
    </row>
    <row r="43" spans="1:24">
      <c r="A43" s="129">
        <v>0.5</v>
      </c>
      <c r="B43" s="130">
        <v>0</v>
      </c>
      <c r="C43" s="127">
        <v>2.5</v>
      </c>
      <c r="D43" s="131">
        <v>0</v>
      </c>
      <c r="E43" s="130">
        <v>0</v>
      </c>
      <c r="F43" s="131">
        <v>0</v>
      </c>
      <c r="G43" s="131">
        <v>0</v>
      </c>
      <c r="H43" s="124">
        <v>0.5</v>
      </c>
      <c r="I43" s="131">
        <v>0</v>
      </c>
      <c r="J43" s="124">
        <v>0.5</v>
      </c>
      <c r="K43" s="132">
        <v>0</v>
      </c>
      <c r="L43" s="187"/>
      <c r="M43" s="187"/>
      <c r="N43" s="187"/>
      <c r="O43" s="187"/>
      <c r="P43" s="187"/>
      <c r="Q43" s="187"/>
      <c r="R43" s="187"/>
      <c r="S43" s="187"/>
      <c r="T43" s="187"/>
      <c r="U43" s="187"/>
      <c r="V43" s="187"/>
      <c r="W43" s="187"/>
      <c r="X43" s="189"/>
    </row>
    <row r="44" spans="1:24">
      <c r="A44" s="133">
        <v>2</v>
      </c>
      <c r="B44" s="130">
        <v>0</v>
      </c>
      <c r="C44" s="127">
        <v>7.5</v>
      </c>
      <c r="D44" s="131">
        <v>0</v>
      </c>
      <c r="E44" s="130">
        <v>0</v>
      </c>
      <c r="F44" s="131">
        <v>0</v>
      </c>
      <c r="G44" s="131">
        <v>5.1088353913153906E-3</v>
      </c>
      <c r="H44" s="124">
        <v>2</v>
      </c>
      <c r="I44" s="131">
        <v>0</v>
      </c>
      <c r="J44" s="124">
        <v>2</v>
      </c>
      <c r="K44" s="132">
        <v>2.7179992944765981E-2</v>
      </c>
      <c r="L44" s="187"/>
      <c r="M44" s="187"/>
      <c r="N44" s="187"/>
      <c r="O44" s="187"/>
      <c r="P44" s="187"/>
      <c r="Q44" s="187"/>
      <c r="R44" s="187"/>
      <c r="S44" s="187"/>
      <c r="T44" s="187"/>
      <c r="U44" s="187"/>
      <c r="V44" s="187"/>
      <c r="W44" s="187"/>
      <c r="X44" s="189"/>
    </row>
    <row r="45" spans="1:24">
      <c r="A45" s="129">
        <v>4</v>
      </c>
      <c r="B45" s="130">
        <v>0</v>
      </c>
      <c r="C45" s="127">
        <v>17.5</v>
      </c>
      <c r="D45" s="131">
        <v>2.8619773708899024E-2</v>
      </c>
      <c r="E45" s="130">
        <v>2.8077425367775168E-2</v>
      </c>
      <c r="F45" s="131">
        <v>3.2791873065555407E-2</v>
      </c>
      <c r="G45" s="131">
        <v>2.7914890233159552E-2</v>
      </c>
      <c r="H45" s="124">
        <v>4</v>
      </c>
      <c r="I45" s="131">
        <v>0</v>
      </c>
      <c r="J45" s="124">
        <v>4</v>
      </c>
      <c r="K45" s="132">
        <v>5.470385891350675E-2</v>
      </c>
      <c r="L45" s="187"/>
      <c r="M45" s="187"/>
      <c r="N45" s="187"/>
      <c r="O45" s="187"/>
      <c r="P45" s="187"/>
      <c r="Q45" s="187"/>
      <c r="R45" s="187"/>
      <c r="S45" s="187"/>
      <c r="T45" s="187"/>
      <c r="U45" s="187"/>
      <c r="V45" s="187"/>
      <c r="W45" s="187"/>
      <c r="X45" s="189"/>
    </row>
    <row r="46" spans="1:24">
      <c r="A46" s="133">
        <v>6</v>
      </c>
      <c r="B46" s="130">
        <v>0</v>
      </c>
      <c r="C46" s="127">
        <v>37.5</v>
      </c>
      <c r="D46" s="131">
        <v>9.0381597383679846E-2</v>
      </c>
      <c r="E46" s="130">
        <v>8.799001260282667E-2</v>
      </c>
      <c r="F46" s="131">
        <v>0.1204768800827687</v>
      </c>
      <c r="G46" s="131">
        <v>0.11256656348293997</v>
      </c>
      <c r="H46" s="124">
        <v>6</v>
      </c>
      <c r="I46" s="131">
        <v>0</v>
      </c>
      <c r="J46" s="124">
        <v>6</v>
      </c>
      <c r="K46" s="132">
        <v>0.10786870639590856</v>
      </c>
      <c r="L46" s="187"/>
      <c r="M46" s="187"/>
      <c r="N46" s="187"/>
      <c r="O46" s="187"/>
      <c r="P46" s="187"/>
      <c r="Q46" s="187"/>
      <c r="R46" s="187"/>
      <c r="S46" s="187"/>
      <c r="T46" s="187"/>
      <c r="U46" s="187"/>
      <c r="V46" s="187"/>
      <c r="W46" s="187"/>
      <c r="X46" s="189"/>
    </row>
    <row r="47" spans="1:24">
      <c r="A47" s="185">
        <v>8.5</v>
      </c>
      <c r="B47" s="132">
        <v>1.0958190981283459E-2</v>
      </c>
      <c r="C47" s="127">
        <v>62.5</v>
      </c>
      <c r="D47" s="131">
        <v>0.18715868194004062</v>
      </c>
      <c r="E47" s="130">
        <v>0.18753809058983678</v>
      </c>
      <c r="F47" s="131">
        <v>0.26860348877629353</v>
      </c>
      <c r="G47" s="131">
        <v>0.2331181078201941</v>
      </c>
      <c r="H47" s="124">
        <v>8.5</v>
      </c>
      <c r="I47" s="131">
        <v>8.4164534558594559E-2</v>
      </c>
      <c r="J47" s="124">
        <v>8.5</v>
      </c>
      <c r="K47" s="132">
        <v>0.17748545910970392</v>
      </c>
      <c r="L47" s="187"/>
      <c r="M47" s="187"/>
      <c r="N47" s="187"/>
      <c r="O47" s="187"/>
      <c r="P47" s="187"/>
      <c r="Q47" s="187"/>
      <c r="R47" s="187"/>
      <c r="S47" s="187"/>
      <c r="T47" s="187"/>
      <c r="U47" s="187"/>
      <c r="V47" s="187"/>
      <c r="W47" s="187"/>
      <c r="X47" s="189"/>
    </row>
    <row r="48" spans="1:24">
      <c r="A48" s="185">
        <v>12.5</v>
      </c>
      <c r="B48" s="132">
        <v>2.2297026328490538E-2</v>
      </c>
      <c r="C48" s="127">
        <v>87.5</v>
      </c>
      <c r="D48" s="131">
        <v>0.30689710028231687</v>
      </c>
      <c r="E48" s="130">
        <v>0.3106746439450499</v>
      </c>
      <c r="F48" s="131">
        <v>0.40712195793562994</v>
      </c>
      <c r="G48" s="131">
        <v>0.35359110086883266</v>
      </c>
      <c r="H48" s="124">
        <v>12.5</v>
      </c>
      <c r="I48" s="131">
        <v>0.16008370440246861</v>
      </c>
      <c r="J48" s="124">
        <v>12.5</v>
      </c>
      <c r="K48" s="132">
        <v>0.30782429262941752</v>
      </c>
      <c r="L48" s="187"/>
      <c r="M48" s="187"/>
      <c r="N48" s="187"/>
      <c r="O48" s="187"/>
      <c r="P48" s="187"/>
      <c r="Q48" s="187"/>
      <c r="R48" s="187"/>
      <c r="S48" s="187"/>
      <c r="T48" s="187"/>
      <c r="U48" s="187"/>
      <c r="V48" s="187"/>
      <c r="W48" s="187"/>
      <c r="X48" s="189"/>
    </row>
    <row r="49" spans="1:27">
      <c r="A49" s="185">
        <v>17.5</v>
      </c>
      <c r="B49" s="132">
        <v>2.5081936576150616E-2</v>
      </c>
      <c r="C49" s="127">
        <v>112.5</v>
      </c>
      <c r="D49" s="131">
        <v>0.45002686706644029</v>
      </c>
      <c r="E49" s="130">
        <v>0.43295724079980719</v>
      </c>
      <c r="F49" s="131">
        <v>0.5210365980655024</v>
      </c>
      <c r="G49" s="131">
        <v>0.48511741785397494</v>
      </c>
      <c r="H49" s="124">
        <v>17.5</v>
      </c>
      <c r="I49" s="131">
        <v>0.21605238512511557</v>
      </c>
      <c r="J49" s="124">
        <v>17.5</v>
      </c>
      <c r="K49" s="132">
        <v>0.40901497849191537</v>
      </c>
      <c r="L49" s="187"/>
      <c r="M49" s="187"/>
      <c r="N49" s="187"/>
      <c r="O49" s="187"/>
      <c r="P49" s="187"/>
      <c r="Q49" s="187"/>
      <c r="R49" s="187"/>
      <c r="S49" s="187"/>
      <c r="T49" s="187"/>
      <c r="U49" s="187"/>
      <c r="V49" s="187"/>
      <c r="W49" s="187"/>
      <c r="X49" s="189"/>
    </row>
    <row r="50" spans="1:27">
      <c r="A50" s="185">
        <v>21</v>
      </c>
      <c r="B50" s="132">
        <v>2.9999769621204812E-2</v>
      </c>
      <c r="C50" s="127">
        <v>137.5</v>
      </c>
      <c r="D50" s="131">
        <v>0.58642167119655519</v>
      </c>
      <c r="E50" s="130">
        <v>0.56316722642257955</v>
      </c>
      <c r="F50" s="131">
        <v>0.61911049376600302</v>
      </c>
      <c r="G50" s="131">
        <v>0.62824548887587628</v>
      </c>
      <c r="H50" s="124">
        <v>22.5</v>
      </c>
      <c r="I50" s="131">
        <v>0.27260712750043176</v>
      </c>
      <c r="J50" s="124">
        <v>22.5</v>
      </c>
      <c r="K50" s="132">
        <v>0.49749304527905464</v>
      </c>
      <c r="L50" s="187"/>
      <c r="M50" s="187"/>
      <c r="N50" s="187"/>
      <c r="O50" s="187"/>
      <c r="P50" s="187"/>
      <c r="Q50" s="187"/>
      <c r="R50" s="187"/>
      <c r="S50" s="187"/>
      <c r="T50" s="187"/>
      <c r="U50" s="187"/>
      <c r="V50" s="187"/>
      <c r="W50" s="187"/>
      <c r="X50" s="189"/>
    </row>
    <row r="51" spans="1:27">
      <c r="A51" s="185">
        <v>22.5</v>
      </c>
      <c r="B51" s="132">
        <v>5.6489671205201049E-2</v>
      </c>
      <c r="C51" s="127">
        <v>162.5</v>
      </c>
      <c r="D51" s="131">
        <v>0.68728623886230278</v>
      </c>
      <c r="E51" s="130">
        <v>0.71316338239460209</v>
      </c>
      <c r="F51" s="131">
        <v>0.6909484629395034</v>
      </c>
      <c r="G51" s="131">
        <v>0.76437225012285204</v>
      </c>
      <c r="H51" s="124">
        <v>27.5</v>
      </c>
      <c r="I51" s="131">
        <v>0.3328120252603381</v>
      </c>
      <c r="J51" s="124">
        <v>27.5</v>
      </c>
      <c r="K51" s="132">
        <v>0.56510893575173382</v>
      </c>
      <c r="L51" s="187"/>
      <c r="M51" s="187"/>
      <c r="N51" s="187"/>
      <c r="O51" s="187"/>
      <c r="P51" s="187"/>
      <c r="Q51" s="187"/>
      <c r="R51" s="187"/>
      <c r="S51" s="187"/>
      <c r="T51" s="187"/>
      <c r="U51" s="187"/>
      <c r="V51" s="187"/>
      <c r="W51" s="187"/>
      <c r="X51" s="189"/>
    </row>
    <row r="52" spans="1:27">
      <c r="A52" s="185">
        <v>24</v>
      </c>
      <c r="B52" s="132">
        <v>5.9613073540250229E-2</v>
      </c>
      <c r="C52" s="127">
        <v>187.5</v>
      </c>
      <c r="D52" s="131">
        <v>0.77427751174554604</v>
      </c>
      <c r="E52" s="130">
        <v>0.78524207645309008</v>
      </c>
      <c r="F52" s="131">
        <v>0.73950557559932284</v>
      </c>
      <c r="G52" s="131">
        <v>0.83807138548565097</v>
      </c>
      <c r="H52" s="124">
        <v>34</v>
      </c>
      <c r="I52" s="131">
        <v>0.41902416908323015</v>
      </c>
      <c r="J52" s="124">
        <v>34</v>
      </c>
      <c r="K52" s="132">
        <v>0.6734313092099522</v>
      </c>
      <c r="L52" s="187"/>
      <c r="M52" s="187"/>
      <c r="N52" s="187"/>
      <c r="O52" s="187"/>
      <c r="P52" s="187"/>
      <c r="Q52" s="187"/>
      <c r="R52" s="187"/>
      <c r="S52" s="187"/>
      <c r="T52" s="187"/>
      <c r="U52" s="187"/>
      <c r="V52" s="187"/>
      <c r="W52" s="187"/>
      <c r="X52" s="189"/>
    </row>
    <row r="53" spans="1:27">
      <c r="A53" s="185">
        <v>27.5</v>
      </c>
      <c r="B53" s="132">
        <v>7.2769615594902595E-2</v>
      </c>
      <c r="C53" s="127">
        <v>212.5</v>
      </c>
      <c r="D53" s="131">
        <v>0.82164158509326291</v>
      </c>
      <c r="E53" s="130">
        <v>0.82600019187479734</v>
      </c>
      <c r="F53" s="131">
        <v>0.81640460100440515</v>
      </c>
      <c r="G53" s="131">
        <v>0.89847517294491563</v>
      </c>
      <c r="H53" s="124">
        <v>41.5</v>
      </c>
      <c r="I53" s="131">
        <v>0.4929157861993716</v>
      </c>
      <c r="J53" s="124">
        <v>41.5</v>
      </c>
      <c r="K53" s="132">
        <v>0.74879296128856165</v>
      </c>
      <c r="L53" s="187"/>
      <c r="M53" s="187"/>
      <c r="N53" s="187"/>
      <c r="O53" s="187"/>
      <c r="P53" s="187"/>
      <c r="Q53" s="187"/>
      <c r="R53" s="187"/>
      <c r="S53" s="187"/>
      <c r="T53" s="187"/>
      <c r="U53" s="187"/>
      <c r="V53" s="187"/>
      <c r="W53" s="187"/>
      <c r="X53" s="189"/>
    </row>
    <row r="54" spans="1:27">
      <c r="A54" s="185">
        <v>34</v>
      </c>
      <c r="B54" s="132">
        <v>9.9784854038388715E-2</v>
      </c>
      <c r="C54" s="127">
        <v>237.5</v>
      </c>
      <c r="D54" s="131">
        <v>0.84222736916448993</v>
      </c>
      <c r="E54" s="130">
        <v>0.87864824810642317</v>
      </c>
      <c r="F54" s="131">
        <v>0.82000851665707564</v>
      </c>
      <c r="G54" s="131">
        <v>0.93884662935656815</v>
      </c>
      <c r="H54" s="124">
        <v>49</v>
      </c>
      <c r="I54" s="131">
        <v>0.56355134273360541</v>
      </c>
      <c r="J54" s="124">
        <v>49</v>
      </c>
      <c r="K54" s="132">
        <v>0.862077770795453</v>
      </c>
      <c r="L54" s="187"/>
      <c r="M54" s="187"/>
      <c r="N54" s="187"/>
      <c r="O54" s="187"/>
      <c r="P54" s="187"/>
      <c r="Q54" s="187"/>
      <c r="R54" s="187"/>
      <c r="S54" s="187"/>
      <c r="T54" s="187"/>
      <c r="U54" s="187"/>
      <c r="V54" s="187"/>
      <c r="W54" s="187"/>
      <c r="X54" s="189"/>
    </row>
    <row r="55" spans="1:27">
      <c r="A55" s="185">
        <v>41.5</v>
      </c>
      <c r="B55" s="132">
        <v>0.13477518058596472</v>
      </c>
      <c r="C55" s="127">
        <v>262.5</v>
      </c>
      <c r="D55" s="131">
        <v>0.8609038477741825</v>
      </c>
      <c r="E55" s="130">
        <v>0.89681154268882468</v>
      </c>
      <c r="F55" s="131">
        <v>0.88080365222862544</v>
      </c>
      <c r="G55" s="131">
        <v>0.97264865698814484</v>
      </c>
      <c r="H55" s="124">
        <v>64</v>
      </c>
      <c r="I55" s="131">
        <v>0.73384548965307272</v>
      </c>
      <c r="J55" s="124">
        <v>64</v>
      </c>
      <c r="K55" s="132">
        <v>0.93256478360889528</v>
      </c>
      <c r="L55" s="187"/>
      <c r="M55" s="187"/>
      <c r="N55" s="187"/>
      <c r="O55" s="187"/>
      <c r="P55" s="187"/>
      <c r="Q55" s="187"/>
      <c r="R55" s="187"/>
      <c r="S55" s="187"/>
      <c r="T55" s="187"/>
      <c r="U55" s="187"/>
      <c r="V55" s="187"/>
      <c r="W55" s="187"/>
      <c r="X55" s="189"/>
    </row>
    <row r="56" spans="1:27">
      <c r="A56" s="185">
        <v>49</v>
      </c>
      <c r="B56" s="132">
        <v>0.16338484382645724</v>
      </c>
      <c r="C56" s="127">
        <v>287.5</v>
      </c>
      <c r="D56" s="131">
        <v>0.9045044680669112</v>
      </c>
      <c r="E56" s="130">
        <v>0.90390636116555811</v>
      </c>
      <c r="F56" s="131">
        <v>0.88585865710026557</v>
      </c>
      <c r="G56" s="131">
        <v>0.99589815674281601</v>
      </c>
      <c r="H56" s="124">
        <v>77.5</v>
      </c>
      <c r="I56" s="131">
        <v>0.77213322933598405</v>
      </c>
      <c r="J56" s="124">
        <v>77.5</v>
      </c>
      <c r="K56" s="132">
        <v>0.96559336418526809</v>
      </c>
      <c r="L56" s="187"/>
      <c r="M56" s="187"/>
      <c r="N56" s="187"/>
      <c r="O56" s="187"/>
      <c r="P56" s="187"/>
      <c r="Q56" s="187"/>
      <c r="R56" s="187"/>
      <c r="S56" s="187"/>
      <c r="T56" s="187"/>
      <c r="U56" s="187"/>
      <c r="V56" s="187"/>
      <c r="W56" s="187"/>
      <c r="X56" s="189"/>
    </row>
    <row r="57" spans="1:27">
      <c r="A57" s="185">
        <v>59</v>
      </c>
      <c r="B57" s="132">
        <v>0.21213521581736797</v>
      </c>
      <c r="C57" s="127">
        <v>312.5</v>
      </c>
      <c r="D57" s="131">
        <v>0.91024267155533478</v>
      </c>
      <c r="E57" s="130">
        <v>0.9175051280746741</v>
      </c>
      <c r="F57" s="131">
        <v>0.90599421573900951</v>
      </c>
      <c r="G57" s="131">
        <v>1</v>
      </c>
      <c r="H57" s="124">
        <v>85</v>
      </c>
      <c r="I57" s="131">
        <v>0.82499432098063719</v>
      </c>
      <c r="J57" s="124">
        <v>85</v>
      </c>
      <c r="K57" s="132">
        <v>1</v>
      </c>
      <c r="L57" s="187"/>
      <c r="M57" s="187"/>
      <c r="N57" s="187"/>
      <c r="O57" s="187"/>
      <c r="P57" s="187"/>
      <c r="Q57" s="187"/>
      <c r="R57" s="187"/>
      <c r="S57" s="187"/>
      <c r="T57" s="187"/>
      <c r="U57" s="187"/>
      <c r="V57" s="187"/>
      <c r="W57" s="187"/>
      <c r="X57" s="189"/>
    </row>
    <row r="58" spans="1:27">
      <c r="A58" s="185">
        <v>70</v>
      </c>
      <c r="B58" s="132">
        <v>0.26489038766119233</v>
      </c>
      <c r="C58" s="127">
        <v>337.5</v>
      </c>
      <c r="D58" s="131">
        <v>0.91454628618849743</v>
      </c>
      <c r="E58" s="130">
        <v>0.9175051280746741</v>
      </c>
      <c r="F58" s="131">
        <v>0.9376412414305122</v>
      </c>
      <c r="G58" s="131">
        <v>1</v>
      </c>
      <c r="H58" s="124">
        <v>92.5</v>
      </c>
      <c r="I58" s="131">
        <v>0.85109096017815122</v>
      </c>
      <c r="J58" s="124">
        <v>92.5</v>
      </c>
      <c r="K58" s="132">
        <v>1</v>
      </c>
      <c r="L58" s="187"/>
      <c r="M58" s="187"/>
      <c r="N58" s="187"/>
      <c r="O58" s="187"/>
      <c r="P58" s="187"/>
      <c r="Q58" s="187"/>
      <c r="R58" s="187"/>
      <c r="S58" s="187"/>
      <c r="T58" s="187"/>
      <c r="U58" s="187"/>
      <c r="V58" s="187"/>
      <c r="W58" s="187"/>
      <c r="X58" s="189"/>
    </row>
    <row r="59" spans="1:27">
      <c r="A59" s="185">
        <v>77.5</v>
      </c>
      <c r="B59" s="132">
        <v>0.29025003486048684</v>
      </c>
      <c r="C59" s="127">
        <v>362.5</v>
      </c>
      <c r="D59" s="131">
        <v>0.91641995712237911</v>
      </c>
      <c r="E59" s="130">
        <v>0.93631542747671959</v>
      </c>
      <c r="F59" s="131">
        <v>0.96307174539680507</v>
      </c>
      <c r="G59" s="131">
        <v>1</v>
      </c>
      <c r="H59" s="124">
        <v>97.5</v>
      </c>
      <c r="I59" s="131">
        <v>0.87205793662371545</v>
      </c>
      <c r="J59" s="124">
        <v>97.5</v>
      </c>
      <c r="K59" s="132">
        <v>1</v>
      </c>
      <c r="L59" s="187"/>
      <c r="M59" s="187"/>
      <c r="N59" s="187"/>
      <c r="O59" s="187"/>
      <c r="P59" s="187"/>
      <c r="Q59" s="187"/>
      <c r="R59" s="187"/>
      <c r="S59" s="187"/>
      <c r="T59" s="187"/>
      <c r="U59" s="187"/>
      <c r="V59" s="187"/>
      <c r="W59" s="187"/>
      <c r="X59" s="189"/>
    </row>
    <row r="60" spans="1:27">
      <c r="A60" s="185">
        <v>85</v>
      </c>
      <c r="B60" s="132">
        <v>0.3386970541581289</v>
      </c>
      <c r="C60" s="127">
        <v>387.5</v>
      </c>
      <c r="D60" s="131">
        <v>0.91718148556891255</v>
      </c>
      <c r="E60" s="130">
        <v>0.94095875320804923</v>
      </c>
      <c r="F60" s="131">
        <v>0.96307174539680507</v>
      </c>
      <c r="G60" s="131">
        <v>1</v>
      </c>
      <c r="H60" s="124">
        <v>102.5</v>
      </c>
      <c r="I60" s="131">
        <v>0.88970359804150168</v>
      </c>
      <c r="J60" s="124">
        <v>102.5</v>
      </c>
      <c r="K60" s="132">
        <v>1</v>
      </c>
      <c r="L60" s="187"/>
      <c r="M60" s="187"/>
      <c r="N60" s="187"/>
      <c r="O60" s="187"/>
      <c r="P60" s="187"/>
      <c r="Q60" s="187"/>
      <c r="R60" s="187"/>
      <c r="S60" s="187"/>
      <c r="T60" s="187"/>
      <c r="U60" s="187"/>
      <c r="V60" s="187"/>
      <c r="W60" s="187"/>
      <c r="X60" s="189"/>
    </row>
    <row r="61" spans="1:27">
      <c r="A61" s="185">
        <v>92.5</v>
      </c>
      <c r="B61" s="132">
        <v>0.36214598361181866</v>
      </c>
      <c r="C61" s="127">
        <v>412.5</v>
      </c>
      <c r="D61" s="131">
        <v>0.91888398859093046</v>
      </c>
      <c r="E61" s="130">
        <v>0.94226624980301743</v>
      </c>
      <c r="F61" s="131">
        <v>0.96307174539680507</v>
      </c>
      <c r="G61" s="131">
        <v>1</v>
      </c>
      <c r="H61" s="124">
        <v>107.5</v>
      </c>
      <c r="I61" s="131">
        <v>0.90401334123899557</v>
      </c>
      <c r="J61" s="124">
        <v>107.5</v>
      </c>
      <c r="K61" s="132">
        <v>1</v>
      </c>
      <c r="L61" s="187"/>
      <c r="M61" s="187"/>
      <c r="N61" s="187"/>
      <c r="O61" s="187"/>
      <c r="P61" s="187"/>
      <c r="Q61" s="187"/>
      <c r="R61" s="187"/>
      <c r="S61" s="187"/>
      <c r="T61" s="187"/>
      <c r="U61" s="187"/>
      <c r="V61" s="187"/>
      <c r="W61" s="187"/>
      <c r="X61" s="189"/>
    </row>
    <row r="62" spans="1:27">
      <c r="A62" s="185">
        <v>97.5</v>
      </c>
      <c r="B62" s="132">
        <v>0.38871481563310356</v>
      </c>
      <c r="C62" s="127">
        <v>437.5</v>
      </c>
      <c r="D62" s="131">
        <v>0.92670978729386211</v>
      </c>
      <c r="E62" s="130">
        <v>0.94226624980301743</v>
      </c>
      <c r="F62" s="131">
        <v>0.97461006972973674</v>
      </c>
      <c r="G62" s="131">
        <v>1</v>
      </c>
      <c r="H62" s="124">
        <v>112.5</v>
      </c>
      <c r="I62" s="131">
        <v>0.92596781001588202</v>
      </c>
      <c r="J62" s="124">
        <v>112.5</v>
      </c>
      <c r="K62" s="132">
        <v>1</v>
      </c>
      <c r="L62" s="187"/>
      <c r="M62" s="187"/>
      <c r="N62" s="128"/>
      <c r="O62" s="128"/>
      <c r="P62" s="128"/>
      <c r="Q62" s="128"/>
      <c r="R62" s="128"/>
      <c r="S62" s="128"/>
      <c r="T62" s="128"/>
      <c r="U62" s="128"/>
      <c r="V62" s="128"/>
      <c r="W62" s="128"/>
      <c r="X62" s="140"/>
      <c r="Y62" s="5"/>
      <c r="Z62" s="5"/>
      <c r="AA62" s="5"/>
    </row>
    <row r="63" spans="1:27">
      <c r="A63" s="185">
        <v>102.5</v>
      </c>
      <c r="B63" s="132">
        <v>0.41362151000536174</v>
      </c>
      <c r="C63" s="127">
        <v>465</v>
      </c>
      <c r="D63" s="131">
        <v>0.98806291330193108</v>
      </c>
      <c r="E63" s="130">
        <v>0.95839050149228322</v>
      </c>
      <c r="F63" s="131">
        <v>0.97461006972973674</v>
      </c>
      <c r="G63" s="131">
        <v>1</v>
      </c>
      <c r="H63" s="124">
        <v>117.5</v>
      </c>
      <c r="I63" s="131">
        <v>0.94171601052663501</v>
      </c>
      <c r="J63" s="124">
        <v>117.5</v>
      </c>
      <c r="K63" s="132">
        <v>1</v>
      </c>
      <c r="L63" s="128"/>
      <c r="M63" s="128"/>
      <c r="N63" s="128"/>
      <c r="O63" s="128"/>
      <c r="P63" s="128"/>
      <c r="Q63" s="128"/>
      <c r="R63" s="128"/>
      <c r="S63" s="128"/>
      <c r="T63" s="128"/>
      <c r="U63" s="128"/>
      <c r="V63" s="128"/>
      <c r="W63" s="187"/>
      <c r="X63" s="189"/>
    </row>
    <row r="64" spans="1:27">
      <c r="A64" s="185">
        <v>107.5</v>
      </c>
      <c r="B64" s="132">
        <v>0.4380979735191351</v>
      </c>
      <c r="C64" s="127">
        <v>485</v>
      </c>
      <c r="D64" s="131">
        <v>1</v>
      </c>
      <c r="E64" s="130">
        <v>0.95839050149228322</v>
      </c>
      <c r="F64" s="131">
        <v>0.97461006972973674</v>
      </c>
      <c r="G64" s="131">
        <v>1</v>
      </c>
      <c r="H64" s="124">
        <v>122.5</v>
      </c>
      <c r="I64" s="131">
        <v>0.95397278824193255</v>
      </c>
      <c r="J64" s="124">
        <v>122.5</v>
      </c>
      <c r="K64" s="132">
        <v>1</v>
      </c>
      <c r="L64" s="187"/>
      <c r="M64" s="187"/>
      <c r="N64" s="135"/>
      <c r="O64" s="135"/>
      <c r="P64" s="135"/>
      <c r="Q64" s="135"/>
      <c r="R64" s="135"/>
      <c r="S64" s="135"/>
      <c r="T64" s="135"/>
      <c r="U64" s="135"/>
      <c r="V64" s="135"/>
      <c r="W64" s="187"/>
      <c r="X64" s="189"/>
    </row>
    <row r="65" spans="1:24" ht="16" thickBot="1">
      <c r="A65" s="185">
        <v>112.5</v>
      </c>
      <c r="B65" s="132">
        <v>0.46140042157180178</v>
      </c>
      <c r="C65" s="127">
        <v>495</v>
      </c>
      <c r="D65" s="131">
        <v>1</v>
      </c>
      <c r="E65" s="130">
        <v>0.95839050149228322</v>
      </c>
      <c r="F65" s="131">
        <v>0.97461006972973674</v>
      </c>
      <c r="G65" s="131">
        <v>1</v>
      </c>
      <c r="H65" s="124">
        <v>137.5</v>
      </c>
      <c r="I65" s="131">
        <v>0.98621530899064536</v>
      </c>
      <c r="J65" s="124">
        <v>137.5</v>
      </c>
      <c r="K65" s="132">
        <v>1</v>
      </c>
      <c r="L65" s="187"/>
      <c r="M65" s="187"/>
      <c r="N65" s="128"/>
      <c r="O65" s="128"/>
      <c r="P65" s="128"/>
      <c r="Q65" s="128"/>
      <c r="R65" s="128"/>
      <c r="S65" s="128"/>
      <c r="T65" s="128"/>
      <c r="U65" s="128"/>
      <c r="V65" s="128"/>
      <c r="W65" s="187"/>
      <c r="X65" s="189"/>
    </row>
    <row r="66" spans="1:24" ht="15" customHeight="1" thickBot="1">
      <c r="A66" s="185">
        <v>117.5</v>
      </c>
      <c r="B66" s="132">
        <v>0.48694984921149087</v>
      </c>
      <c r="C66" s="127">
        <v>750</v>
      </c>
      <c r="D66" s="131">
        <v>1.0003732974468742</v>
      </c>
      <c r="E66" s="130">
        <v>1</v>
      </c>
      <c r="F66" s="131">
        <v>1</v>
      </c>
      <c r="G66" s="131">
        <v>1</v>
      </c>
      <c r="H66" s="124">
        <v>225</v>
      </c>
      <c r="I66" s="131">
        <v>1</v>
      </c>
      <c r="J66" s="124">
        <v>225</v>
      </c>
      <c r="K66" s="132">
        <v>1</v>
      </c>
      <c r="O66" s="135"/>
      <c r="P66" s="135"/>
      <c r="Q66" s="396" t="s">
        <v>134</v>
      </c>
      <c r="R66" s="397"/>
      <c r="S66" s="398"/>
      <c r="T66" s="135"/>
      <c r="U66" s="135"/>
      <c r="V66" s="135"/>
      <c r="W66" s="187"/>
      <c r="X66" s="189"/>
    </row>
    <row r="67" spans="1:24">
      <c r="A67" s="185">
        <v>122.5</v>
      </c>
      <c r="B67" s="132">
        <v>0.51890558925467234</v>
      </c>
      <c r="C67" s="127">
        <v>1000</v>
      </c>
      <c r="D67" s="131">
        <v>1.0003732974468742</v>
      </c>
      <c r="E67" s="130">
        <v>1</v>
      </c>
      <c r="F67" s="131">
        <v>1</v>
      </c>
      <c r="G67" s="131">
        <v>1</v>
      </c>
      <c r="H67" s="124">
        <v>300</v>
      </c>
      <c r="I67" s="131">
        <v>1</v>
      </c>
      <c r="J67" s="124">
        <v>300</v>
      </c>
      <c r="K67" s="132">
        <v>1</v>
      </c>
      <c r="O67" s="187"/>
      <c r="P67" s="187"/>
      <c r="Q67" s="186" t="s">
        <v>108</v>
      </c>
      <c r="R67" s="187">
        <v>190</v>
      </c>
      <c r="S67" s="35">
        <v>0.85</v>
      </c>
      <c r="T67" s="187"/>
      <c r="U67" s="187"/>
      <c r="V67" s="187"/>
      <c r="W67" s="187"/>
      <c r="X67" s="189"/>
    </row>
    <row r="68" spans="1:24">
      <c r="A68" s="185">
        <v>137.5</v>
      </c>
      <c r="B68" s="132">
        <v>0.63918961874069924</v>
      </c>
      <c r="C68" s="124"/>
      <c r="D68" s="187"/>
      <c r="E68" s="187"/>
      <c r="F68" s="187"/>
      <c r="G68" s="187"/>
      <c r="H68" s="124"/>
      <c r="I68" s="187"/>
      <c r="J68" s="124"/>
      <c r="K68" s="187"/>
      <c r="O68" s="187"/>
      <c r="P68" s="187"/>
      <c r="Q68" s="191" t="s">
        <v>70</v>
      </c>
      <c r="R68" s="187">
        <v>230</v>
      </c>
      <c r="S68" s="35">
        <v>0.85</v>
      </c>
      <c r="T68" s="187"/>
      <c r="U68" s="187"/>
      <c r="V68" s="187"/>
      <c r="W68" s="187"/>
      <c r="X68" s="189"/>
    </row>
    <row r="69" spans="1:24">
      <c r="A69" s="185">
        <v>225</v>
      </c>
      <c r="B69" s="132">
        <v>0.92109432862400242</v>
      </c>
      <c r="C69" s="124"/>
      <c r="D69" s="187"/>
      <c r="E69" s="187"/>
      <c r="F69" s="187"/>
      <c r="G69" s="187"/>
      <c r="H69" s="124"/>
      <c r="I69" s="187"/>
      <c r="J69" s="124"/>
      <c r="K69" s="187"/>
      <c r="O69" s="187"/>
      <c r="P69" s="187"/>
      <c r="Q69" s="191" t="s">
        <v>71</v>
      </c>
      <c r="R69" s="187">
        <v>220</v>
      </c>
      <c r="S69" s="35">
        <v>0.85</v>
      </c>
      <c r="T69" s="187"/>
      <c r="U69" s="187"/>
      <c r="V69" s="187"/>
      <c r="W69" s="187"/>
      <c r="X69" s="189"/>
    </row>
    <row r="70" spans="1:24">
      <c r="A70" s="185">
        <v>350</v>
      </c>
      <c r="B70" s="132">
        <v>0.9389522024237883</v>
      </c>
      <c r="C70" s="124"/>
      <c r="D70" s="187"/>
      <c r="E70" s="187"/>
      <c r="F70" s="187"/>
      <c r="G70" s="187"/>
      <c r="H70" s="124"/>
      <c r="I70" s="187"/>
      <c r="J70" s="124"/>
      <c r="K70" s="187"/>
      <c r="O70" s="187"/>
      <c r="P70" s="187"/>
      <c r="Q70" s="191" t="s">
        <v>72</v>
      </c>
      <c r="R70" s="187">
        <v>220</v>
      </c>
      <c r="S70" s="35">
        <v>0.85</v>
      </c>
      <c r="T70" s="187"/>
      <c r="U70" s="187"/>
      <c r="V70" s="187"/>
      <c r="W70" s="187"/>
      <c r="X70" s="189"/>
    </row>
    <row r="71" spans="1:24">
      <c r="A71" s="185">
        <v>450</v>
      </c>
      <c r="B71" s="132">
        <v>0.99339637957502458</v>
      </c>
      <c r="C71" s="124"/>
      <c r="D71" s="187"/>
      <c r="E71" s="187"/>
      <c r="F71" s="187"/>
      <c r="G71" s="187"/>
      <c r="H71" s="124"/>
      <c r="I71" s="187"/>
      <c r="J71" s="124"/>
      <c r="K71" s="187"/>
      <c r="O71" s="187"/>
      <c r="P71" s="187"/>
      <c r="Q71" s="191" t="s">
        <v>73</v>
      </c>
      <c r="R71" s="187">
        <v>190</v>
      </c>
      <c r="S71" s="35">
        <v>0.85</v>
      </c>
      <c r="T71" s="187"/>
      <c r="U71" s="187"/>
      <c r="V71" s="187"/>
      <c r="W71" s="187"/>
      <c r="X71" s="189"/>
    </row>
    <row r="72" spans="1:24">
      <c r="A72" s="185">
        <v>750</v>
      </c>
      <c r="B72" s="132">
        <v>1</v>
      </c>
      <c r="C72" s="124"/>
      <c r="D72" s="187"/>
      <c r="E72" s="187"/>
      <c r="F72" s="187"/>
      <c r="G72" s="187"/>
      <c r="H72" s="124"/>
      <c r="I72" s="187"/>
      <c r="J72" s="124"/>
      <c r="K72" s="187"/>
      <c r="O72" s="187"/>
      <c r="P72" s="187"/>
      <c r="Q72" s="191" t="s">
        <v>74</v>
      </c>
      <c r="R72" s="187">
        <v>90</v>
      </c>
      <c r="S72" s="35">
        <v>0.85</v>
      </c>
      <c r="T72" s="187"/>
      <c r="U72" s="187"/>
      <c r="V72" s="187"/>
      <c r="W72" s="187"/>
      <c r="X72" s="189"/>
    </row>
    <row r="73" spans="1:24" ht="16" thickBot="1">
      <c r="A73" s="185">
        <v>1500</v>
      </c>
      <c r="B73" s="130">
        <v>1</v>
      </c>
      <c r="C73" s="124"/>
      <c r="D73" s="187"/>
      <c r="E73" s="187"/>
      <c r="F73" s="187"/>
      <c r="G73" s="187"/>
      <c r="H73" s="124"/>
      <c r="I73" s="187"/>
      <c r="J73" s="124"/>
      <c r="K73" s="187"/>
      <c r="O73" s="187"/>
      <c r="P73" s="187"/>
      <c r="Q73" s="36" t="s">
        <v>109</v>
      </c>
      <c r="R73" s="37">
        <v>48</v>
      </c>
      <c r="S73" s="38">
        <v>0.85</v>
      </c>
      <c r="T73" s="187"/>
      <c r="U73" s="187"/>
      <c r="V73" s="187"/>
      <c r="W73" s="187"/>
      <c r="X73" s="189"/>
    </row>
    <row r="74" spans="1:24">
      <c r="A74" s="129">
        <v>3000</v>
      </c>
      <c r="B74" s="130">
        <v>1</v>
      </c>
      <c r="C74" s="124"/>
      <c r="D74" s="187"/>
      <c r="E74" s="187"/>
      <c r="F74" s="187"/>
      <c r="G74" s="187"/>
      <c r="H74" s="124"/>
      <c r="I74" s="187"/>
      <c r="J74" s="124"/>
      <c r="K74" s="187"/>
      <c r="L74" s="187"/>
      <c r="M74" s="187"/>
      <c r="N74" s="187"/>
      <c r="O74" s="187"/>
      <c r="P74" s="187"/>
      <c r="Q74" s="187"/>
      <c r="R74" s="187"/>
      <c r="S74" s="187"/>
      <c r="T74" s="187"/>
      <c r="U74" s="187"/>
      <c r="V74" s="187"/>
      <c r="W74" s="187"/>
      <c r="X74" s="189"/>
    </row>
    <row r="75" spans="1:24" ht="16" thickBot="1">
      <c r="A75" s="136">
        <v>5350</v>
      </c>
      <c r="B75" s="137">
        <v>1</v>
      </c>
      <c r="C75" s="138"/>
      <c r="D75" s="188"/>
      <c r="E75" s="188"/>
      <c r="F75" s="188"/>
      <c r="G75" s="188"/>
      <c r="H75" s="138"/>
      <c r="I75" s="188"/>
      <c r="J75" s="138"/>
      <c r="K75" s="188"/>
      <c r="L75" s="188"/>
      <c r="M75" s="188"/>
      <c r="N75" s="188"/>
      <c r="O75" s="188"/>
      <c r="P75" s="188"/>
      <c r="Q75" s="188"/>
      <c r="R75" s="188"/>
      <c r="S75" s="188"/>
      <c r="T75" s="188"/>
      <c r="U75" s="188"/>
      <c r="V75" s="188"/>
      <c r="W75" s="188"/>
      <c r="X75" s="190"/>
    </row>
    <row r="77" spans="1:24" ht="16" thickBot="1"/>
    <row r="78" spans="1:24" ht="19">
      <c r="A78" s="399" t="s">
        <v>29</v>
      </c>
      <c r="B78" s="400"/>
      <c r="C78" s="400"/>
      <c r="D78" s="400"/>
      <c r="E78" s="400"/>
      <c r="F78" s="400"/>
      <c r="G78" s="400"/>
      <c r="H78" s="400"/>
      <c r="I78" s="400"/>
      <c r="J78" s="400"/>
      <c r="K78" s="400"/>
      <c r="L78" s="400"/>
      <c r="M78" s="400"/>
      <c r="N78" s="400"/>
      <c r="O78" s="400"/>
      <c r="P78" s="400"/>
      <c r="Q78" s="400"/>
      <c r="R78" s="400"/>
      <c r="S78" s="400"/>
      <c r="T78" s="400"/>
      <c r="U78" s="400"/>
      <c r="V78" s="400"/>
      <c r="W78" s="400"/>
      <c r="X78" s="401"/>
    </row>
    <row r="79" spans="1:24">
      <c r="A79" s="185" t="s">
        <v>69</v>
      </c>
      <c r="B79" s="124" t="s">
        <v>50</v>
      </c>
      <c r="C79" s="124" t="s">
        <v>69</v>
      </c>
      <c r="D79" s="125" t="s">
        <v>8</v>
      </c>
      <c r="E79" s="126" t="s">
        <v>7</v>
      </c>
      <c r="F79" s="125" t="s">
        <v>6</v>
      </c>
      <c r="G79" s="126" t="s">
        <v>5</v>
      </c>
      <c r="H79" s="127"/>
      <c r="I79" s="125" t="s">
        <v>4</v>
      </c>
      <c r="J79" s="124"/>
      <c r="K79" s="125" t="s">
        <v>35</v>
      </c>
      <c r="L79" s="187"/>
      <c r="M79" s="187"/>
      <c r="N79" s="187"/>
      <c r="O79" s="187"/>
      <c r="P79" s="187"/>
      <c r="Q79" s="187"/>
      <c r="R79" s="187"/>
      <c r="S79" s="187"/>
      <c r="T79" s="187"/>
      <c r="U79" s="187"/>
      <c r="V79" s="187"/>
      <c r="W79" s="187"/>
      <c r="X79" s="189"/>
    </row>
    <row r="80" spans="1:24">
      <c r="A80" s="129" t="s">
        <v>68</v>
      </c>
      <c r="B80" s="124" t="s">
        <v>66</v>
      </c>
      <c r="C80" s="127" t="s">
        <v>68</v>
      </c>
      <c r="D80" s="124" t="s">
        <v>66</v>
      </c>
      <c r="E80" s="124" t="s">
        <v>66</v>
      </c>
      <c r="F80" s="124" t="s">
        <v>66</v>
      </c>
      <c r="G80" s="124" t="s">
        <v>66</v>
      </c>
      <c r="H80" s="127" t="s">
        <v>68</v>
      </c>
      <c r="I80" s="124" t="s">
        <v>66</v>
      </c>
      <c r="J80" s="127" t="s">
        <v>68</v>
      </c>
      <c r="K80" s="124" t="s">
        <v>66</v>
      </c>
      <c r="L80" s="187"/>
      <c r="M80" s="187"/>
      <c r="N80" s="187"/>
      <c r="O80" s="187"/>
      <c r="P80" s="187"/>
      <c r="Q80" s="187"/>
      <c r="R80" s="187"/>
      <c r="S80" s="187"/>
      <c r="T80" s="187"/>
      <c r="U80" s="187"/>
      <c r="V80" s="187"/>
      <c r="W80" s="187"/>
      <c r="X80" s="189"/>
    </row>
    <row r="81" spans="1:24">
      <c r="A81" s="129">
        <v>0.5</v>
      </c>
      <c r="B81" s="130">
        <v>0</v>
      </c>
      <c r="C81" s="124">
        <v>0.5</v>
      </c>
      <c r="D81" s="131">
        <v>0</v>
      </c>
      <c r="E81" s="131">
        <v>0</v>
      </c>
      <c r="F81" s="131">
        <v>0</v>
      </c>
      <c r="G81" s="131">
        <v>0</v>
      </c>
      <c r="H81" s="124">
        <v>0.5</v>
      </c>
      <c r="I81" s="131">
        <v>0</v>
      </c>
      <c r="J81" s="124">
        <v>0.5</v>
      </c>
      <c r="K81" s="132">
        <v>0</v>
      </c>
      <c r="L81" s="187"/>
      <c r="M81" s="187"/>
      <c r="N81" s="187"/>
      <c r="O81" s="187"/>
      <c r="P81" s="187"/>
      <c r="Q81" s="187"/>
      <c r="R81" s="187"/>
      <c r="S81" s="187"/>
      <c r="T81" s="187"/>
      <c r="U81" s="187"/>
      <c r="V81" s="187"/>
      <c r="W81" s="187"/>
      <c r="X81" s="189"/>
    </row>
    <row r="82" spans="1:24">
      <c r="A82" s="133">
        <v>2</v>
      </c>
      <c r="B82" s="130">
        <v>0</v>
      </c>
      <c r="C82" s="124">
        <v>2</v>
      </c>
      <c r="D82" s="131">
        <v>0</v>
      </c>
      <c r="E82" s="131">
        <v>0</v>
      </c>
      <c r="F82" s="131">
        <v>0</v>
      </c>
      <c r="G82" s="131">
        <v>0</v>
      </c>
      <c r="H82" s="124">
        <v>2</v>
      </c>
      <c r="I82" s="131">
        <v>0</v>
      </c>
      <c r="J82" s="124">
        <v>2</v>
      </c>
      <c r="K82" s="132">
        <v>0</v>
      </c>
      <c r="L82" s="187"/>
      <c r="M82" s="128"/>
      <c r="N82" s="128"/>
      <c r="O82" s="187"/>
      <c r="P82" s="187"/>
      <c r="Q82" s="187"/>
      <c r="R82" s="187"/>
      <c r="S82" s="187"/>
      <c r="T82" s="187"/>
      <c r="U82" s="187"/>
      <c r="V82" s="187"/>
      <c r="W82" s="187"/>
      <c r="X82" s="189"/>
    </row>
    <row r="83" spans="1:24">
      <c r="A83" s="129">
        <v>4</v>
      </c>
      <c r="B83" s="130">
        <v>0</v>
      </c>
      <c r="C83" s="124">
        <v>4</v>
      </c>
      <c r="D83" s="131">
        <v>0</v>
      </c>
      <c r="E83" s="131">
        <v>0</v>
      </c>
      <c r="F83" s="131">
        <v>0</v>
      </c>
      <c r="G83" s="131">
        <v>0</v>
      </c>
      <c r="H83" s="124">
        <v>4</v>
      </c>
      <c r="I83" s="131">
        <v>0</v>
      </c>
      <c r="J83" s="124">
        <v>4</v>
      </c>
      <c r="K83" s="132">
        <v>0.11467128376473815</v>
      </c>
      <c r="L83" s="187"/>
      <c r="M83" s="187"/>
      <c r="N83" s="187"/>
      <c r="O83" s="187"/>
      <c r="P83" s="187"/>
      <c r="Q83" s="187"/>
      <c r="R83" s="187"/>
      <c r="S83" s="187"/>
      <c r="T83" s="187"/>
      <c r="U83" s="187"/>
      <c r="V83" s="187"/>
      <c r="W83" s="187"/>
      <c r="X83" s="189"/>
    </row>
    <row r="84" spans="1:24">
      <c r="A84" s="133">
        <v>6</v>
      </c>
      <c r="B84" s="130">
        <v>7.6372287359419812E-3</v>
      </c>
      <c r="C84" s="124">
        <v>6</v>
      </c>
      <c r="D84" s="131">
        <v>0</v>
      </c>
      <c r="E84" s="131">
        <v>0</v>
      </c>
      <c r="F84" s="131">
        <v>0</v>
      </c>
      <c r="G84" s="131">
        <v>0</v>
      </c>
      <c r="H84" s="124">
        <v>6</v>
      </c>
      <c r="I84" s="131">
        <v>4.7504722649164728E-2</v>
      </c>
      <c r="J84" s="124">
        <v>6</v>
      </c>
      <c r="K84" s="132">
        <v>0.16668737676044917</v>
      </c>
      <c r="L84" s="187"/>
      <c r="M84" s="187"/>
      <c r="N84" s="187"/>
      <c r="O84" s="187"/>
      <c r="P84" s="187"/>
      <c r="Q84" s="187"/>
      <c r="R84" s="187"/>
      <c r="S84" s="187"/>
      <c r="T84" s="187"/>
      <c r="U84" s="187"/>
      <c r="V84" s="187"/>
      <c r="W84" s="187"/>
      <c r="X84" s="189"/>
    </row>
    <row r="85" spans="1:24">
      <c r="A85" s="185">
        <v>8.5</v>
      </c>
      <c r="B85" s="132">
        <v>1.5439942257336801E-2</v>
      </c>
      <c r="C85" s="124">
        <v>8.5</v>
      </c>
      <c r="D85" s="131">
        <v>0</v>
      </c>
      <c r="E85" s="131">
        <v>0</v>
      </c>
      <c r="F85" s="131">
        <v>0</v>
      </c>
      <c r="G85" s="131">
        <v>7.8536731995646394E-3</v>
      </c>
      <c r="H85" s="124">
        <v>8.5</v>
      </c>
      <c r="I85" s="131">
        <v>9.4395394084280312E-2</v>
      </c>
      <c r="J85" s="124">
        <v>8.5</v>
      </c>
      <c r="K85" s="132">
        <v>0.29670105632540261</v>
      </c>
      <c r="L85" s="128"/>
      <c r="M85" s="128"/>
      <c r="N85" s="128"/>
      <c r="O85" s="128"/>
      <c r="P85" s="128"/>
      <c r="Q85" s="128"/>
      <c r="R85" s="128"/>
      <c r="S85" s="128"/>
      <c r="T85" s="128"/>
      <c r="U85" s="128"/>
      <c r="V85" s="128"/>
      <c r="W85" s="128"/>
      <c r="X85" s="189"/>
    </row>
    <row r="86" spans="1:24">
      <c r="A86" s="185">
        <v>12.5</v>
      </c>
      <c r="B86" s="132">
        <v>3.8133766976518602E-2</v>
      </c>
      <c r="C86" s="124">
        <v>12.5</v>
      </c>
      <c r="D86" s="131">
        <v>0</v>
      </c>
      <c r="E86" s="131">
        <v>0</v>
      </c>
      <c r="F86" s="131">
        <v>3.9717167209300359E-2</v>
      </c>
      <c r="G86" s="131">
        <v>2.76957577805334E-2</v>
      </c>
      <c r="H86" s="124">
        <v>12.5</v>
      </c>
      <c r="I86" s="131">
        <v>0.21111687827910749</v>
      </c>
      <c r="J86" s="124">
        <v>12.5</v>
      </c>
      <c r="K86" s="132">
        <v>0.47030846742035326</v>
      </c>
      <c r="L86" s="128"/>
      <c r="M86" s="128"/>
      <c r="N86" s="128"/>
      <c r="O86" s="128"/>
      <c r="P86" s="128"/>
      <c r="Q86" s="128"/>
      <c r="R86" s="128"/>
      <c r="S86" s="128"/>
      <c r="T86" s="128"/>
      <c r="U86" s="128"/>
      <c r="V86" s="128"/>
      <c r="W86" s="128"/>
      <c r="X86" s="189"/>
    </row>
    <row r="87" spans="1:24">
      <c r="A87" s="185">
        <v>17.5</v>
      </c>
      <c r="B87" s="132">
        <v>5.5246200393075075E-2</v>
      </c>
      <c r="C87" s="124">
        <v>17.5</v>
      </c>
      <c r="D87" s="131">
        <v>0</v>
      </c>
      <c r="E87" s="131">
        <v>0</v>
      </c>
      <c r="F87" s="131">
        <v>3.9758406538158611E-2</v>
      </c>
      <c r="G87" s="131">
        <v>3.6278764048041943E-2</v>
      </c>
      <c r="H87" s="124">
        <v>17.5</v>
      </c>
      <c r="I87" s="131">
        <v>0.3089276870903645</v>
      </c>
      <c r="J87" s="124">
        <v>17.5</v>
      </c>
      <c r="K87" s="132">
        <v>0.59177224475434587</v>
      </c>
      <c r="L87" s="135"/>
      <c r="M87" s="135"/>
      <c r="N87" s="135"/>
      <c r="O87" s="135"/>
      <c r="P87" s="135"/>
      <c r="Q87" s="135"/>
      <c r="R87" s="135"/>
      <c r="S87" s="135"/>
      <c r="T87" s="135"/>
      <c r="U87" s="135"/>
      <c r="V87" s="135"/>
      <c r="W87" s="135"/>
      <c r="X87" s="189"/>
    </row>
    <row r="88" spans="1:24">
      <c r="A88" s="185">
        <v>21</v>
      </c>
      <c r="B88" s="132">
        <v>0.10336624863769239</v>
      </c>
      <c r="C88" s="124">
        <v>21</v>
      </c>
      <c r="D88" s="131">
        <v>0</v>
      </c>
      <c r="E88" s="131">
        <v>0</v>
      </c>
      <c r="F88" s="131">
        <v>4.618068114127493E-2</v>
      </c>
      <c r="G88" s="131">
        <v>5.3166953275351196E-2</v>
      </c>
      <c r="H88" s="124">
        <v>22.5</v>
      </c>
      <c r="I88" s="131">
        <v>0.38982185228263794</v>
      </c>
      <c r="J88" s="124">
        <v>22.5</v>
      </c>
      <c r="K88" s="132">
        <v>0.67543002580930533</v>
      </c>
      <c r="L88" s="187"/>
      <c r="M88" s="187"/>
      <c r="N88" s="187"/>
      <c r="O88" s="187"/>
      <c r="P88" s="187"/>
      <c r="Q88" s="187"/>
      <c r="R88" s="187"/>
      <c r="S88" s="187"/>
      <c r="T88" s="187"/>
      <c r="U88" s="187"/>
      <c r="V88" s="187"/>
      <c r="W88" s="187"/>
      <c r="X88" s="189"/>
    </row>
    <row r="89" spans="1:24">
      <c r="A89" s="185">
        <v>22.5</v>
      </c>
      <c r="B89" s="132">
        <v>0.10630070807910719</v>
      </c>
      <c r="C89" s="124">
        <v>22.5</v>
      </c>
      <c r="D89" s="131">
        <v>6.0805294745938529E-2</v>
      </c>
      <c r="E89" s="131">
        <v>4.2722109685312565E-2</v>
      </c>
      <c r="F89" s="131">
        <v>6.1110832332095619E-2</v>
      </c>
      <c r="G89" s="131">
        <v>7.2752505603320056E-2</v>
      </c>
      <c r="H89" s="124">
        <v>27.5</v>
      </c>
      <c r="I89" s="131">
        <v>0.46079552769026638</v>
      </c>
      <c r="J89" s="124">
        <v>27.5</v>
      </c>
      <c r="K89" s="132">
        <v>0.74187611307232371</v>
      </c>
      <c r="L89" s="128" t="s">
        <v>23</v>
      </c>
      <c r="M89" s="128" t="s">
        <v>23</v>
      </c>
      <c r="N89" s="128" t="s">
        <v>23</v>
      </c>
      <c r="O89" s="128" t="s">
        <v>23</v>
      </c>
      <c r="P89" s="128" t="s">
        <v>23</v>
      </c>
      <c r="Q89" s="128" t="s">
        <v>23</v>
      </c>
      <c r="R89" s="128" t="s">
        <v>23</v>
      </c>
      <c r="S89" s="128" t="s">
        <v>23</v>
      </c>
      <c r="T89" s="128" t="s">
        <v>23</v>
      </c>
      <c r="U89" s="128" t="s">
        <v>23</v>
      </c>
      <c r="V89" s="128" t="s">
        <v>23</v>
      </c>
      <c r="W89" s="128" t="s">
        <v>23</v>
      </c>
      <c r="X89" s="189"/>
    </row>
    <row r="90" spans="1:24">
      <c r="A90" s="185">
        <v>24</v>
      </c>
      <c r="B90" s="132">
        <v>0.11229415029119311</v>
      </c>
      <c r="C90" s="124">
        <v>24</v>
      </c>
      <c r="D90" s="131">
        <v>6.0812011157177437E-2</v>
      </c>
      <c r="E90" s="131">
        <v>4.2725157276159338E-2</v>
      </c>
      <c r="F90" s="131">
        <v>7.0504249909696753E-2</v>
      </c>
      <c r="G90" s="131">
        <v>8.4144867868492262E-2</v>
      </c>
      <c r="H90" s="124">
        <v>34</v>
      </c>
      <c r="I90" s="131">
        <v>0.55469581665971057</v>
      </c>
      <c r="J90" s="124">
        <v>34</v>
      </c>
      <c r="K90" s="132">
        <v>0.80572527013588746</v>
      </c>
      <c r="L90" s="128"/>
      <c r="M90" s="128"/>
      <c r="N90" s="128"/>
      <c r="O90" s="128"/>
      <c r="P90" s="128"/>
      <c r="Q90" s="128"/>
      <c r="R90" s="128"/>
      <c r="S90" s="128"/>
      <c r="T90" s="128"/>
      <c r="U90" s="128"/>
      <c r="V90" s="128"/>
      <c r="W90" s="128"/>
      <c r="X90" s="189"/>
    </row>
    <row r="91" spans="1:24">
      <c r="A91" s="185">
        <v>27.5</v>
      </c>
      <c r="B91" s="132">
        <v>0.13456343305947144</v>
      </c>
      <c r="C91" s="124">
        <v>27.5</v>
      </c>
      <c r="D91" s="131">
        <v>6.9852005977734916E-2</v>
      </c>
      <c r="E91" s="131">
        <v>4.9638495494730324E-2</v>
      </c>
      <c r="F91" s="131">
        <v>0.11344253287860405</v>
      </c>
      <c r="G91" s="131">
        <v>0.11817769883433427</v>
      </c>
      <c r="H91" s="124">
        <v>41.5</v>
      </c>
      <c r="I91" s="131">
        <v>0.62746918577262634</v>
      </c>
      <c r="J91" s="124">
        <v>41.5</v>
      </c>
      <c r="K91" s="132">
        <v>0.84909824302295978</v>
      </c>
      <c r="L91" s="135"/>
      <c r="M91" s="135"/>
      <c r="N91" s="135"/>
      <c r="O91" s="135"/>
      <c r="P91" s="135"/>
      <c r="Q91" s="135"/>
      <c r="R91" s="135"/>
      <c r="S91" s="135"/>
      <c r="T91" s="135"/>
      <c r="U91" s="135"/>
      <c r="V91" s="135"/>
      <c r="W91" s="135"/>
      <c r="X91" s="189"/>
    </row>
    <row r="92" spans="1:24">
      <c r="A92" s="185">
        <v>34</v>
      </c>
      <c r="B92" s="132">
        <v>0.17687687250874451</v>
      </c>
      <c r="C92" s="124">
        <v>34</v>
      </c>
      <c r="D92" s="131">
        <v>0.10269153853330071</v>
      </c>
      <c r="E92" s="131">
        <v>7.4118514958415704E-2</v>
      </c>
      <c r="F92" s="131">
        <v>0.15186463523666383</v>
      </c>
      <c r="G92" s="131">
        <v>0.16832224675520491</v>
      </c>
      <c r="H92" s="124">
        <v>49</v>
      </c>
      <c r="I92" s="131">
        <v>0.69102354857484427</v>
      </c>
      <c r="J92" s="124">
        <v>49</v>
      </c>
      <c r="K92" s="132">
        <v>0.88988892118062801</v>
      </c>
      <c r="L92" s="187"/>
      <c r="M92" s="187"/>
      <c r="N92" s="187"/>
      <c r="O92" s="187"/>
      <c r="P92" s="187"/>
      <c r="Q92" s="187"/>
      <c r="R92" s="187"/>
      <c r="S92" s="187"/>
      <c r="T92" s="187"/>
      <c r="U92" s="187"/>
      <c r="V92" s="187"/>
      <c r="W92" s="187"/>
      <c r="X92" s="189"/>
    </row>
    <row r="93" spans="1:24">
      <c r="A93" s="185">
        <v>41.5</v>
      </c>
      <c r="B93" s="132">
        <v>0.22745518337625484</v>
      </c>
      <c r="C93" s="124">
        <v>41.5</v>
      </c>
      <c r="D93" s="131">
        <v>0.15246370631266692</v>
      </c>
      <c r="E93" s="131">
        <v>0.11119844493202312</v>
      </c>
      <c r="F93" s="131">
        <v>0.1975471480653988</v>
      </c>
      <c r="G93" s="131">
        <v>0.20454798252093723</v>
      </c>
      <c r="H93" s="124">
        <v>64</v>
      </c>
      <c r="I93" s="131">
        <v>0.82647077778795375</v>
      </c>
      <c r="J93" s="124">
        <v>64</v>
      </c>
      <c r="K93" s="132">
        <v>0.95017816508856001</v>
      </c>
      <c r="L93" s="187"/>
      <c r="M93" s="187"/>
      <c r="N93" s="187"/>
      <c r="O93" s="187"/>
      <c r="P93" s="187"/>
      <c r="Q93" s="187"/>
      <c r="R93" s="187"/>
      <c r="S93" s="187"/>
      <c r="T93" s="187"/>
      <c r="U93" s="187"/>
      <c r="V93" s="187"/>
      <c r="W93" s="187"/>
      <c r="X93" s="189"/>
    </row>
    <row r="94" spans="1:24">
      <c r="A94" s="185">
        <v>49</v>
      </c>
      <c r="B94" s="132">
        <v>0.26147909525192076</v>
      </c>
      <c r="C94" s="124">
        <v>49</v>
      </c>
      <c r="D94" s="131">
        <v>0.18026007741036743</v>
      </c>
      <c r="E94" s="131">
        <v>0.1322844095757128</v>
      </c>
      <c r="F94" s="131">
        <v>0.23720373461621042</v>
      </c>
      <c r="G94" s="131">
        <v>0.25063489369902187</v>
      </c>
      <c r="H94" s="124">
        <v>77.5</v>
      </c>
      <c r="I94" s="131">
        <v>0.84902379158552788</v>
      </c>
      <c r="J94" s="124">
        <v>77.5</v>
      </c>
      <c r="K94" s="132">
        <v>0.96280137108307418</v>
      </c>
      <c r="L94" s="187"/>
      <c r="M94" s="187"/>
      <c r="N94" s="187"/>
      <c r="O94" s="187"/>
      <c r="P94" s="187"/>
      <c r="Q94" s="187"/>
      <c r="R94" s="187"/>
      <c r="S94" s="187"/>
      <c r="T94" s="187"/>
      <c r="U94" s="187"/>
      <c r="V94" s="187"/>
      <c r="W94" s="187"/>
      <c r="X94" s="189"/>
    </row>
    <row r="95" spans="1:24">
      <c r="A95" s="185">
        <v>59</v>
      </c>
      <c r="B95" s="132">
        <v>0.31340026144701638</v>
      </c>
      <c r="C95" s="124">
        <v>59</v>
      </c>
      <c r="D95" s="131">
        <v>0.22916430694184206</v>
      </c>
      <c r="E95" s="131">
        <v>0.16777804485039516</v>
      </c>
      <c r="F95" s="131">
        <v>0.29268133519203143</v>
      </c>
      <c r="G95" s="131">
        <v>0.29774359534569911</v>
      </c>
      <c r="H95" s="124">
        <v>85</v>
      </c>
      <c r="I95" s="131">
        <v>0.89703381560273221</v>
      </c>
      <c r="J95" s="124">
        <v>85</v>
      </c>
      <c r="K95" s="132">
        <v>0.97104708165058384</v>
      </c>
      <c r="L95" s="187"/>
      <c r="M95" s="187"/>
      <c r="N95" s="128"/>
      <c r="O95" s="128"/>
      <c r="P95" s="128"/>
      <c r="Q95" s="128"/>
      <c r="R95" s="128"/>
      <c r="S95" s="128"/>
      <c r="T95" s="128"/>
      <c r="U95" s="128"/>
      <c r="V95" s="128"/>
      <c r="W95" s="128"/>
      <c r="X95" s="189"/>
    </row>
    <row r="96" spans="1:24">
      <c r="A96" s="185">
        <v>70</v>
      </c>
      <c r="B96" s="132">
        <v>0.35446466181753156</v>
      </c>
      <c r="C96" s="124">
        <v>70</v>
      </c>
      <c r="D96" s="131">
        <v>0.26848407901362892</v>
      </c>
      <c r="E96" s="131">
        <v>0.19777257869523016</v>
      </c>
      <c r="F96" s="131">
        <v>0.33708731530081454</v>
      </c>
      <c r="G96" s="131">
        <v>0.33809479857322444</v>
      </c>
      <c r="H96" s="124">
        <v>92.5</v>
      </c>
      <c r="I96" s="131">
        <v>0.9102653348515275</v>
      </c>
      <c r="J96" s="124">
        <v>92.5</v>
      </c>
      <c r="K96" s="132">
        <v>0.9734252572599108</v>
      </c>
      <c r="L96" s="128"/>
      <c r="M96" s="128"/>
      <c r="N96" s="128"/>
      <c r="O96" s="128"/>
      <c r="P96" s="128"/>
      <c r="Q96" s="128"/>
      <c r="R96" s="128"/>
      <c r="S96" s="128"/>
      <c r="T96" s="128"/>
      <c r="U96" s="128"/>
      <c r="V96" s="128"/>
      <c r="W96" s="187"/>
      <c r="X96" s="189"/>
    </row>
    <row r="97" spans="1:24">
      <c r="A97" s="185">
        <v>77.5</v>
      </c>
      <c r="B97" s="132">
        <v>0.37052523008918825</v>
      </c>
      <c r="C97" s="124">
        <v>77.5</v>
      </c>
      <c r="D97" s="131">
        <v>0.28358311395790831</v>
      </c>
      <c r="E97" s="131">
        <v>0.2096757669036797</v>
      </c>
      <c r="F97" s="131">
        <v>0.35487215937137651</v>
      </c>
      <c r="G97" s="131">
        <v>0.35531781466586237</v>
      </c>
      <c r="H97" s="124">
        <v>97.5</v>
      </c>
      <c r="I97" s="131">
        <v>0.92082042729102642</v>
      </c>
      <c r="J97" s="124">
        <v>97.5</v>
      </c>
      <c r="K97" s="132">
        <v>0.98538096192096836</v>
      </c>
      <c r="L97" s="187"/>
      <c r="M97" s="187"/>
      <c r="N97" s="135"/>
      <c r="O97" s="135"/>
      <c r="P97" s="135"/>
      <c r="Q97" s="135"/>
      <c r="R97" s="135"/>
      <c r="S97" s="135"/>
      <c r="T97" s="135"/>
      <c r="U97" s="135"/>
      <c r="V97" s="135"/>
      <c r="W97" s="187"/>
      <c r="X97" s="189"/>
    </row>
    <row r="98" spans="1:24">
      <c r="A98" s="185">
        <v>85</v>
      </c>
      <c r="B98" s="132">
        <v>0.40118605681302155</v>
      </c>
      <c r="C98" s="124">
        <v>85</v>
      </c>
      <c r="D98" s="131">
        <v>0.30991638435914531</v>
      </c>
      <c r="E98" s="131">
        <v>0.22941287323145237</v>
      </c>
      <c r="F98" s="131">
        <v>0.39130367353021067</v>
      </c>
      <c r="G98" s="131">
        <v>0.41449536942747695</v>
      </c>
      <c r="H98" s="124">
        <v>102.5</v>
      </c>
      <c r="I98" s="131">
        <v>0.93531563601072387</v>
      </c>
      <c r="J98" s="124">
        <v>102.5</v>
      </c>
      <c r="K98" s="132">
        <v>0.9871668578668249</v>
      </c>
      <c r="L98" s="187"/>
      <c r="M98" s="187"/>
      <c r="N98" s="128"/>
      <c r="O98" s="128"/>
      <c r="P98" s="128"/>
      <c r="Q98" s="128"/>
      <c r="R98" s="128"/>
      <c r="S98" s="128"/>
      <c r="T98" s="128"/>
      <c r="U98" s="128"/>
      <c r="V98" s="128"/>
      <c r="W98" s="187"/>
      <c r="X98" s="189"/>
    </row>
    <row r="99" spans="1:24">
      <c r="A99" s="185">
        <v>92.5</v>
      </c>
      <c r="B99" s="132">
        <v>0.41302470902401206</v>
      </c>
      <c r="C99" s="124">
        <v>92.5</v>
      </c>
      <c r="D99" s="131">
        <v>0.32115277408881093</v>
      </c>
      <c r="E99" s="131">
        <v>0.2381057111917454</v>
      </c>
      <c r="F99" s="131">
        <v>0.40480802717613923</v>
      </c>
      <c r="G99" s="131">
        <v>0.44107511149188566</v>
      </c>
      <c r="H99" s="124">
        <v>107.5</v>
      </c>
      <c r="I99" s="131">
        <v>0.94297457075439928</v>
      </c>
      <c r="J99" s="124">
        <v>107.5</v>
      </c>
      <c r="K99" s="132">
        <v>0.9871668578668249</v>
      </c>
      <c r="L99" s="187"/>
      <c r="M99" s="187"/>
      <c r="N99" s="135"/>
      <c r="O99" s="135"/>
      <c r="P99" s="135"/>
      <c r="Q99" s="135"/>
      <c r="R99" s="135"/>
      <c r="S99" s="135"/>
      <c r="T99" s="135"/>
      <c r="U99" s="135"/>
      <c r="V99" s="135"/>
      <c r="W99" s="187"/>
      <c r="X99" s="189"/>
    </row>
    <row r="100" spans="1:24">
      <c r="A100" s="185">
        <v>97.5</v>
      </c>
      <c r="B100" s="132">
        <v>0.42322256148538767</v>
      </c>
      <c r="C100" s="124">
        <v>97.5</v>
      </c>
      <c r="D100" s="131">
        <v>0.33032653973745235</v>
      </c>
      <c r="E100" s="131">
        <v>0.24607418886663385</v>
      </c>
      <c r="F100" s="131">
        <v>0.42329241079993862</v>
      </c>
      <c r="G100" s="131">
        <v>0.45729201080538767</v>
      </c>
      <c r="H100" s="124">
        <v>112.5</v>
      </c>
      <c r="I100" s="131">
        <v>0.94875983394134666</v>
      </c>
      <c r="J100" s="124">
        <v>112.5</v>
      </c>
      <c r="K100" s="132">
        <v>0.98957790985273242</v>
      </c>
      <c r="L100" s="187"/>
      <c r="M100" s="187"/>
      <c r="N100" s="187"/>
      <c r="O100" s="187"/>
      <c r="P100" s="187"/>
      <c r="Q100" s="187"/>
      <c r="R100" s="187"/>
      <c r="S100" s="187"/>
      <c r="T100" s="187"/>
      <c r="U100" s="187"/>
      <c r="V100" s="187"/>
      <c r="W100" s="187"/>
      <c r="X100" s="189"/>
    </row>
    <row r="101" spans="1:24">
      <c r="A101" s="185">
        <v>102.5</v>
      </c>
      <c r="B101" s="132">
        <v>0.43278125328516948</v>
      </c>
      <c r="C101" s="124">
        <v>102.5</v>
      </c>
      <c r="D101" s="131">
        <v>0.33860381802440337</v>
      </c>
      <c r="E101" s="131">
        <v>0.25246702685419403</v>
      </c>
      <c r="F101" s="131">
        <v>0.4349604700158643</v>
      </c>
      <c r="G101" s="131">
        <v>0.47493778236382228</v>
      </c>
      <c r="H101" s="124">
        <v>117.5</v>
      </c>
      <c r="I101" s="131">
        <v>0.95315712299235267</v>
      </c>
      <c r="J101" s="124">
        <v>117.5</v>
      </c>
      <c r="K101" s="132">
        <v>0.98957790985273242</v>
      </c>
      <c r="L101" s="187"/>
      <c r="M101" s="187"/>
      <c r="N101" s="187"/>
      <c r="O101" s="187"/>
      <c r="P101" s="187"/>
      <c r="Q101" s="187"/>
      <c r="R101" s="187"/>
      <c r="S101" s="187"/>
      <c r="T101" s="187"/>
      <c r="U101" s="187"/>
      <c r="V101" s="187"/>
      <c r="W101" s="187"/>
      <c r="X101" s="189"/>
    </row>
    <row r="102" spans="1:24">
      <c r="A102" s="185">
        <v>107.5</v>
      </c>
      <c r="B102" s="132">
        <v>0.44212756248231755</v>
      </c>
      <c r="C102" s="124">
        <v>107.5</v>
      </c>
      <c r="D102" s="131">
        <v>0.34928476018081528</v>
      </c>
      <c r="E102" s="131">
        <v>0.25815866525622017</v>
      </c>
      <c r="F102" s="131">
        <v>0.44278448961200884</v>
      </c>
      <c r="G102" s="131">
        <v>0.49190205706087492</v>
      </c>
      <c r="H102" s="124">
        <v>122.5</v>
      </c>
      <c r="I102" s="131">
        <v>0.95551555058918702</v>
      </c>
      <c r="J102" s="124">
        <v>122.5</v>
      </c>
      <c r="K102" s="132">
        <v>0.99176692084982732</v>
      </c>
      <c r="L102" s="187"/>
      <c r="M102" s="187"/>
      <c r="N102" s="187"/>
      <c r="O102" s="187"/>
      <c r="P102" s="187"/>
      <c r="Q102" s="187"/>
      <c r="R102" s="187"/>
      <c r="S102" s="187"/>
      <c r="T102" s="187"/>
      <c r="U102" s="187"/>
      <c r="V102" s="187"/>
      <c r="W102" s="187"/>
      <c r="X102" s="189"/>
    </row>
    <row r="103" spans="1:24">
      <c r="A103" s="185">
        <v>112.5</v>
      </c>
      <c r="B103" s="132">
        <v>0.45053143408973734</v>
      </c>
      <c r="C103" s="124">
        <v>112.5</v>
      </c>
      <c r="D103" s="131">
        <v>0.35598225413446011</v>
      </c>
      <c r="E103" s="131">
        <v>0.26599651915919653</v>
      </c>
      <c r="F103" s="131">
        <v>0.45538157802303708</v>
      </c>
      <c r="G103" s="131">
        <v>0.53367327233578965</v>
      </c>
      <c r="H103" s="124">
        <v>137.5</v>
      </c>
      <c r="I103" s="131">
        <v>0.97856053156597123</v>
      </c>
      <c r="J103" s="124">
        <v>137.5</v>
      </c>
      <c r="K103" s="132">
        <v>0.99676342387074612</v>
      </c>
      <c r="L103" s="187"/>
      <c r="M103" s="187"/>
      <c r="N103" s="187"/>
      <c r="O103" s="187"/>
      <c r="P103" s="187"/>
      <c r="Q103" s="187"/>
      <c r="R103" s="187"/>
      <c r="S103" s="187"/>
      <c r="T103" s="187"/>
      <c r="U103" s="187"/>
      <c r="V103" s="187"/>
      <c r="W103" s="187"/>
      <c r="X103" s="189"/>
    </row>
    <row r="104" spans="1:24" ht="16" thickBot="1">
      <c r="A104" s="185">
        <v>117.5</v>
      </c>
      <c r="B104" s="132">
        <v>0.45911811154158871</v>
      </c>
      <c r="C104" s="124">
        <v>117.5</v>
      </c>
      <c r="D104" s="131">
        <v>0.36511872914724336</v>
      </c>
      <c r="E104" s="131">
        <v>0.27466292430419226</v>
      </c>
      <c r="F104" s="131">
        <v>0.46189319209431778</v>
      </c>
      <c r="G104" s="131">
        <v>0.55783392647732233</v>
      </c>
      <c r="H104" s="124">
        <v>225</v>
      </c>
      <c r="I104" s="131">
        <v>1</v>
      </c>
      <c r="J104" s="124">
        <v>225</v>
      </c>
      <c r="K104" s="132">
        <v>1</v>
      </c>
      <c r="L104" s="187"/>
      <c r="M104" s="187"/>
      <c r="N104" s="187"/>
      <c r="O104" s="187"/>
      <c r="P104" s="187"/>
      <c r="Q104" s="187"/>
      <c r="R104" s="187"/>
      <c r="S104" s="187"/>
      <c r="T104" s="187"/>
      <c r="U104" s="187"/>
      <c r="V104" s="187"/>
      <c r="W104" s="187"/>
      <c r="X104" s="189"/>
    </row>
    <row r="105" spans="1:24" ht="16" thickBot="1">
      <c r="A105" s="185">
        <v>122.5</v>
      </c>
      <c r="B105" s="132">
        <v>0.46420537908215104</v>
      </c>
      <c r="C105" s="124">
        <v>122.5</v>
      </c>
      <c r="D105" s="131">
        <v>0.36849529319996738</v>
      </c>
      <c r="E105" s="131">
        <v>0.28283169660543001</v>
      </c>
      <c r="F105" s="131">
        <v>0.47059010833573883</v>
      </c>
      <c r="G105" s="131">
        <v>0.58037034692478451</v>
      </c>
      <c r="H105" s="124">
        <v>300</v>
      </c>
      <c r="I105" s="131">
        <v>1</v>
      </c>
      <c r="J105" s="124">
        <v>300</v>
      </c>
      <c r="K105" s="132">
        <v>1</v>
      </c>
      <c r="O105" s="187"/>
      <c r="P105" s="187"/>
      <c r="Q105" s="396" t="s">
        <v>135</v>
      </c>
      <c r="R105" s="397"/>
      <c r="S105" s="398"/>
      <c r="T105" s="187"/>
      <c r="U105" s="187"/>
      <c r="V105" s="187"/>
      <c r="W105" s="187"/>
      <c r="X105" s="189"/>
    </row>
    <row r="106" spans="1:24">
      <c r="A106" s="185">
        <v>137.5</v>
      </c>
      <c r="B106" s="132">
        <v>0.50572855227118418</v>
      </c>
      <c r="C106" s="124">
        <v>137.5</v>
      </c>
      <c r="D106" s="131">
        <v>0.40636256348026306</v>
      </c>
      <c r="E106" s="131">
        <v>0.3249191837427961</v>
      </c>
      <c r="F106" s="131">
        <v>0.53384933247195754</v>
      </c>
      <c r="G106" s="131">
        <v>0.71501095731772357</v>
      </c>
      <c r="H106" s="127"/>
      <c r="I106" s="128"/>
      <c r="J106" s="124"/>
      <c r="K106" s="187"/>
      <c r="O106" s="187"/>
      <c r="P106" s="187"/>
      <c r="Q106" s="186" t="s">
        <v>108</v>
      </c>
      <c r="R106" s="187">
        <v>520</v>
      </c>
      <c r="S106" s="35">
        <v>0.85</v>
      </c>
      <c r="T106" s="187"/>
      <c r="U106" s="187"/>
      <c r="V106" s="187"/>
      <c r="W106" s="187"/>
      <c r="X106" s="189"/>
    </row>
    <row r="107" spans="1:24">
      <c r="A107" s="185">
        <v>225</v>
      </c>
      <c r="B107" s="132">
        <v>0.64846491432965259</v>
      </c>
      <c r="C107" s="124">
        <v>225</v>
      </c>
      <c r="D107" s="131">
        <v>0.56246128542409179</v>
      </c>
      <c r="E107" s="131">
        <v>0.4803829639630729</v>
      </c>
      <c r="F107" s="131">
        <v>0.7597007193345866</v>
      </c>
      <c r="G107" s="131">
        <v>0.95029979689296795</v>
      </c>
      <c r="H107" s="127"/>
      <c r="I107" s="128"/>
      <c r="J107" s="124"/>
      <c r="K107" s="187"/>
      <c r="O107" s="187"/>
      <c r="P107" s="187"/>
      <c r="Q107" s="191" t="s">
        <v>70</v>
      </c>
      <c r="R107" s="187">
        <v>595</v>
      </c>
      <c r="S107" s="35">
        <v>0.85</v>
      </c>
      <c r="T107" s="187"/>
      <c r="U107" s="187"/>
      <c r="V107" s="187"/>
      <c r="W107" s="187"/>
      <c r="X107" s="189"/>
    </row>
    <row r="108" spans="1:24">
      <c r="A108" s="185">
        <v>350</v>
      </c>
      <c r="B108" s="132">
        <v>0.75974267254050731</v>
      </c>
      <c r="C108" s="124">
        <v>350</v>
      </c>
      <c r="D108" s="131">
        <v>0.71438567519220664</v>
      </c>
      <c r="E108" s="131">
        <v>0.58196980594107228</v>
      </c>
      <c r="F108" s="131">
        <v>0.85738447199414514</v>
      </c>
      <c r="G108" s="131">
        <v>1</v>
      </c>
      <c r="H108" s="127"/>
      <c r="I108" s="128"/>
      <c r="J108" s="124"/>
      <c r="K108" s="187"/>
      <c r="O108" s="187"/>
      <c r="P108" s="187"/>
      <c r="Q108" s="191" t="s">
        <v>71</v>
      </c>
      <c r="R108" s="187">
        <v>610</v>
      </c>
      <c r="S108" s="35">
        <v>0.85</v>
      </c>
      <c r="T108" s="187"/>
      <c r="U108" s="187"/>
      <c r="V108" s="187"/>
      <c r="W108" s="187"/>
      <c r="X108" s="189"/>
    </row>
    <row r="109" spans="1:24">
      <c r="A109" s="185">
        <v>450</v>
      </c>
      <c r="B109" s="132">
        <v>0.80639148811508954</v>
      </c>
      <c r="C109" s="127">
        <v>450</v>
      </c>
      <c r="D109" s="131">
        <v>0.77219530244438095</v>
      </c>
      <c r="E109" s="131">
        <v>0.64319532328072371</v>
      </c>
      <c r="F109" s="131">
        <v>0.90925896555017793</v>
      </c>
      <c r="G109" s="131">
        <v>1</v>
      </c>
      <c r="H109" s="134"/>
      <c r="I109" s="135"/>
      <c r="J109" s="124"/>
      <c r="K109" s="187"/>
      <c r="O109" s="187"/>
      <c r="P109" s="187"/>
      <c r="Q109" s="191" t="s">
        <v>72</v>
      </c>
      <c r="R109" s="187">
        <v>340</v>
      </c>
      <c r="S109" s="35">
        <v>0.85</v>
      </c>
      <c r="T109" s="187"/>
      <c r="U109" s="187"/>
      <c r="V109" s="187"/>
      <c r="W109" s="187"/>
      <c r="X109" s="189"/>
    </row>
    <row r="110" spans="1:24">
      <c r="A110" s="185">
        <v>750</v>
      </c>
      <c r="B110" s="132">
        <v>0.93381545297540181</v>
      </c>
      <c r="C110" s="124">
        <v>750</v>
      </c>
      <c r="D110" s="131">
        <v>0.90170610412900543</v>
      </c>
      <c r="E110" s="131">
        <v>0.93149417829415715</v>
      </c>
      <c r="F110" s="131">
        <v>1</v>
      </c>
      <c r="G110" s="131">
        <v>1</v>
      </c>
      <c r="H110" s="124"/>
      <c r="I110" s="187"/>
      <c r="J110" s="124"/>
      <c r="K110" s="187"/>
      <c r="O110" s="187"/>
      <c r="P110" s="187"/>
      <c r="Q110" s="191" t="s">
        <v>73</v>
      </c>
      <c r="R110" s="187">
        <v>175</v>
      </c>
      <c r="S110" s="35">
        <v>0.85</v>
      </c>
      <c r="T110" s="187"/>
      <c r="U110" s="187"/>
      <c r="V110" s="187"/>
      <c r="W110" s="187"/>
      <c r="X110" s="189"/>
    </row>
    <row r="111" spans="1:24">
      <c r="A111" s="185">
        <v>1500</v>
      </c>
      <c r="B111" s="130">
        <v>1</v>
      </c>
      <c r="C111" s="124">
        <v>1500</v>
      </c>
      <c r="D111" s="131">
        <v>1</v>
      </c>
      <c r="E111" s="131">
        <v>1</v>
      </c>
      <c r="F111" s="131">
        <v>1</v>
      </c>
      <c r="G111" s="131">
        <v>1</v>
      </c>
      <c r="H111" s="127" t="s">
        <v>23</v>
      </c>
      <c r="I111" s="128" t="s">
        <v>23</v>
      </c>
      <c r="J111" s="124"/>
      <c r="K111" s="187"/>
      <c r="O111" s="187"/>
      <c r="P111" s="187"/>
      <c r="Q111" s="191" t="s">
        <v>74</v>
      </c>
      <c r="R111" s="187">
        <v>75</v>
      </c>
      <c r="S111" s="35">
        <v>0.85</v>
      </c>
      <c r="T111" s="187"/>
      <c r="U111" s="187"/>
      <c r="V111" s="187"/>
      <c r="W111" s="187"/>
      <c r="X111" s="189"/>
    </row>
    <row r="112" spans="1:24" ht="16" thickBot="1">
      <c r="A112" s="129">
        <v>3000</v>
      </c>
      <c r="B112" s="130">
        <v>1</v>
      </c>
      <c r="C112" s="124">
        <v>3000</v>
      </c>
      <c r="D112" s="131">
        <v>1</v>
      </c>
      <c r="E112" s="131">
        <v>1</v>
      </c>
      <c r="F112" s="131">
        <v>1</v>
      </c>
      <c r="G112" s="131">
        <v>1</v>
      </c>
      <c r="H112" s="127"/>
      <c r="I112" s="128"/>
      <c r="J112" s="124"/>
      <c r="K112" s="187"/>
      <c r="O112" s="187"/>
      <c r="P112" s="187"/>
      <c r="Q112" s="36" t="s">
        <v>109</v>
      </c>
      <c r="R112" s="37">
        <v>42</v>
      </c>
      <c r="S112" s="38">
        <v>0.85</v>
      </c>
      <c r="T112" s="187"/>
      <c r="U112" s="187"/>
      <c r="V112" s="187"/>
      <c r="W112" s="187"/>
      <c r="X112" s="189"/>
    </row>
    <row r="113" spans="1:24" ht="16" thickBot="1">
      <c r="A113" s="136">
        <v>5350</v>
      </c>
      <c r="B113" s="137">
        <v>1</v>
      </c>
      <c r="C113" s="138">
        <v>5350</v>
      </c>
      <c r="D113" s="141">
        <v>1</v>
      </c>
      <c r="E113" s="141">
        <v>1</v>
      </c>
      <c r="F113" s="141">
        <v>1</v>
      </c>
      <c r="G113" s="141">
        <v>1</v>
      </c>
      <c r="H113" s="142"/>
      <c r="I113" s="143"/>
      <c r="J113" s="138"/>
      <c r="K113" s="188"/>
      <c r="L113" s="188"/>
      <c r="M113" s="188"/>
      <c r="N113" s="188"/>
      <c r="O113" s="188"/>
      <c r="P113" s="188"/>
      <c r="Q113" s="188"/>
      <c r="R113" s="188"/>
      <c r="S113" s="188"/>
      <c r="T113" s="188"/>
      <c r="U113" s="188"/>
      <c r="V113" s="188"/>
      <c r="W113" s="188"/>
      <c r="X113" s="190"/>
    </row>
    <row r="114" spans="1:24" ht="16" thickBot="1"/>
    <row r="115" spans="1:24" ht="19">
      <c r="A115" s="399" t="s">
        <v>22</v>
      </c>
      <c r="B115" s="400"/>
      <c r="C115" s="400"/>
      <c r="D115" s="400"/>
      <c r="E115" s="400"/>
      <c r="F115" s="400"/>
      <c r="G115" s="400"/>
      <c r="H115" s="400"/>
      <c r="I115" s="400"/>
      <c r="J115" s="400"/>
      <c r="K115" s="400"/>
      <c r="L115" s="400"/>
      <c r="M115" s="400"/>
      <c r="N115" s="400"/>
      <c r="O115" s="400"/>
      <c r="P115" s="400"/>
      <c r="Q115" s="400"/>
      <c r="R115" s="400"/>
      <c r="S115" s="400"/>
      <c r="T115" s="400"/>
      <c r="U115" s="400"/>
      <c r="V115" s="400"/>
      <c r="W115" s="400"/>
      <c r="X115" s="401"/>
    </row>
    <row r="116" spans="1:24">
      <c r="A116" s="185"/>
      <c r="B116" s="187"/>
      <c r="C116" s="124"/>
      <c r="D116" s="187"/>
      <c r="E116" s="187"/>
      <c r="F116" s="187"/>
      <c r="G116" s="187"/>
      <c r="H116" s="124"/>
      <c r="I116" s="187"/>
      <c r="J116" s="124"/>
      <c r="K116" s="187"/>
      <c r="L116" s="187"/>
      <c r="M116" s="187"/>
      <c r="N116" s="187"/>
      <c r="O116" s="187"/>
      <c r="P116" s="187"/>
      <c r="Q116" s="187"/>
      <c r="R116" s="187"/>
      <c r="S116" s="187"/>
      <c r="T116" s="187"/>
      <c r="U116" s="187"/>
      <c r="V116" s="187"/>
      <c r="W116" s="187"/>
      <c r="X116" s="189"/>
    </row>
    <row r="117" spans="1:24">
      <c r="A117" s="185" t="s">
        <v>69</v>
      </c>
      <c r="B117" s="124" t="s">
        <v>50</v>
      </c>
      <c r="C117" s="124" t="s">
        <v>69</v>
      </c>
      <c r="D117" s="125" t="s">
        <v>8</v>
      </c>
      <c r="E117" s="126" t="s">
        <v>7</v>
      </c>
      <c r="F117" s="125" t="s">
        <v>6</v>
      </c>
      <c r="G117" s="126" t="s">
        <v>5</v>
      </c>
      <c r="H117" s="127"/>
      <c r="I117" s="125" t="s">
        <v>4</v>
      </c>
      <c r="J117" s="124"/>
      <c r="K117" s="125" t="s">
        <v>35</v>
      </c>
      <c r="L117" s="187"/>
      <c r="M117" s="187"/>
      <c r="N117" s="187"/>
      <c r="O117" s="187"/>
      <c r="P117" s="187"/>
      <c r="Q117" s="187"/>
      <c r="R117" s="187"/>
      <c r="S117" s="187"/>
      <c r="T117" s="187"/>
      <c r="U117" s="187"/>
      <c r="V117" s="187"/>
      <c r="W117" s="187"/>
      <c r="X117" s="189"/>
    </row>
    <row r="118" spans="1:24">
      <c r="A118" s="129" t="s">
        <v>68</v>
      </c>
      <c r="B118" s="124" t="s">
        <v>66</v>
      </c>
      <c r="C118" s="127" t="s">
        <v>68</v>
      </c>
      <c r="D118" s="124" t="s">
        <v>66</v>
      </c>
      <c r="E118" s="124" t="s">
        <v>66</v>
      </c>
      <c r="F118" s="124" t="s">
        <v>66</v>
      </c>
      <c r="G118" s="124" t="s">
        <v>66</v>
      </c>
      <c r="H118" s="127" t="s">
        <v>68</v>
      </c>
      <c r="I118" s="124" t="s">
        <v>66</v>
      </c>
      <c r="J118" s="127" t="s">
        <v>68</v>
      </c>
      <c r="K118" s="124" t="s">
        <v>66</v>
      </c>
      <c r="L118" s="187"/>
      <c r="M118" s="187"/>
      <c r="N118" s="187"/>
      <c r="O118" s="187"/>
      <c r="P118" s="187"/>
      <c r="Q118" s="187"/>
      <c r="R118" s="187"/>
      <c r="S118" s="187"/>
      <c r="T118" s="187"/>
      <c r="U118" s="187"/>
      <c r="V118" s="187"/>
      <c r="W118" s="187"/>
      <c r="X118" s="189"/>
    </row>
    <row r="119" spans="1:24">
      <c r="A119" s="129">
        <v>0.5</v>
      </c>
      <c r="B119" s="130">
        <v>0</v>
      </c>
      <c r="C119" s="124">
        <v>0.5</v>
      </c>
      <c r="D119" s="131">
        <v>0</v>
      </c>
      <c r="E119" s="131">
        <v>0</v>
      </c>
      <c r="F119" s="131">
        <v>0</v>
      </c>
      <c r="G119" s="131">
        <v>0</v>
      </c>
      <c r="H119" s="124">
        <v>0.5</v>
      </c>
      <c r="I119" s="131">
        <v>0</v>
      </c>
      <c r="J119" s="124">
        <v>0.5</v>
      </c>
      <c r="K119" s="132">
        <v>0</v>
      </c>
      <c r="L119" s="187"/>
      <c r="M119" s="187"/>
      <c r="N119" s="187"/>
      <c r="O119" s="187"/>
      <c r="P119" s="187"/>
      <c r="Q119" s="187"/>
      <c r="R119" s="187"/>
      <c r="S119" s="187"/>
      <c r="T119" s="187"/>
      <c r="U119" s="187"/>
      <c r="V119" s="187"/>
      <c r="W119" s="187"/>
      <c r="X119" s="189"/>
    </row>
    <row r="120" spans="1:24">
      <c r="A120" s="133">
        <v>2</v>
      </c>
      <c r="B120" s="130">
        <v>0</v>
      </c>
      <c r="C120" s="124">
        <v>2</v>
      </c>
      <c r="D120" s="131">
        <v>0</v>
      </c>
      <c r="E120" s="131">
        <v>0</v>
      </c>
      <c r="F120" s="131">
        <v>0</v>
      </c>
      <c r="G120" s="131">
        <v>0</v>
      </c>
      <c r="H120" s="124">
        <v>2</v>
      </c>
      <c r="I120" s="131">
        <v>0</v>
      </c>
      <c r="J120" s="124">
        <v>2</v>
      </c>
      <c r="K120" s="132">
        <v>0</v>
      </c>
      <c r="L120" s="128"/>
      <c r="M120" s="128"/>
      <c r="N120" s="187"/>
      <c r="O120" s="187"/>
      <c r="P120" s="187"/>
      <c r="Q120" s="187"/>
      <c r="R120" s="187"/>
      <c r="S120" s="187"/>
      <c r="T120" s="187"/>
      <c r="U120" s="187"/>
      <c r="V120" s="187"/>
      <c r="W120" s="187"/>
      <c r="X120" s="189"/>
    </row>
    <row r="121" spans="1:24">
      <c r="A121" s="129">
        <v>4</v>
      </c>
      <c r="B121" s="130">
        <v>0</v>
      </c>
      <c r="C121" s="124">
        <v>4</v>
      </c>
      <c r="D121" s="131">
        <v>0</v>
      </c>
      <c r="E121" s="131">
        <v>0</v>
      </c>
      <c r="F121" s="131">
        <v>0</v>
      </c>
      <c r="G121" s="131">
        <v>0</v>
      </c>
      <c r="H121" s="124">
        <v>4</v>
      </c>
      <c r="I121" s="131">
        <v>0</v>
      </c>
      <c r="J121" s="124">
        <v>4</v>
      </c>
      <c r="K121" s="132">
        <v>0.18472801331074917</v>
      </c>
      <c r="L121" s="187"/>
      <c r="M121" s="187"/>
      <c r="N121" s="187"/>
      <c r="O121" s="187"/>
      <c r="P121" s="187"/>
      <c r="Q121" s="187"/>
      <c r="R121" s="187"/>
      <c r="S121" s="187"/>
      <c r="T121" s="187"/>
      <c r="U121" s="187"/>
      <c r="V121" s="187"/>
      <c r="W121" s="187"/>
      <c r="X121" s="189"/>
    </row>
    <row r="122" spans="1:24">
      <c r="A122" s="133">
        <v>6</v>
      </c>
      <c r="B122" s="130">
        <v>1.2584633890436724E-2</v>
      </c>
      <c r="C122" s="124">
        <v>6</v>
      </c>
      <c r="D122" s="131">
        <v>0</v>
      </c>
      <c r="E122" s="131">
        <v>0</v>
      </c>
      <c r="F122" s="131">
        <v>0</v>
      </c>
      <c r="G122" s="131">
        <v>0</v>
      </c>
      <c r="H122" s="124">
        <v>6</v>
      </c>
      <c r="I122" s="131">
        <v>0.10155973324983737</v>
      </c>
      <c r="J122" s="124">
        <v>6</v>
      </c>
      <c r="K122" s="132">
        <v>0.25479708678937402</v>
      </c>
      <c r="L122" s="187"/>
      <c r="M122" s="187"/>
      <c r="N122" s="187"/>
      <c r="O122" s="187"/>
      <c r="P122" s="187"/>
      <c r="Q122" s="187"/>
      <c r="R122" s="187"/>
      <c r="S122" s="187"/>
      <c r="T122" s="187"/>
      <c r="U122" s="187"/>
      <c r="V122" s="187"/>
      <c r="W122" s="187"/>
      <c r="X122" s="189"/>
    </row>
    <row r="123" spans="1:24">
      <c r="A123" s="185">
        <v>8.5</v>
      </c>
      <c r="B123" s="132">
        <v>2.4303410207615624E-2</v>
      </c>
      <c r="C123" s="124">
        <v>8.5</v>
      </c>
      <c r="D123" s="131">
        <v>0</v>
      </c>
      <c r="E123" s="131">
        <v>0</v>
      </c>
      <c r="F123" s="131">
        <v>0</v>
      </c>
      <c r="G123" s="131">
        <v>2.4858054573687664E-2</v>
      </c>
      <c r="H123" s="124">
        <v>8.5</v>
      </c>
      <c r="I123" s="131">
        <v>0.1833615624886471</v>
      </c>
      <c r="J123" s="124">
        <v>8.5</v>
      </c>
      <c r="K123" s="132">
        <v>0.42081441413917675</v>
      </c>
      <c r="L123" s="128"/>
      <c r="M123" s="128"/>
      <c r="N123" s="128"/>
      <c r="O123" s="128"/>
      <c r="P123" s="128"/>
      <c r="Q123" s="128"/>
      <c r="R123" s="128"/>
      <c r="S123" s="128"/>
      <c r="T123" s="128"/>
      <c r="U123" s="128"/>
      <c r="V123" s="128"/>
      <c r="W123" s="128"/>
      <c r="X123" s="189"/>
    </row>
    <row r="124" spans="1:24">
      <c r="A124" s="185">
        <v>12.5</v>
      </c>
      <c r="B124" s="132">
        <v>5.902309231061046E-2</v>
      </c>
      <c r="C124" s="124">
        <v>12.5</v>
      </c>
      <c r="D124" s="131">
        <v>0</v>
      </c>
      <c r="E124" s="131">
        <v>0</v>
      </c>
      <c r="F124" s="131">
        <v>8.8334489460685228E-2</v>
      </c>
      <c r="G124" s="131">
        <v>7.4197731880803461E-2</v>
      </c>
      <c r="H124" s="124">
        <v>12.5</v>
      </c>
      <c r="I124" s="131">
        <v>0.35970767567314954</v>
      </c>
      <c r="J124" s="124">
        <v>12.5</v>
      </c>
      <c r="K124" s="132">
        <v>0.61278088545951404</v>
      </c>
      <c r="L124" s="128"/>
      <c r="M124" s="128"/>
      <c r="N124" s="128"/>
      <c r="O124" s="128"/>
      <c r="P124" s="128"/>
      <c r="Q124" s="128"/>
      <c r="R124" s="128"/>
      <c r="S124" s="128"/>
      <c r="T124" s="128"/>
      <c r="U124" s="128"/>
      <c r="V124" s="128"/>
      <c r="W124" s="128"/>
      <c r="X124" s="189"/>
    </row>
    <row r="125" spans="1:24">
      <c r="A125" s="185">
        <v>17.5</v>
      </c>
      <c r="B125" s="132">
        <v>6.8618487412811929E-2</v>
      </c>
      <c r="C125" s="124">
        <v>17.5</v>
      </c>
      <c r="D125" s="131">
        <v>0</v>
      </c>
      <c r="E125" s="131">
        <v>0</v>
      </c>
      <c r="F125" s="131">
        <v>8.8334489460685228E-2</v>
      </c>
      <c r="G125" s="131">
        <v>9.3840379892827133E-2</v>
      </c>
      <c r="H125" s="124">
        <v>17.5</v>
      </c>
      <c r="I125" s="131">
        <v>0.4998646967286276</v>
      </c>
      <c r="J125" s="124">
        <v>17.5</v>
      </c>
      <c r="K125" s="132">
        <v>0.76611078565373614</v>
      </c>
      <c r="L125" s="135"/>
      <c r="M125" s="135"/>
      <c r="N125" s="135"/>
      <c r="O125" s="135"/>
      <c r="P125" s="135"/>
      <c r="Q125" s="135"/>
      <c r="R125" s="135"/>
      <c r="S125" s="135"/>
      <c r="T125" s="135"/>
      <c r="U125" s="135"/>
      <c r="V125" s="135"/>
      <c r="W125" s="135"/>
      <c r="X125" s="189"/>
    </row>
    <row r="126" spans="1:24">
      <c r="A126" s="185">
        <v>21</v>
      </c>
      <c r="B126" s="132">
        <v>8.1863174246174217E-2</v>
      </c>
      <c r="C126" s="124">
        <v>21</v>
      </c>
      <c r="D126" s="131">
        <v>0</v>
      </c>
      <c r="E126" s="131">
        <v>0</v>
      </c>
      <c r="F126" s="131">
        <v>0.10368836739312422</v>
      </c>
      <c r="G126" s="131">
        <v>0.13360882574857511</v>
      </c>
      <c r="H126" s="124">
        <v>22.5</v>
      </c>
      <c r="I126" s="131">
        <v>0.60636042661422251</v>
      </c>
      <c r="J126" s="124">
        <v>22.5</v>
      </c>
      <c r="K126" s="132">
        <v>0.8594870844399628</v>
      </c>
      <c r="L126" s="187"/>
      <c r="M126" s="187"/>
      <c r="N126" s="187"/>
      <c r="O126" s="187"/>
      <c r="P126" s="187"/>
      <c r="Q126" s="187"/>
      <c r="R126" s="187"/>
      <c r="S126" s="187"/>
      <c r="T126" s="187"/>
      <c r="U126" s="187"/>
      <c r="V126" s="187"/>
      <c r="W126" s="187"/>
      <c r="X126" s="189"/>
    </row>
    <row r="127" spans="1:24">
      <c r="A127" s="185">
        <v>22.5</v>
      </c>
      <c r="B127" s="132">
        <v>0.20477586905722511</v>
      </c>
      <c r="C127" s="124">
        <v>22.5</v>
      </c>
      <c r="D127" s="131">
        <v>0.14818379300601253</v>
      </c>
      <c r="E127" s="131">
        <v>0.16389207158073377</v>
      </c>
      <c r="F127" s="131">
        <v>0.1338430931515881</v>
      </c>
      <c r="G127" s="131">
        <v>0.1779042344630308</v>
      </c>
      <c r="H127" s="124">
        <v>27.5</v>
      </c>
      <c r="I127" s="131">
        <v>0.68936074259954361</v>
      </c>
      <c r="J127" s="124">
        <v>27.5</v>
      </c>
      <c r="K127" s="132">
        <v>0.92017477435055872</v>
      </c>
      <c r="L127" s="128" t="s">
        <v>23</v>
      </c>
      <c r="M127" s="128" t="s">
        <v>23</v>
      </c>
      <c r="N127" s="128" t="s">
        <v>23</v>
      </c>
      <c r="O127" s="128" t="s">
        <v>23</v>
      </c>
      <c r="P127" s="128" t="s">
        <v>23</v>
      </c>
      <c r="Q127" s="128" t="s">
        <v>23</v>
      </c>
      <c r="R127" s="128" t="s">
        <v>23</v>
      </c>
      <c r="S127" s="128" t="s">
        <v>23</v>
      </c>
      <c r="T127" s="128" t="s">
        <v>23</v>
      </c>
      <c r="U127" s="128" t="s">
        <v>23</v>
      </c>
      <c r="V127" s="128" t="s">
        <v>23</v>
      </c>
      <c r="W127" s="128" t="s">
        <v>23</v>
      </c>
      <c r="X127" s="189"/>
    </row>
    <row r="128" spans="1:24">
      <c r="A128" s="185">
        <v>24</v>
      </c>
      <c r="B128" s="132">
        <v>0.21268660927587574</v>
      </c>
      <c r="C128" s="124">
        <v>24</v>
      </c>
      <c r="D128" s="131">
        <v>0.14819733803383023</v>
      </c>
      <c r="E128" s="131">
        <v>0.16389207158073377</v>
      </c>
      <c r="F128" s="131">
        <v>0.14753302436765978</v>
      </c>
      <c r="G128" s="131">
        <v>0.20469311314421731</v>
      </c>
      <c r="H128" s="124">
        <v>34</v>
      </c>
      <c r="I128" s="131">
        <v>0.78512646404579234</v>
      </c>
      <c r="J128" s="124">
        <v>34</v>
      </c>
      <c r="K128" s="132">
        <v>0.95213253260240049</v>
      </c>
      <c r="L128" s="128"/>
      <c r="M128" s="128"/>
      <c r="N128" s="128"/>
      <c r="O128" s="128"/>
      <c r="P128" s="128"/>
      <c r="Q128" s="128"/>
      <c r="R128" s="128"/>
      <c r="S128" s="128"/>
      <c r="T128" s="128"/>
      <c r="U128" s="128"/>
      <c r="V128" s="128"/>
      <c r="W128" s="128"/>
      <c r="X128" s="189"/>
    </row>
    <row r="129" spans="1:24">
      <c r="A129" s="185">
        <v>27.5</v>
      </c>
      <c r="B129" s="132">
        <v>0.25009939315761937</v>
      </c>
      <c r="C129" s="124">
        <v>27.5</v>
      </c>
      <c r="D129" s="131">
        <v>0.16874004322459607</v>
      </c>
      <c r="E129" s="131">
        <v>0.18081398217600353</v>
      </c>
      <c r="F129" s="131">
        <v>0.22785587764855664</v>
      </c>
      <c r="G129" s="131">
        <v>0.28045795400749318</v>
      </c>
      <c r="H129" s="124">
        <v>41.5</v>
      </c>
      <c r="I129" s="131">
        <v>0.8581808052895481</v>
      </c>
      <c r="J129" s="124">
        <v>41.5</v>
      </c>
      <c r="K129" s="132">
        <v>0.97140193254387053</v>
      </c>
      <c r="L129" s="135"/>
      <c r="M129" s="135"/>
      <c r="N129" s="135"/>
      <c r="O129" s="135"/>
      <c r="P129" s="135"/>
      <c r="Q129" s="135"/>
      <c r="R129" s="135"/>
      <c r="S129" s="135"/>
      <c r="T129" s="135"/>
      <c r="U129" s="135"/>
      <c r="V129" s="135"/>
      <c r="W129" s="135"/>
      <c r="X129" s="189"/>
    </row>
    <row r="130" spans="1:24">
      <c r="A130" s="185">
        <v>34</v>
      </c>
      <c r="B130" s="132">
        <v>0.32521496097152042</v>
      </c>
      <c r="C130" s="124">
        <v>34</v>
      </c>
      <c r="D130" s="131">
        <v>0.23904414778534475</v>
      </c>
      <c r="E130" s="131">
        <v>0.23852368866100523</v>
      </c>
      <c r="F130" s="131">
        <v>0.30777602838861751</v>
      </c>
      <c r="G130" s="131">
        <v>0.41300932940900786</v>
      </c>
      <c r="H130" s="124">
        <v>49</v>
      </c>
      <c r="I130" s="131">
        <v>0.89726231316944416</v>
      </c>
      <c r="J130" s="124">
        <v>49</v>
      </c>
      <c r="K130" s="132">
        <v>0.98800505566210939</v>
      </c>
      <c r="L130" s="187"/>
      <c r="M130" s="187"/>
      <c r="N130" s="187"/>
      <c r="O130" s="187"/>
      <c r="P130" s="187"/>
      <c r="Q130" s="187"/>
      <c r="R130" s="187"/>
      <c r="S130" s="187"/>
      <c r="T130" s="187"/>
      <c r="U130" s="187"/>
      <c r="V130" s="187"/>
      <c r="W130" s="187"/>
      <c r="X130" s="189"/>
    </row>
    <row r="131" spans="1:24">
      <c r="A131" s="185">
        <v>41.5</v>
      </c>
      <c r="B131" s="132">
        <v>0.42119470351781796</v>
      </c>
      <c r="C131" s="124">
        <v>41.5</v>
      </c>
      <c r="D131" s="131">
        <v>0.3415217290400856</v>
      </c>
      <c r="E131" s="131">
        <v>0.32986435029319644</v>
      </c>
      <c r="F131" s="131">
        <v>0.40696491231004589</v>
      </c>
      <c r="G131" s="131">
        <v>0.52311891147784007</v>
      </c>
      <c r="H131" s="124">
        <v>64</v>
      </c>
      <c r="I131" s="131">
        <v>0.97649455637515825</v>
      </c>
      <c r="J131" s="124">
        <v>64</v>
      </c>
      <c r="K131" s="132">
        <v>1</v>
      </c>
      <c r="L131" s="187"/>
      <c r="M131" s="187"/>
      <c r="N131" s="187"/>
      <c r="O131" s="187"/>
      <c r="P131" s="187"/>
      <c r="Q131" s="187"/>
      <c r="R131" s="187"/>
      <c r="S131" s="187"/>
      <c r="T131" s="187"/>
      <c r="U131" s="187"/>
      <c r="V131" s="187"/>
      <c r="W131" s="187"/>
      <c r="X131" s="189"/>
    </row>
    <row r="132" spans="1:24">
      <c r="A132" s="185">
        <v>49</v>
      </c>
      <c r="B132" s="132">
        <v>0.48414651298339983</v>
      </c>
      <c r="C132" s="124">
        <v>49</v>
      </c>
      <c r="D132" s="131">
        <v>0.40129296755936417</v>
      </c>
      <c r="E132" s="131">
        <v>0.38472620460584905</v>
      </c>
      <c r="F132" s="131">
        <v>0.50716282310693706</v>
      </c>
      <c r="G132" s="131">
        <v>0.62380170349703323</v>
      </c>
      <c r="H132" s="124">
        <v>77.5</v>
      </c>
      <c r="I132" s="131">
        <v>0.97649455637515825</v>
      </c>
      <c r="J132" s="124">
        <v>77.5</v>
      </c>
      <c r="K132" s="132">
        <v>1</v>
      </c>
      <c r="L132" s="187"/>
      <c r="M132" s="187"/>
      <c r="N132" s="187"/>
      <c r="O132" s="187"/>
      <c r="P132" s="187"/>
      <c r="Q132" s="187"/>
      <c r="R132" s="187"/>
      <c r="S132" s="187"/>
      <c r="T132" s="187"/>
      <c r="U132" s="187"/>
      <c r="V132" s="187"/>
      <c r="W132" s="187"/>
      <c r="X132" s="189"/>
    </row>
    <row r="133" spans="1:24">
      <c r="A133" s="185">
        <v>59</v>
      </c>
      <c r="B133" s="132">
        <v>0.59088427748752614</v>
      </c>
      <c r="C133" s="124">
        <v>59</v>
      </c>
      <c r="D133" s="131">
        <v>0.50033688670771204</v>
      </c>
      <c r="E133" s="131">
        <v>0.48981278877256385</v>
      </c>
      <c r="F133" s="131">
        <v>0.71558970646899767</v>
      </c>
      <c r="G133" s="131">
        <v>0.73555373895239029</v>
      </c>
      <c r="H133" s="124">
        <v>85</v>
      </c>
      <c r="I133" s="131">
        <v>0.98169621003171315</v>
      </c>
      <c r="J133" s="124">
        <v>85</v>
      </c>
      <c r="K133" s="132">
        <v>1</v>
      </c>
      <c r="L133" s="187"/>
      <c r="M133" s="187"/>
      <c r="N133" s="187"/>
      <c r="O133" s="187"/>
      <c r="P133" s="187"/>
      <c r="Q133" s="187"/>
      <c r="R133" s="187"/>
      <c r="S133" s="187"/>
      <c r="T133" s="187"/>
      <c r="U133" s="187"/>
      <c r="V133" s="187"/>
      <c r="W133" s="187"/>
      <c r="X133" s="189"/>
    </row>
    <row r="134" spans="1:24">
      <c r="A134" s="185">
        <v>70</v>
      </c>
      <c r="B134" s="132">
        <v>0.66455080615735318</v>
      </c>
      <c r="C134" s="124">
        <v>70</v>
      </c>
      <c r="D134" s="131">
        <v>0.5766986466452183</v>
      </c>
      <c r="E134" s="131">
        <v>0.57761588110897233</v>
      </c>
      <c r="F134" s="131">
        <v>0.80017663410121087</v>
      </c>
      <c r="G134" s="131">
        <v>0.78811265698762911</v>
      </c>
      <c r="H134" s="124">
        <v>92.5</v>
      </c>
      <c r="I134" s="131">
        <v>0.98169621003171315</v>
      </c>
      <c r="J134" s="124">
        <v>92.5</v>
      </c>
      <c r="K134" s="132">
        <v>1</v>
      </c>
      <c r="L134" s="187"/>
      <c r="M134" s="187"/>
      <c r="N134" s="187"/>
      <c r="O134" s="187"/>
      <c r="P134" s="187"/>
      <c r="Q134" s="187"/>
      <c r="R134" s="187"/>
      <c r="S134" s="187"/>
      <c r="T134" s="187"/>
      <c r="U134" s="187"/>
      <c r="V134" s="187"/>
      <c r="W134" s="187"/>
      <c r="X134" s="189"/>
    </row>
    <row r="135" spans="1:24">
      <c r="A135" s="185">
        <v>77.5</v>
      </c>
      <c r="B135" s="132">
        <v>0.6980432060612568</v>
      </c>
      <c r="C135" s="124">
        <v>77.5</v>
      </c>
      <c r="D135" s="131">
        <v>0.61236008295648858</v>
      </c>
      <c r="E135" s="131">
        <v>0.62053373886673779</v>
      </c>
      <c r="F135" s="131">
        <v>0.83379504320164588</v>
      </c>
      <c r="G135" s="131">
        <v>0.83219534663469441</v>
      </c>
      <c r="H135" s="124">
        <v>97.5</v>
      </c>
      <c r="I135" s="131">
        <v>0.98169621003171315</v>
      </c>
      <c r="J135" s="124">
        <v>97.5</v>
      </c>
      <c r="K135" s="132">
        <v>1</v>
      </c>
      <c r="L135" s="187"/>
      <c r="M135" s="187"/>
      <c r="N135" s="187"/>
      <c r="O135" s="187"/>
      <c r="P135" s="187"/>
      <c r="Q135" s="187"/>
      <c r="R135" s="187"/>
      <c r="S135" s="187"/>
      <c r="T135" s="187"/>
      <c r="U135" s="187"/>
      <c r="V135" s="187"/>
      <c r="W135" s="187"/>
      <c r="X135" s="189"/>
    </row>
    <row r="136" spans="1:24">
      <c r="A136" s="185">
        <v>85</v>
      </c>
      <c r="B136" s="132">
        <v>0.76017505271758234</v>
      </c>
      <c r="C136" s="124">
        <v>85</v>
      </c>
      <c r="D136" s="131">
        <v>0.68198492075908235</v>
      </c>
      <c r="E136" s="131">
        <v>0.68947292903124902</v>
      </c>
      <c r="F136" s="131">
        <v>0.93613714793448521</v>
      </c>
      <c r="G136" s="131">
        <v>0.85579907221235052</v>
      </c>
      <c r="H136" s="124">
        <v>102.5</v>
      </c>
      <c r="I136" s="131">
        <v>0.98169621003171315</v>
      </c>
      <c r="J136" s="124">
        <v>102.5</v>
      </c>
      <c r="K136" s="132">
        <v>1</v>
      </c>
      <c r="L136" s="187"/>
      <c r="M136" s="187"/>
      <c r="N136" s="187"/>
      <c r="O136" s="187"/>
      <c r="P136" s="187"/>
      <c r="Q136" s="187"/>
      <c r="R136" s="187"/>
      <c r="S136" s="187"/>
      <c r="T136" s="187"/>
      <c r="U136" s="187"/>
      <c r="V136" s="187"/>
      <c r="W136" s="187"/>
      <c r="X136" s="189"/>
    </row>
    <row r="137" spans="1:24">
      <c r="A137" s="185">
        <v>92.5</v>
      </c>
      <c r="B137" s="132">
        <v>0.78616653955488125</v>
      </c>
      <c r="C137" s="124">
        <v>92.5</v>
      </c>
      <c r="D137" s="131">
        <v>0.70726107264295635</v>
      </c>
      <c r="E137" s="131">
        <v>0.73163765289878879</v>
      </c>
      <c r="F137" s="131">
        <v>0.96204467059138732</v>
      </c>
      <c r="G137" s="131">
        <v>0.86953749443259609</v>
      </c>
      <c r="H137" s="124">
        <v>107.5</v>
      </c>
      <c r="I137" s="131">
        <v>0.98169621003171315</v>
      </c>
      <c r="J137" s="124">
        <v>107.5</v>
      </c>
      <c r="K137" s="132">
        <v>1</v>
      </c>
      <c r="L137" s="187"/>
      <c r="M137" s="187"/>
      <c r="N137" s="187"/>
      <c r="O137" s="187"/>
      <c r="P137" s="187"/>
      <c r="Q137" s="187"/>
      <c r="R137" s="187"/>
      <c r="S137" s="187"/>
      <c r="T137" s="187"/>
      <c r="U137" s="187"/>
      <c r="V137" s="187"/>
      <c r="W137" s="187"/>
      <c r="X137" s="189"/>
    </row>
    <row r="138" spans="1:24">
      <c r="A138" s="185">
        <v>97.5</v>
      </c>
      <c r="B138" s="132">
        <v>0.80282034877286856</v>
      </c>
      <c r="C138" s="124">
        <v>97.5</v>
      </c>
      <c r="D138" s="131">
        <v>0.72899144050576736</v>
      </c>
      <c r="E138" s="131">
        <v>0.75844719584215425</v>
      </c>
      <c r="F138" s="131">
        <v>0.96236484591615312</v>
      </c>
      <c r="G138" s="131">
        <v>0.86953749443259609</v>
      </c>
      <c r="H138" s="124">
        <v>112.5</v>
      </c>
      <c r="I138" s="131">
        <v>0.98169621003171315</v>
      </c>
      <c r="J138" s="124">
        <v>112.5</v>
      </c>
      <c r="K138" s="132">
        <v>1</v>
      </c>
      <c r="L138" s="187"/>
      <c r="M138" s="187"/>
      <c r="N138" s="187"/>
      <c r="O138" s="187"/>
      <c r="P138" s="187"/>
      <c r="Q138" s="187"/>
      <c r="R138" s="187"/>
      <c r="S138" s="187"/>
      <c r="T138" s="187"/>
      <c r="U138" s="187"/>
      <c r="V138" s="187"/>
      <c r="W138" s="187"/>
      <c r="X138" s="189"/>
    </row>
    <row r="139" spans="1:24">
      <c r="A139" s="185">
        <v>102.5</v>
      </c>
      <c r="B139" s="132">
        <v>0.83358418613848395</v>
      </c>
      <c r="C139" s="124">
        <v>102.5</v>
      </c>
      <c r="D139" s="131">
        <v>0.77850115378991602</v>
      </c>
      <c r="E139" s="131">
        <v>0.788463458303716</v>
      </c>
      <c r="F139" s="131">
        <v>0.96702194154911325</v>
      </c>
      <c r="G139" s="131">
        <v>0.88034678772615338</v>
      </c>
      <c r="H139" s="124">
        <v>117.5</v>
      </c>
      <c r="I139" s="131">
        <v>0.98169621003171315</v>
      </c>
      <c r="J139" s="124">
        <v>117.5</v>
      </c>
      <c r="K139" s="132">
        <v>1</v>
      </c>
      <c r="L139" s="187"/>
      <c r="M139" s="187"/>
      <c r="N139" s="187"/>
      <c r="O139" s="187"/>
      <c r="P139" s="187"/>
      <c r="Q139" s="187"/>
      <c r="R139" s="187"/>
      <c r="S139" s="187"/>
      <c r="T139" s="187"/>
      <c r="U139" s="187"/>
      <c r="V139" s="187"/>
      <c r="W139" s="187"/>
      <c r="X139" s="189"/>
    </row>
    <row r="140" spans="1:24">
      <c r="A140" s="185">
        <v>107.5</v>
      </c>
      <c r="B140" s="132">
        <v>0.84640517760564449</v>
      </c>
      <c r="C140" s="124">
        <v>107.5</v>
      </c>
      <c r="D140" s="131">
        <v>0.79544372853161305</v>
      </c>
      <c r="E140" s="131">
        <v>0.80726147822212346</v>
      </c>
      <c r="F140" s="131">
        <v>0.9708931522940123</v>
      </c>
      <c r="G140" s="131">
        <v>0.88034678772615338</v>
      </c>
      <c r="H140" s="124">
        <v>122.5</v>
      </c>
      <c r="I140" s="131">
        <v>0.98169621003171315</v>
      </c>
      <c r="J140" s="124">
        <v>122.5</v>
      </c>
      <c r="K140" s="132">
        <v>1</v>
      </c>
      <c r="L140" s="187"/>
      <c r="M140" s="187"/>
      <c r="N140" s="187"/>
      <c r="O140" s="187"/>
      <c r="P140" s="187"/>
      <c r="Q140" s="187"/>
      <c r="R140" s="187"/>
      <c r="S140" s="187"/>
      <c r="T140" s="187"/>
      <c r="U140" s="187"/>
      <c r="V140" s="187"/>
      <c r="W140" s="187"/>
      <c r="X140" s="189"/>
    </row>
    <row r="141" spans="1:24">
      <c r="A141" s="185">
        <v>112.5</v>
      </c>
      <c r="B141" s="132">
        <v>0.85714769936845325</v>
      </c>
      <c r="C141" s="124">
        <v>112.5</v>
      </c>
      <c r="D141" s="131">
        <v>0.80543582071055175</v>
      </c>
      <c r="E141" s="131">
        <v>0.81117284866899508</v>
      </c>
      <c r="F141" s="131">
        <v>0.9937711345909177</v>
      </c>
      <c r="G141" s="131">
        <v>0.92480891343076987</v>
      </c>
      <c r="H141" s="124">
        <v>137.5</v>
      </c>
      <c r="I141" s="131">
        <v>1</v>
      </c>
      <c r="J141" s="124">
        <v>137.5</v>
      </c>
      <c r="K141" s="132">
        <v>1</v>
      </c>
      <c r="L141" s="187"/>
      <c r="M141" s="187"/>
      <c r="N141" s="187"/>
      <c r="O141" s="187"/>
      <c r="P141" s="187"/>
      <c r="Q141" s="187"/>
      <c r="R141" s="187"/>
      <c r="S141" s="187"/>
      <c r="T141" s="187"/>
      <c r="U141" s="187"/>
      <c r="V141" s="187"/>
      <c r="W141" s="187"/>
      <c r="X141" s="189"/>
    </row>
    <row r="142" spans="1:24" ht="16" thickBot="1">
      <c r="A142" s="185">
        <v>117.5</v>
      </c>
      <c r="B142" s="132">
        <v>0.86956948427359726</v>
      </c>
      <c r="C142" s="124">
        <v>117.5</v>
      </c>
      <c r="D142" s="131">
        <v>0.81340067372604363</v>
      </c>
      <c r="E142" s="131">
        <v>0.83207969019477424</v>
      </c>
      <c r="F142" s="131">
        <v>1</v>
      </c>
      <c r="G142" s="131">
        <v>0.96697474175295972</v>
      </c>
      <c r="H142" s="124">
        <v>225</v>
      </c>
      <c r="I142" s="131">
        <v>1</v>
      </c>
      <c r="J142" s="124">
        <v>225</v>
      </c>
      <c r="K142" s="132">
        <v>1</v>
      </c>
      <c r="L142" s="187"/>
      <c r="M142" s="187"/>
      <c r="N142" s="187"/>
      <c r="O142" s="187"/>
      <c r="P142" s="187"/>
      <c r="Q142" s="187"/>
      <c r="R142" s="187"/>
      <c r="S142" s="187"/>
      <c r="T142" s="187"/>
      <c r="U142" s="187"/>
      <c r="V142" s="187"/>
      <c r="W142" s="187"/>
      <c r="X142" s="189"/>
    </row>
    <row r="143" spans="1:24" ht="16" thickBot="1">
      <c r="A143" s="185">
        <v>122.5</v>
      </c>
      <c r="B143" s="132">
        <v>0.87884181311832932</v>
      </c>
      <c r="C143" s="124">
        <v>122.5</v>
      </c>
      <c r="D143" s="131">
        <v>0.82972280890534189</v>
      </c>
      <c r="E143" s="131">
        <v>0.84020185981372963</v>
      </c>
      <c r="F143" s="131">
        <v>1</v>
      </c>
      <c r="G143" s="131">
        <v>0.96697474175295972</v>
      </c>
      <c r="H143" s="124">
        <v>300</v>
      </c>
      <c r="I143" s="131">
        <v>1</v>
      </c>
      <c r="J143" s="124">
        <v>300</v>
      </c>
      <c r="K143" s="132">
        <v>1</v>
      </c>
      <c r="O143" s="187"/>
      <c r="P143" s="187"/>
      <c r="Q143" s="396" t="s">
        <v>135</v>
      </c>
      <c r="R143" s="397"/>
      <c r="S143" s="398"/>
      <c r="T143" s="187"/>
      <c r="U143" s="187"/>
      <c r="V143" s="187"/>
      <c r="W143" s="187"/>
      <c r="X143" s="189"/>
    </row>
    <row r="144" spans="1:24">
      <c r="A144" s="185">
        <v>137.5</v>
      </c>
      <c r="B144" s="132">
        <v>0.95993856439556291</v>
      </c>
      <c r="C144" s="124">
        <v>137.5</v>
      </c>
      <c r="D144" s="131">
        <v>0.94820193033107181</v>
      </c>
      <c r="E144" s="131">
        <v>0.94228560723631893</v>
      </c>
      <c r="F144" s="131">
        <v>1</v>
      </c>
      <c r="G144" s="131">
        <v>0.96697474175295972</v>
      </c>
      <c r="H144" s="127"/>
      <c r="I144" s="128"/>
      <c r="J144" s="124"/>
      <c r="K144" s="187"/>
      <c r="O144" s="187"/>
      <c r="P144" s="187"/>
      <c r="Q144" s="186" t="s">
        <v>108</v>
      </c>
      <c r="R144" s="187">
        <v>110</v>
      </c>
      <c r="S144" s="35">
        <v>0.85</v>
      </c>
      <c r="T144" s="187"/>
      <c r="U144" s="187"/>
      <c r="V144" s="187"/>
      <c r="W144" s="187"/>
      <c r="X144" s="189"/>
    </row>
    <row r="145" spans="1:24">
      <c r="A145" s="185">
        <v>225</v>
      </c>
      <c r="B145" s="132">
        <v>1</v>
      </c>
      <c r="C145" s="124">
        <v>225</v>
      </c>
      <c r="D145" s="131">
        <v>1</v>
      </c>
      <c r="E145" s="131">
        <v>1</v>
      </c>
      <c r="F145" s="131">
        <v>1</v>
      </c>
      <c r="G145" s="131">
        <v>1</v>
      </c>
      <c r="H145" s="127"/>
      <c r="I145" s="128"/>
      <c r="J145" s="124"/>
      <c r="K145" s="187"/>
      <c r="O145" s="187"/>
      <c r="P145" s="187"/>
      <c r="Q145" s="191" t="s">
        <v>70</v>
      </c>
      <c r="R145" s="187">
        <v>120</v>
      </c>
      <c r="S145" s="35">
        <v>0.85</v>
      </c>
      <c r="T145" s="187"/>
      <c r="U145" s="187"/>
      <c r="V145" s="187"/>
      <c r="W145" s="187"/>
      <c r="X145" s="189"/>
    </row>
    <row r="146" spans="1:24">
      <c r="A146" s="185">
        <v>350</v>
      </c>
      <c r="B146" s="132">
        <v>1</v>
      </c>
      <c r="C146" s="124">
        <v>350</v>
      </c>
      <c r="D146" s="131">
        <v>1</v>
      </c>
      <c r="E146" s="131">
        <v>1</v>
      </c>
      <c r="F146" s="131">
        <v>1</v>
      </c>
      <c r="G146" s="131">
        <v>1</v>
      </c>
      <c r="H146" s="127"/>
      <c r="I146" s="128"/>
      <c r="J146" s="124"/>
      <c r="K146" s="187"/>
      <c r="O146" s="187"/>
      <c r="P146" s="187"/>
      <c r="Q146" s="191" t="s">
        <v>71</v>
      </c>
      <c r="R146" s="187">
        <v>120</v>
      </c>
      <c r="S146" s="35">
        <v>0.85</v>
      </c>
      <c r="T146" s="187"/>
      <c r="U146" s="187"/>
      <c r="V146" s="187"/>
      <c r="W146" s="187"/>
      <c r="X146" s="189"/>
    </row>
    <row r="147" spans="1:24">
      <c r="A147" s="185">
        <v>450</v>
      </c>
      <c r="B147" s="132">
        <v>1</v>
      </c>
      <c r="C147" s="127">
        <v>450</v>
      </c>
      <c r="D147" s="131">
        <v>1</v>
      </c>
      <c r="E147" s="131">
        <v>1</v>
      </c>
      <c r="F147" s="131">
        <v>1</v>
      </c>
      <c r="G147" s="131">
        <v>1</v>
      </c>
      <c r="H147" s="134"/>
      <c r="I147" s="135"/>
      <c r="J147" s="124"/>
      <c r="K147" s="187"/>
      <c r="O147" s="187"/>
      <c r="P147" s="187"/>
      <c r="Q147" s="191" t="s">
        <v>72</v>
      </c>
      <c r="R147" s="187">
        <v>80</v>
      </c>
      <c r="S147" s="35">
        <v>0.85</v>
      </c>
      <c r="T147" s="187"/>
      <c r="U147" s="187"/>
      <c r="V147" s="187"/>
      <c r="W147" s="187"/>
      <c r="X147" s="189"/>
    </row>
    <row r="148" spans="1:24">
      <c r="A148" s="185">
        <v>750</v>
      </c>
      <c r="B148" s="132">
        <v>1</v>
      </c>
      <c r="C148" s="124">
        <v>750</v>
      </c>
      <c r="D148" s="131">
        <v>1</v>
      </c>
      <c r="E148" s="131">
        <v>1</v>
      </c>
      <c r="F148" s="131">
        <v>1</v>
      </c>
      <c r="G148" s="131">
        <v>1</v>
      </c>
      <c r="H148" s="124"/>
      <c r="I148" s="187"/>
      <c r="J148" s="124"/>
      <c r="K148" s="187"/>
      <c r="O148" s="187"/>
      <c r="P148" s="187"/>
      <c r="Q148" s="191" t="s">
        <v>73</v>
      </c>
      <c r="R148" s="187">
        <v>80</v>
      </c>
      <c r="S148" s="35">
        <v>0.85</v>
      </c>
      <c r="T148" s="187"/>
      <c r="U148" s="187"/>
      <c r="V148" s="187"/>
      <c r="W148" s="187"/>
      <c r="X148" s="189"/>
    </row>
    <row r="149" spans="1:24">
      <c r="A149" s="185">
        <v>1500</v>
      </c>
      <c r="B149" s="130">
        <v>1</v>
      </c>
      <c r="C149" s="124">
        <v>1500</v>
      </c>
      <c r="D149" s="131">
        <v>1</v>
      </c>
      <c r="E149" s="131">
        <v>1</v>
      </c>
      <c r="F149" s="131">
        <v>1</v>
      </c>
      <c r="G149" s="131">
        <v>1</v>
      </c>
      <c r="H149" s="127" t="s">
        <v>23</v>
      </c>
      <c r="I149" s="128" t="s">
        <v>23</v>
      </c>
      <c r="J149" s="124"/>
      <c r="K149" s="187"/>
      <c r="O149" s="187"/>
      <c r="P149" s="187"/>
      <c r="Q149" s="191" t="s">
        <v>74</v>
      </c>
      <c r="R149" s="187">
        <v>42</v>
      </c>
      <c r="S149" s="35">
        <v>0.85</v>
      </c>
      <c r="T149" s="187"/>
      <c r="U149" s="187"/>
      <c r="V149" s="187"/>
      <c r="W149" s="187"/>
      <c r="X149" s="189"/>
    </row>
    <row r="150" spans="1:24" ht="16" thickBot="1">
      <c r="A150" s="129">
        <v>3000</v>
      </c>
      <c r="B150" s="130">
        <v>1</v>
      </c>
      <c r="C150" s="124">
        <v>3000</v>
      </c>
      <c r="D150" s="131">
        <v>1</v>
      </c>
      <c r="E150" s="131">
        <v>1</v>
      </c>
      <c r="F150" s="131">
        <v>1</v>
      </c>
      <c r="G150" s="131">
        <v>1</v>
      </c>
      <c r="H150" s="127"/>
      <c r="I150" s="128"/>
      <c r="J150" s="124"/>
      <c r="K150" s="187"/>
      <c r="O150" s="187"/>
      <c r="P150" s="187"/>
      <c r="Q150" s="36" t="s">
        <v>109</v>
      </c>
      <c r="R150" s="37">
        <v>22</v>
      </c>
      <c r="S150" s="38">
        <v>0.85</v>
      </c>
      <c r="T150" s="187"/>
      <c r="U150" s="187"/>
      <c r="V150" s="187"/>
      <c r="W150" s="187"/>
      <c r="X150" s="189"/>
    </row>
    <row r="151" spans="1:24" ht="16" thickBot="1">
      <c r="A151" s="136">
        <v>5350</v>
      </c>
      <c r="B151" s="137">
        <v>1</v>
      </c>
      <c r="C151" s="138">
        <v>5350</v>
      </c>
      <c r="D151" s="141">
        <v>1</v>
      </c>
      <c r="E151" s="141">
        <v>1</v>
      </c>
      <c r="F151" s="141">
        <v>1</v>
      </c>
      <c r="G151" s="141">
        <v>1</v>
      </c>
      <c r="H151" s="142"/>
      <c r="I151" s="143"/>
      <c r="J151" s="138"/>
      <c r="K151" s="188"/>
      <c r="L151" s="188"/>
      <c r="M151" s="188"/>
      <c r="N151" s="188"/>
      <c r="O151" s="188"/>
      <c r="P151" s="188"/>
      <c r="Q151" s="188"/>
      <c r="R151" s="188"/>
      <c r="S151" s="188"/>
      <c r="T151" s="188"/>
      <c r="U151" s="188"/>
      <c r="V151" s="188"/>
      <c r="W151" s="188"/>
      <c r="X151" s="190"/>
    </row>
  </sheetData>
  <mergeCells count="8">
    <mergeCell ref="Q143:S143"/>
    <mergeCell ref="Q105:S105"/>
    <mergeCell ref="Q66:S66"/>
    <mergeCell ref="Q28:S28"/>
    <mergeCell ref="A2:X2"/>
    <mergeCell ref="A40:X40"/>
    <mergeCell ref="A78:X78"/>
    <mergeCell ref="A115:X115"/>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FB49FA-5D97-BA40-87A7-303A1805F36F}">
  <dimension ref="A1:AL100"/>
  <sheetViews>
    <sheetView zoomScale="64" zoomScaleNormal="64" workbookViewId="0"/>
  </sheetViews>
  <sheetFormatPr baseColWidth="10" defaultColWidth="8.83203125" defaultRowHeight="15"/>
  <cols>
    <col min="1" max="1" width="30.5" style="192" bestFit="1" customWidth="1"/>
    <col min="2" max="2" width="22.6640625" style="192" customWidth="1"/>
    <col min="3" max="3" width="23.83203125" style="192" customWidth="1"/>
    <col min="4" max="4" width="18.6640625" style="192" customWidth="1"/>
    <col min="5" max="5" width="17.1640625" style="192" bestFit="1" customWidth="1"/>
    <col min="6" max="6" width="20.1640625" style="192" customWidth="1"/>
    <col min="7" max="7" width="16" style="192" bestFit="1" customWidth="1"/>
    <col min="8" max="8" width="11.6640625" style="192" bestFit="1" customWidth="1"/>
    <col min="9" max="9" width="14.1640625" style="192" bestFit="1" customWidth="1"/>
    <col min="10" max="10" width="13.6640625" style="192" bestFit="1" customWidth="1"/>
    <col min="11" max="11" width="15.33203125" style="192" bestFit="1" customWidth="1"/>
    <col min="12" max="12" width="12.1640625" style="192" bestFit="1" customWidth="1"/>
    <col min="13" max="13" width="11.5" style="192" bestFit="1" customWidth="1"/>
    <col min="14" max="17" width="8.83203125" style="192"/>
    <col min="18" max="18" width="32.6640625" style="192" bestFit="1" customWidth="1"/>
    <col min="19" max="21" width="8.83203125" style="192"/>
    <col min="22" max="22" width="14.5" style="192" bestFit="1" customWidth="1"/>
    <col min="23" max="23" width="14.33203125" style="192" bestFit="1" customWidth="1"/>
    <col min="24" max="16384" width="8.83203125" style="192"/>
  </cols>
  <sheetData>
    <row r="1" spans="1:30" ht="16" thickBot="1"/>
    <row r="2" spans="1:30" ht="16" thickBot="1">
      <c r="A2" s="407" t="s">
        <v>234</v>
      </c>
      <c r="B2" s="408"/>
      <c r="C2" s="408"/>
      <c r="D2" s="408"/>
      <c r="E2" s="408"/>
      <c r="F2" s="408"/>
      <c r="G2" s="408"/>
      <c r="H2" s="408"/>
      <c r="I2" s="408"/>
      <c r="J2" s="408"/>
      <c r="K2" s="408"/>
      <c r="L2" s="408"/>
      <c r="M2" s="408"/>
      <c r="N2" s="409"/>
      <c r="O2" s="215"/>
    </row>
    <row r="3" spans="1:30">
      <c r="A3" s="129"/>
      <c r="B3" s="134" t="s">
        <v>23</v>
      </c>
      <c r="C3" s="412" t="s">
        <v>235</v>
      </c>
      <c r="D3" s="412"/>
      <c r="E3" s="412"/>
      <c r="F3" s="412"/>
      <c r="G3" s="412"/>
      <c r="H3" s="412"/>
      <c r="I3" s="412"/>
      <c r="J3" s="412"/>
      <c r="K3" s="412"/>
      <c r="L3" s="412"/>
      <c r="M3" s="412"/>
      <c r="N3" s="413"/>
      <c r="O3" s="216"/>
    </row>
    <row r="4" spans="1:30">
      <c r="A4" s="129" t="s">
        <v>23</v>
      </c>
      <c r="B4" s="134" t="s">
        <v>23</v>
      </c>
      <c r="C4" s="134" t="s">
        <v>236</v>
      </c>
      <c r="D4" s="134" t="s">
        <v>237</v>
      </c>
      <c r="E4" s="134" t="s">
        <v>238</v>
      </c>
      <c r="F4" s="134" t="s">
        <v>239</v>
      </c>
      <c r="G4" s="134" t="s">
        <v>240</v>
      </c>
      <c r="H4" s="134" t="s">
        <v>241</v>
      </c>
      <c r="I4" s="134" t="s">
        <v>242</v>
      </c>
      <c r="J4" s="134" t="s">
        <v>243</v>
      </c>
      <c r="K4" s="134" t="s">
        <v>244</v>
      </c>
      <c r="L4" s="134" t="s">
        <v>245</v>
      </c>
      <c r="M4" s="134" t="s">
        <v>246</v>
      </c>
      <c r="N4" s="263" t="s">
        <v>247</v>
      </c>
      <c r="O4" s="217"/>
    </row>
    <row r="5" spans="1:30">
      <c r="A5" s="418" t="s">
        <v>248</v>
      </c>
      <c r="B5" s="134" t="s">
        <v>8</v>
      </c>
      <c r="C5" s="135">
        <v>0</v>
      </c>
      <c r="D5" s="135">
        <v>37.961810717123498</v>
      </c>
      <c r="E5" s="135">
        <v>25.123163809386401</v>
      </c>
      <c r="F5" s="135">
        <v>10.3604178439275</v>
      </c>
      <c r="G5" s="135">
        <v>9.5640187648643398</v>
      </c>
      <c r="H5" s="135">
        <v>3.9503295815895201</v>
      </c>
      <c r="I5" s="135">
        <v>13.0402592831087</v>
      </c>
      <c r="J5" s="135">
        <v>0</v>
      </c>
      <c r="K5" s="135">
        <v>0</v>
      </c>
      <c r="L5" s="135">
        <v>0</v>
      </c>
      <c r="M5" s="135">
        <v>0</v>
      </c>
      <c r="N5" s="250">
        <v>0</v>
      </c>
      <c r="O5" s="232"/>
      <c r="P5" s="219"/>
      <c r="Q5" s="219"/>
    </row>
    <row r="6" spans="1:30">
      <c r="A6" s="418"/>
      <c r="B6" s="264" t="s">
        <v>7</v>
      </c>
      <c r="C6" s="135">
        <v>0</v>
      </c>
      <c r="D6" s="135">
        <v>26.732881396399499</v>
      </c>
      <c r="E6" s="135">
        <v>17.859036809925399</v>
      </c>
      <c r="F6" s="135">
        <v>11.0831312017907</v>
      </c>
      <c r="G6" s="135">
        <v>9.8525013131165995</v>
      </c>
      <c r="H6" s="135">
        <v>9.4166507681713298</v>
      </c>
      <c r="I6" s="135">
        <v>5.0683821482807803</v>
      </c>
      <c r="J6" s="135">
        <v>3.6738289350481899</v>
      </c>
      <c r="K6" s="135">
        <v>6.2997118827321801</v>
      </c>
      <c r="L6" s="135">
        <v>4.4672025488636899</v>
      </c>
      <c r="M6" s="135">
        <v>5.5466729956717398</v>
      </c>
      <c r="N6" s="250">
        <v>0</v>
      </c>
      <c r="O6" s="232"/>
      <c r="P6" s="219"/>
      <c r="Q6" s="219"/>
    </row>
    <row r="7" spans="1:30">
      <c r="A7" s="418"/>
      <c r="B7" s="134" t="s">
        <v>6</v>
      </c>
      <c r="C7" s="135">
        <v>0</v>
      </c>
      <c r="D7" s="135">
        <v>17.1984071080368</v>
      </c>
      <c r="E7" s="135">
        <v>12.7434497395167</v>
      </c>
      <c r="F7" s="135">
        <v>9.9379354365978205</v>
      </c>
      <c r="G7" s="135">
        <v>9.5351389140120499</v>
      </c>
      <c r="H7" s="135">
        <v>8.1856563920944705</v>
      </c>
      <c r="I7" s="135">
        <v>5.8835429476933498</v>
      </c>
      <c r="J7" s="135">
        <v>5.4510335020890901</v>
      </c>
      <c r="K7" s="135">
        <v>4.6975533292095903</v>
      </c>
      <c r="L7" s="135">
        <v>9.4941942789193305</v>
      </c>
      <c r="M7" s="135">
        <v>16.873088351831001</v>
      </c>
      <c r="N7" s="250">
        <v>0</v>
      </c>
      <c r="O7" s="232"/>
      <c r="P7" s="219"/>
      <c r="Q7" s="219"/>
    </row>
    <row r="8" spans="1:30">
      <c r="A8" s="418"/>
      <c r="B8" s="134" t="s">
        <v>5</v>
      </c>
      <c r="C8" s="135">
        <v>0</v>
      </c>
      <c r="D8" s="135">
        <v>10.5708946827112</v>
      </c>
      <c r="E8" s="135">
        <v>9.4929647458564403</v>
      </c>
      <c r="F8" s="135">
        <v>7.3867272521868799</v>
      </c>
      <c r="G8" s="135">
        <v>6.0885135236106303</v>
      </c>
      <c r="H8" s="135">
        <v>4.7191870785282797</v>
      </c>
      <c r="I8" s="135">
        <v>4.23115636981675</v>
      </c>
      <c r="J8" s="135">
        <v>7.0946567569207604</v>
      </c>
      <c r="K8" s="135">
        <v>4.11393997136802</v>
      </c>
      <c r="L8" s="135">
        <v>11.391819328835</v>
      </c>
      <c r="M8" s="135">
        <v>34.323338096557301</v>
      </c>
      <c r="N8" s="250">
        <v>0.58680219360854402</v>
      </c>
      <c r="O8" s="232"/>
      <c r="P8" s="219"/>
      <c r="Q8" s="219"/>
    </row>
    <row r="9" spans="1:30">
      <c r="A9" s="418"/>
      <c r="B9" s="134" t="s">
        <v>4</v>
      </c>
      <c r="C9" s="135">
        <v>0</v>
      </c>
      <c r="D9" s="135">
        <v>3.4085562553528299</v>
      </c>
      <c r="E9" s="135">
        <v>3.7321876629319202</v>
      </c>
      <c r="F9" s="135">
        <v>3.0904467125836299</v>
      </c>
      <c r="G9" s="135">
        <v>3.0259079871178498</v>
      </c>
      <c r="H9" s="135">
        <v>3.2715188122332099</v>
      </c>
      <c r="I9" s="135">
        <v>3.40923933610744</v>
      </c>
      <c r="J9" s="135">
        <v>5.0049255996179598</v>
      </c>
      <c r="K9" s="135">
        <v>7.2887643277249898</v>
      </c>
      <c r="L9" s="135">
        <v>15.8425288923506</v>
      </c>
      <c r="M9" s="135">
        <v>39.871379083981601</v>
      </c>
      <c r="N9" s="250">
        <v>12.054545329978099</v>
      </c>
      <c r="O9" s="232"/>
      <c r="P9" s="219"/>
      <c r="Q9" s="219"/>
    </row>
    <row r="10" spans="1:30" ht="16" thickBot="1">
      <c r="A10" s="419"/>
      <c r="B10" s="142" t="s">
        <v>249</v>
      </c>
      <c r="C10" s="143">
        <v>0</v>
      </c>
      <c r="D10" s="143">
        <v>27.417479836947301</v>
      </c>
      <c r="E10" s="143">
        <v>18.714112606797102</v>
      </c>
      <c r="F10" s="143">
        <v>9.1608536596815604</v>
      </c>
      <c r="G10" s="143">
        <v>8.4100986109485003</v>
      </c>
      <c r="H10" s="143">
        <v>5.0366000090344203</v>
      </c>
      <c r="I10" s="143">
        <v>9.2595051906814003</v>
      </c>
      <c r="J10" s="143">
        <v>2.2905306111128501</v>
      </c>
      <c r="K10" s="143">
        <v>2.61100453127733</v>
      </c>
      <c r="L10" s="143">
        <v>4.6508129183320301</v>
      </c>
      <c r="M10" s="143">
        <v>10.739323198188499</v>
      </c>
      <c r="N10" s="218">
        <v>1.7096788269962999</v>
      </c>
      <c r="O10" s="232"/>
      <c r="P10" s="219"/>
      <c r="Q10" s="219"/>
    </row>
    <row r="11" spans="1:30" ht="16" thickBot="1">
      <c r="B11" s="216"/>
      <c r="C11" s="217"/>
      <c r="D11" s="217"/>
      <c r="E11" s="217"/>
      <c r="F11" s="217"/>
      <c r="G11" s="217"/>
      <c r="H11" s="217"/>
      <c r="I11" s="217"/>
      <c r="J11" s="217"/>
      <c r="K11" s="217"/>
      <c r="L11" s="217"/>
      <c r="M11" s="217"/>
      <c r="N11" s="217"/>
      <c r="O11" s="215"/>
    </row>
    <row r="12" spans="1:30">
      <c r="A12" s="416" t="s">
        <v>250</v>
      </c>
      <c r="B12" s="410" t="s">
        <v>8</v>
      </c>
      <c r="C12" s="410"/>
      <c r="D12" s="410" t="s">
        <v>7</v>
      </c>
      <c r="E12" s="410"/>
      <c r="F12" s="410" t="s">
        <v>6</v>
      </c>
      <c r="G12" s="410"/>
      <c r="H12" s="410" t="s">
        <v>5</v>
      </c>
      <c r="I12" s="410"/>
      <c r="J12" s="410" t="s">
        <v>4</v>
      </c>
      <c r="K12" s="411"/>
      <c r="L12" s="231"/>
    </row>
    <row r="13" spans="1:30">
      <c r="A13" s="417"/>
      <c r="B13" s="255" t="s">
        <v>290</v>
      </c>
      <c r="C13" s="255" t="s">
        <v>252</v>
      </c>
      <c r="D13" s="256" t="s">
        <v>290</v>
      </c>
      <c r="E13" s="255" t="s">
        <v>252</v>
      </c>
      <c r="F13" s="256" t="s">
        <v>290</v>
      </c>
      <c r="G13" s="255" t="s">
        <v>252</v>
      </c>
      <c r="H13" s="256" t="s">
        <v>290</v>
      </c>
      <c r="I13" s="255" t="s">
        <v>252</v>
      </c>
      <c r="J13" s="256" t="s">
        <v>290</v>
      </c>
      <c r="K13" s="257" t="s">
        <v>252</v>
      </c>
      <c r="L13" s="231"/>
    </row>
    <row r="14" spans="1:30">
      <c r="A14" s="258">
        <v>0</v>
      </c>
      <c r="B14" s="247">
        <v>2265.5736045746698</v>
      </c>
      <c r="C14" s="245">
        <v>21</v>
      </c>
      <c r="D14" s="259">
        <v>1161.9085302245301</v>
      </c>
      <c r="E14" s="245">
        <v>250</v>
      </c>
      <c r="F14" s="245">
        <v>454.26812327217402</v>
      </c>
      <c r="G14" s="245">
        <v>377</v>
      </c>
      <c r="H14" s="259">
        <v>177.500579480976</v>
      </c>
      <c r="I14" s="245">
        <v>2861</v>
      </c>
      <c r="J14" s="259">
        <v>22.0127589970065</v>
      </c>
      <c r="K14" s="248">
        <v>162122</v>
      </c>
      <c r="AD14" s="217"/>
    </row>
    <row r="15" spans="1:30">
      <c r="A15" s="249">
        <v>0.05</v>
      </c>
      <c r="B15" s="235">
        <v>3228.67146812705</v>
      </c>
      <c r="C15" s="233">
        <v>0.84285714285714286</v>
      </c>
      <c r="D15" s="135">
        <v>1366.00117014123</v>
      </c>
      <c r="E15" s="233">
        <v>0.84342857142857142</v>
      </c>
      <c r="F15" s="233">
        <v>511.33278658432499</v>
      </c>
      <c r="G15" s="233">
        <v>0.79533678756476689</v>
      </c>
      <c r="H15" s="135">
        <v>203.991151297774</v>
      </c>
      <c r="I15" s="233">
        <v>0.7152020525978191</v>
      </c>
      <c r="J15" s="135">
        <v>54.134092300649499</v>
      </c>
      <c r="K15" s="236">
        <v>0.12965301277842314</v>
      </c>
      <c r="AD15" s="217"/>
    </row>
    <row r="16" spans="1:30">
      <c r="A16" s="249">
        <v>0.15000000000000002</v>
      </c>
      <c r="B16" s="235">
        <v>3159.3003573443698</v>
      </c>
      <c r="C16" s="233">
        <v>8.2142857142857142E-2</v>
      </c>
      <c r="D16" s="135">
        <v>1306.3366325258601</v>
      </c>
      <c r="E16" s="233">
        <v>7.4285714285714288E-2</v>
      </c>
      <c r="F16" s="233">
        <v>479.19949324993098</v>
      </c>
      <c r="G16" s="233">
        <v>8.2901554404145081E-2</v>
      </c>
      <c r="H16" s="135">
        <v>195.45130119688099</v>
      </c>
      <c r="I16" s="233">
        <v>9.3649775497113535E-2</v>
      </c>
      <c r="J16" s="135">
        <v>31.337072758036999</v>
      </c>
      <c r="K16" s="236">
        <v>9.0257083691095516E-2</v>
      </c>
      <c r="AD16" s="217"/>
    </row>
    <row r="17" spans="1:38">
      <c r="A17" s="249">
        <v>0.25</v>
      </c>
      <c r="B17" s="235">
        <v>2170.6927041341301</v>
      </c>
      <c r="C17" s="233">
        <v>3.5714285714285712E-2</v>
      </c>
      <c r="D17" s="135">
        <v>1287.4084569950001</v>
      </c>
      <c r="E17" s="233">
        <v>2.9714285714285714E-2</v>
      </c>
      <c r="F17" s="233">
        <v>412.882653061224</v>
      </c>
      <c r="G17" s="233">
        <v>4.4041450777202069E-2</v>
      </c>
      <c r="H17" s="135">
        <v>199.19677141289901</v>
      </c>
      <c r="I17" s="233">
        <v>4.2976266837716486E-2</v>
      </c>
      <c r="J17" s="135">
        <v>28.910181219110299</v>
      </c>
      <c r="K17" s="236">
        <v>4.8992373352189506E-2</v>
      </c>
      <c r="P17" s="215"/>
      <c r="Q17" s="216"/>
      <c r="R17" s="217"/>
      <c r="S17" s="217"/>
      <c r="T17" s="217"/>
      <c r="U17" s="217"/>
      <c r="V17" s="217"/>
      <c r="W17" s="217"/>
      <c r="X17" s="217"/>
      <c r="Y17" s="217"/>
      <c r="Z17" s="217"/>
      <c r="AA17" s="217"/>
      <c r="AB17" s="217"/>
      <c r="AC17" s="217"/>
      <c r="AD17" s="217"/>
    </row>
    <row r="18" spans="1:38">
      <c r="A18" s="249">
        <v>0.35</v>
      </c>
      <c r="B18" s="235">
        <v>2800.5976324560402</v>
      </c>
      <c r="C18" s="233">
        <v>1.7857142857142856E-2</v>
      </c>
      <c r="D18" s="135">
        <v>1324.7566452767101</v>
      </c>
      <c r="E18" s="233">
        <v>1.8285714285714287E-2</v>
      </c>
      <c r="F18" s="233">
        <v>488.346653346653</v>
      </c>
      <c r="G18" s="233">
        <v>2.3316062176165803E-2</v>
      </c>
      <c r="H18" s="135">
        <v>211.39871850880999</v>
      </c>
      <c r="I18" s="233">
        <v>2.4374599101988453E-2</v>
      </c>
      <c r="J18" s="135">
        <v>21.320144734336498</v>
      </c>
      <c r="K18" s="236">
        <v>6.0811152078387797E-2</v>
      </c>
      <c r="P18" s="215"/>
      <c r="Q18" s="216"/>
      <c r="R18" s="217"/>
      <c r="S18" s="217"/>
      <c r="T18" s="217"/>
      <c r="U18" s="217"/>
      <c r="V18" s="217"/>
      <c r="W18" s="217"/>
      <c r="X18" s="217"/>
      <c r="Y18" s="217"/>
      <c r="Z18" s="217"/>
      <c r="AA18" s="217"/>
      <c r="AB18" s="217"/>
      <c r="AC18" s="217"/>
      <c r="AD18" s="217"/>
    </row>
    <row r="19" spans="1:38">
      <c r="A19" s="249">
        <v>0.45</v>
      </c>
      <c r="B19" s="235">
        <v>1926.0204081632701</v>
      </c>
      <c r="C19" s="233">
        <v>7.1428571428571426E-3</v>
      </c>
      <c r="D19" s="135">
        <v>1565.55430571179</v>
      </c>
      <c r="E19" s="233">
        <v>9.1428571428571435E-3</v>
      </c>
      <c r="F19" s="233">
        <v>568.42105263157896</v>
      </c>
      <c r="G19" s="233">
        <v>1.5544041450777202E-2</v>
      </c>
      <c r="H19" s="135">
        <v>174.37512700670601</v>
      </c>
      <c r="I19" s="233">
        <v>1.9243104554201411E-2</v>
      </c>
      <c r="J19" s="135">
        <v>24.7519141663502</v>
      </c>
      <c r="K19" s="236">
        <v>2.0809131774332038E-2</v>
      </c>
      <c r="P19" s="215"/>
      <c r="Q19" s="216"/>
      <c r="R19" s="217"/>
      <c r="S19" s="217"/>
      <c r="T19" s="217"/>
      <c r="U19" s="217"/>
      <c r="V19" s="217"/>
      <c r="W19" s="217"/>
      <c r="X19" s="217"/>
      <c r="Y19" s="217"/>
      <c r="Z19" s="217"/>
      <c r="AA19" s="217"/>
      <c r="AB19" s="217"/>
      <c r="AC19" s="217"/>
      <c r="AD19" s="217"/>
    </row>
    <row r="20" spans="1:38">
      <c r="A20" s="249">
        <v>0.55000000000000004</v>
      </c>
      <c r="B20" s="235">
        <v>2724.35095552434</v>
      </c>
      <c r="C20" s="233">
        <v>1.4285714285714285E-2</v>
      </c>
      <c r="D20" s="135">
        <v>1066.53179456527</v>
      </c>
      <c r="E20" s="233">
        <v>6.8571428571428568E-3</v>
      </c>
      <c r="F20" s="233">
        <v>808.51648351648396</v>
      </c>
      <c r="G20" s="233">
        <v>5.1813471502590676E-3</v>
      </c>
      <c r="H20" s="135">
        <v>182.716969877721</v>
      </c>
      <c r="I20" s="233">
        <v>1.1545862732520847E-2</v>
      </c>
      <c r="J20" s="135">
        <v>27.946505976095601</v>
      </c>
      <c r="K20" s="236">
        <v>1.8586797312995607E-2</v>
      </c>
      <c r="P20" s="215"/>
      <c r="Q20" s="216"/>
      <c r="R20" s="217"/>
      <c r="S20" s="217"/>
      <c r="T20" s="217"/>
      <c r="U20" s="217"/>
      <c r="V20" s="217"/>
      <c r="W20" s="217"/>
      <c r="X20" s="217"/>
      <c r="Y20" s="217"/>
      <c r="Z20" s="217"/>
      <c r="AA20" s="217"/>
      <c r="AB20" s="217"/>
      <c r="AC20" s="217"/>
      <c r="AD20" s="217"/>
    </row>
    <row r="21" spans="1:38">
      <c r="A21" s="249">
        <v>0.65</v>
      </c>
      <c r="B21" s="235">
        <v>0</v>
      </c>
      <c r="C21" s="233">
        <v>0</v>
      </c>
      <c r="D21" s="135">
        <v>1255.0187242924701</v>
      </c>
      <c r="E21" s="233">
        <v>3.4285714285714284E-3</v>
      </c>
      <c r="F21" s="233">
        <v>462.06928664555801</v>
      </c>
      <c r="G21" s="233">
        <v>7.7720207253886009E-3</v>
      </c>
      <c r="H21" s="135">
        <v>198.03206997084601</v>
      </c>
      <c r="I21" s="233">
        <v>1.5394483643361129E-2</v>
      </c>
      <c r="J21" s="135">
        <v>21.882494117647202</v>
      </c>
      <c r="K21" s="236">
        <v>4.7073084499217134E-2</v>
      </c>
      <c r="P21" s="215"/>
      <c r="Q21" s="216"/>
      <c r="R21" s="217"/>
      <c r="S21" s="217"/>
      <c r="T21" s="217"/>
      <c r="U21" s="217"/>
      <c r="V21" s="217"/>
      <c r="W21" s="217"/>
      <c r="X21" s="217"/>
      <c r="Y21" s="217"/>
      <c r="Z21" s="217"/>
      <c r="AA21" s="217"/>
      <c r="AB21" s="217"/>
      <c r="AC21" s="217"/>
      <c r="AD21" s="217"/>
    </row>
    <row r="22" spans="1:38">
      <c r="A22" s="249">
        <v>0.75</v>
      </c>
      <c r="B22" s="235">
        <v>0</v>
      </c>
      <c r="C22" s="233">
        <v>0</v>
      </c>
      <c r="D22" s="135">
        <v>1345.95683201261</v>
      </c>
      <c r="E22" s="233">
        <v>4.5714285714285718E-3</v>
      </c>
      <c r="F22" s="233">
        <v>359.23633328696599</v>
      </c>
      <c r="G22" s="233">
        <v>7.7720207253886009E-3</v>
      </c>
      <c r="H22" s="135">
        <v>168.60198624904501</v>
      </c>
      <c r="I22" s="233">
        <v>1.0904425914047467E-2</v>
      </c>
      <c r="J22" s="135">
        <v>20.892607621736101</v>
      </c>
      <c r="K22" s="250">
        <v>5.6770543966867017E-2</v>
      </c>
      <c r="L22" s="217"/>
      <c r="M22" s="217"/>
      <c r="N22" s="217"/>
    </row>
    <row r="23" spans="1:38">
      <c r="A23" s="249">
        <v>0.85</v>
      </c>
      <c r="B23" s="235">
        <v>0</v>
      </c>
      <c r="C23" s="233">
        <v>0</v>
      </c>
      <c r="D23" s="135">
        <v>915.71885444970803</v>
      </c>
      <c r="E23" s="233">
        <v>5.7142857142857143E-3</v>
      </c>
      <c r="F23" s="233">
        <v>558.69080158420297</v>
      </c>
      <c r="G23" s="233">
        <v>7.7720207253886009E-3</v>
      </c>
      <c r="H23" s="135">
        <v>219.54640250260701</v>
      </c>
      <c r="I23" s="233">
        <v>1.5394483643361129E-2</v>
      </c>
      <c r="J23" s="135">
        <v>27.161707841031198</v>
      </c>
      <c r="K23" s="250">
        <v>6.3134501742512242E-2</v>
      </c>
      <c r="L23" s="217"/>
      <c r="M23" s="217"/>
      <c r="N23" s="217"/>
      <c r="P23" s="215"/>
      <c r="Q23" s="215"/>
      <c r="R23" s="215"/>
      <c r="S23" s="215"/>
      <c r="T23" s="215"/>
      <c r="U23" s="215"/>
      <c r="V23" s="215"/>
      <c r="W23" s="215"/>
      <c r="X23" s="215"/>
      <c r="Y23" s="215"/>
      <c r="Z23" s="215"/>
      <c r="AA23" s="215"/>
      <c r="AB23" s="215"/>
      <c r="AC23" s="215"/>
      <c r="AD23" s="215"/>
    </row>
    <row r="24" spans="1:38">
      <c r="A24" s="249">
        <v>0.95</v>
      </c>
      <c r="B24" s="235">
        <v>0</v>
      </c>
      <c r="C24" s="233">
        <v>0</v>
      </c>
      <c r="D24" s="135">
        <v>1125.9089169536901</v>
      </c>
      <c r="E24" s="233">
        <v>4.5714285714285718E-3</v>
      </c>
      <c r="F24" s="233">
        <v>586.56768763151695</v>
      </c>
      <c r="G24" s="233">
        <v>1.0362694300518135E-2</v>
      </c>
      <c r="H24" s="135">
        <v>210.410806809771</v>
      </c>
      <c r="I24" s="233">
        <v>5.1314945477870431E-2</v>
      </c>
      <c r="J24" s="135">
        <v>24.814561027836302</v>
      </c>
      <c r="K24" s="250">
        <v>0.46391231880397998</v>
      </c>
      <c r="P24" s="215"/>
      <c r="Q24" s="215"/>
      <c r="R24" s="215"/>
      <c r="S24" s="215"/>
      <c r="T24" s="215"/>
      <c r="U24" s="215"/>
      <c r="V24" s="215"/>
      <c r="W24" s="215"/>
      <c r="X24" s="217"/>
      <c r="Z24" s="217"/>
      <c r="AB24" s="215"/>
      <c r="AC24" s="215"/>
      <c r="AD24" s="215"/>
    </row>
    <row r="25" spans="1:38">
      <c r="A25" s="260">
        <v>1</v>
      </c>
      <c r="B25" s="241">
        <v>0</v>
      </c>
      <c r="C25" s="241">
        <v>0</v>
      </c>
      <c r="D25" s="241">
        <v>0</v>
      </c>
      <c r="E25" s="241">
        <v>0</v>
      </c>
      <c r="F25" s="261">
        <v>0</v>
      </c>
      <c r="G25" s="261">
        <v>0</v>
      </c>
      <c r="H25" s="230">
        <v>0</v>
      </c>
      <c r="I25" s="230">
        <v>0</v>
      </c>
      <c r="J25" s="241">
        <v>0</v>
      </c>
      <c r="K25" s="262">
        <v>0</v>
      </c>
      <c r="L25" s="215"/>
      <c r="M25" s="215"/>
      <c r="N25" s="215"/>
      <c r="P25" s="215"/>
      <c r="Q25" s="215"/>
      <c r="R25" s="217"/>
      <c r="S25" s="217"/>
      <c r="T25" s="217"/>
      <c r="U25" s="217"/>
      <c r="V25" s="217"/>
      <c r="W25" s="217"/>
      <c r="AB25" s="217"/>
      <c r="AC25" s="217"/>
      <c r="AD25" s="217"/>
      <c r="AE25" s="220"/>
    </row>
    <row r="26" spans="1:38" ht="15" customHeight="1">
      <c r="A26" s="229" t="s">
        <v>253</v>
      </c>
      <c r="B26" s="251">
        <v>8.0714285714285725E-2</v>
      </c>
      <c r="C26" s="252">
        <v>280</v>
      </c>
      <c r="D26" s="251">
        <v>8.9885714285714277E-2</v>
      </c>
      <c r="E26" s="252">
        <v>875</v>
      </c>
      <c r="F26" s="251">
        <v>0.10854922279792749</v>
      </c>
      <c r="G26" s="252">
        <v>386</v>
      </c>
      <c r="H26" s="251">
        <v>0.16411161000641436</v>
      </c>
      <c r="I26" s="252">
        <v>1559</v>
      </c>
      <c r="J26" s="251">
        <v>0.64069649982322341</v>
      </c>
      <c r="K26" s="253">
        <v>19799</v>
      </c>
      <c r="L26" s="216"/>
      <c r="M26" s="216"/>
      <c r="N26" s="216"/>
      <c r="P26" s="215"/>
      <c r="Q26" s="215"/>
      <c r="R26" s="217"/>
      <c r="S26" s="217"/>
      <c r="T26" s="217"/>
      <c r="U26" s="217"/>
      <c r="V26" s="217"/>
      <c r="W26" s="217"/>
      <c r="AB26" s="217"/>
      <c r="AC26" s="217"/>
      <c r="AD26" s="217"/>
    </row>
    <row r="27" spans="1:38" ht="16" thickBot="1">
      <c r="A27" s="228" t="s">
        <v>254</v>
      </c>
      <c r="B27" s="138">
        <v>4350</v>
      </c>
      <c r="C27" s="138"/>
      <c r="D27" s="138">
        <v>1500</v>
      </c>
      <c r="E27" s="138"/>
      <c r="F27" s="142">
        <v>712.5</v>
      </c>
      <c r="G27" s="142"/>
      <c r="H27" s="138">
        <v>287.5</v>
      </c>
      <c r="I27" s="138"/>
      <c r="J27" s="138">
        <v>75</v>
      </c>
      <c r="K27" s="254"/>
      <c r="L27" s="217"/>
      <c r="M27" s="217"/>
      <c r="N27" s="217"/>
    </row>
    <row r="28" spans="1:38">
      <c r="A28" s="215"/>
      <c r="B28" s="216"/>
      <c r="C28" s="217"/>
      <c r="D28" s="217"/>
      <c r="E28" s="217"/>
      <c r="F28" s="217"/>
      <c r="G28" s="217"/>
      <c r="H28" s="217"/>
      <c r="I28" s="217"/>
      <c r="J28" s="217"/>
      <c r="K28" s="217"/>
      <c r="L28" s="217"/>
      <c r="M28" s="217"/>
      <c r="N28" s="217"/>
    </row>
    <row r="29" spans="1:38">
      <c r="B29" s="216"/>
      <c r="C29" s="217"/>
      <c r="D29" s="217"/>
      <c r="E29" s="217"/>
      <c r="F29" s="217"/>
      <c r="G29" s="217"/>
      <c r="H29" s="217"/>
      <c r="I29" s="217"/>
      <c r="J29" s="217"/>
      <c r="K29" s="217"/>
      <c r="L29" s="217"/>
      <c r="M29" s="217"/>
      <c r="N29" s="217"/>
      <c r="X29" s="215"/>
      <c r="Y29" s="215"/>
      <c r="Z29" s="215"/>
      <c r="AA29" s="215"/>
      <c r="AB29" s="215"/>
      <c r="AC29" s="215"/>
      <c r="AD29" s="215"/>
      <c r="AE29" s="215"/>
      <c r="AF29" s="215"/>
      <c r="AG29" s="215" t="s">
        <v>23</v>
      </c>
      <c r="AH29" s="215" t="s">
        <v>23</v>
      </c>
      <c r="AI29" s="215" t="s">
        <v>23</v>
      </c>
      <c r="AJ29" s="215" t="s">
        <v>23</v>
      </c>
      <c r="AK29" s="215" t="s">
        <v>23</v>
      </c>
    </row>
    <row r="30" spans="1:38" ht="16" thickBot="1">
      <c r="B30" s="216"/>
      <c r="C30" s="217"/>
      <c r="D30" s="217"/>
      <c r="E30" s="217"/>
      <c r="F30" s="217"/>
      <c r="G30" s="217"/>
      <c r="H30" s="217"/>
      <c r="I30" s="217"/>
      <c r="J30" s="217"/>
      <c r="K30" s="217"/>
      <c r="L30" s="217"/>
      <c r="M30" s="217"/>
      <c r="N30" s="217"/>
      <c r="X30" s="215"/>
      <c r="Y30" s="215"/>
      <c r="Z30" s="215"/>
      <c r="AA30" s="215"/>
      <c r="AB30" s="215"/>
      <c r="AC30" s="215"/>
      <c r="AD30" s="215"/>
      <c r="AE30" s="215"/>
      <c r="AF30" s="215"/>
      <c r="AG30" s="215"/>
      <c r="AH30" s="215"/>
      <c r="AI30" s="215"/>
      <c r="AJ30" s="215"/>
      <c r="AK30" s="215"/>
    </row>
    <row r="31" spans="1:38" ht="15" customHeight="1">
      <c r="A31" s="279"/>
      <c r="B31" s="405" t="s">
        <v>255</v>
      </c>
      <c r="C31" s="405"/>
      <c r="D31" s="405" t="s">
        <v>293</v>
      </c>
      <c r="E31" s="420" t="s">
        <v>291</v>
      </c>
      <c r="F31" s="405" t="s">
        <v>292</v>
      </c>
      <c r="G31" s="405" t="s">
        <v>256</v>
      </c>
      <c r="H31" s="420" t="s">
        <v>257</v>
      </c>
      <c r="I31" s="420" t="s">
        <v>258</v>
      </c>
      <c r="J31" s="420" t="s">
        <v>259</v>
      </c>
      <c r="K31" s="405" t="s">
        <v>294</v>
      </c>
      <c r="L31" s="414" t="s">
        <v>295</v>
      </c>
      <c r="X31" s="215"/>
      <c r="Y31" s="215"/>
      <c r="Z31" s="217"/>
      <c r="AA31" s="217"/>
      <c r="AB31" s="217"/>
      <c r="AC31" s="217"/>
      <c r="AD31" s="217"/>
      <c r="AE31" s="217"/>
      <c r="AF31" s="217"/>
      <c r="AG31" s="217"/>
      <c r="AH31" s="217"/>
      <c r="AI31" s="217"/>
      <c r="AJ31" s="217"/>
      <c r="AK31" s="217"/>
      <c r="AL31" s="220"/>
    </row>
    <row r="32" spans="1:38">
      <c r="A32" s="404"/>
      <c r="B32" s="406"/>
      <c r="C32" s="406"/>
      <c r="D32" s="406"/>
      <c r="E32" s="421"/>
      <c r="F32" s="406"/>
      <c r="G32" s="406"/>
      <c r="H32" s="421"/>
      <c r="I32" s="421"/>
      <c r="J32" s="421"/>
      <c r="K32" s="406"/>
      <c r="L32" s="415"/>
      <c r="X32" s="215"/>
      <c r="Y32" s="215"/>
      <c r="Z32" s="217"/>
      <c r="AA32" s="217"/>
      <c r="AB32" s="217"/>
      <c r="AC32" s="217"/>
      <c r="AD32" s="217"/>
      <c r="AE32" s="217"/>
      <c r="AF32" s="217"/>
      <c r="AG32" s="217"/>
      <c r="AH32" s="217"/>
      <c r="AI32" s="217"/>
      <c r="AJ32" s="217"/>
      <c r="AK32" s="217"/>
      <c r="AL32" s="220"/>
    </row>
    <row r="33" spans="1:38">
      <c r="A33" s="403" t="s">
        <v>8</v>
      </c>
      <c r="B33" s="245">
        <v>0</v>
      </c>
      <c r="C33" s="246">
        <v>0</v>
      </c>
      <c r="D33" s="245">
        <f>100-F33</f>
        <v>100</v>
      </c>
      <c r="E33" s="245">
        <f>C5</f>
        <v>0</v>
      </c>
      <c r="F33" s="245">
        <f>E33</f>
        <v>0</v>
      </c>
      <c r="G33" s="247">
        <f>C14</f>
        <v>21</v>
      </c>
      <c r="H33" s="247"/>
      <c r="I33" s="247"/>
      <c r="J33" s="245"/>
      <c r="K33" s="245">
        <v>0</v>
      </c>
      <c r="L33" s="248">
        <v>0</v>
      </c>
      <c r="M33" s="220"/>
      <c r="N33" s="220"/>
      <c r="X33" s="215"/>
      <c r="Y33" s="215"/>
      <c r="Z33" s="217"/>
      <c r="AA33" s="217"/>
      <c r="AB33" s="217"/>
      <c r="AC33" s="217"/>
      <c r="AD33" s="217"/>
      <c r="AE33" s="217"/>
      <c r="AF33" s="217"/>
      <c r="AG33" s="217"/>
      <c r="AH33" s="217"/>
      <c r="AI33" s="217"/>
      <c r="AJ33" s="217"/>
      <c r="AK33" s="217"/>
      <c r="AL33" s="220"/>
    </row>
    <row r="34" spans="1:38">
      <c r="A34" s="280"/>
      <c r="B34" s="233">
        <v>5</v>
      </c>
      <c r="C34" s="234">
        <v>10</v>
      </c>
      <c r="D34" s="233">
        <f>100-F34</f>
        <v>62.038189282876502</v>
      </c>
      <c r="E34" s="233">
        <f>D5</f>
        <v>37.961810717123498</v>
      </c>
      <c r="F34" s="233">
        <f>F33+E34</f>
        <v>37.961810717123498</v>
      </c>
      <c r="G34" s="235">
        <f>C15*$C$26</f>
        <v>236</v>
      </c>
      <c r="H34" s="235">
        <f>G33</f>
        <v>21</v>
      </c>
      <c r="I34" s="235">
        <f>SUM(G34:G44)</f>
        <v>280</v>
      </c>
      <c r="J34" s="233">
        <f>(1.96*(((1.25*((F34/100)^2))*((1-(F34/100))^2)*((1/H34)+(1/I34)))^0.5))*100</f>
        <v>11.676473432995378</v>
      </c>
      <c r="K34" s="233">
        <f>F34-J34</f>
        <v>26.285337284128119</v>
      </c>
      <c r="L34" s="236">
        <f>F34+J34</f>
        <v>49.638284150118878</v>
      </c>
      <c r="M34" s="220"/>
      <c r="N34" s="220"/>
      <c r="X34" s="215"/>
      <c r="Y34" s="215"/>
      <c r="Z34" s="217"/>
      <c r="AA34" s="217"/>
      <c r="AB34" s="217"/>
      <c r="AC34" s="217"/>
      <c r="AD34" s="217"/>
      <c r="AE34" s="217"/>
      <c r="AF34" s="217"/>
      <c r="AG34" s="217"/>
      <c r="AH34" s="217"/>
      <c r="AI34" s="217"/>
      <c r="AJ34" s="217"/>
      <c r="AK34" s="217"/>
      <c r="AL34" s="220"/>
    </row>
    <row r="35" spans="1:38">
      <c r="A35" s="280"/>
      <c r="B35" s="233">
        <v>15</v>
      </c>
      <c r="C35" s="234">
        <v>20</v>
      </c>
      <c r="D35" s="233">
        <f>100-F35</f>
        <v>36.915025473490104</v>
      </c>
      <c r="E35" s="233">
        <f>E5</f>
        <v>25.123163809386401</v>
      </c>
      <c r="F35" s="233">
        <f t="shared" ref="F35:F44" si="0">F34+E35</f>
        <v>63.084974526509896</v>
      </c>
      <c r="G35" s="235">
        <f t="shared" ref="G35:G44" si="1">C16*$C$26</f>
        <v>23</v>
      </c>
      <c r="H35" s="235">
        <f>G34+H34</f>
        <v>257</v>
      </c>
      <c r="I35" s="235">
        <f>SUM(G35:G44)</f>
        <v>44</v>
      </c>
      <c r="J35" s="233">
        <f t="shared" ref="J35:J39" si="2">(1.96*(((1.25*((F35/100)^2))*((1-(F35/100))^2)*((1/H35)+(1/I35)))^0.5))*100</f>
        <v>8.325887343808704</v>
      </c>
      <c r="K35" s="233">
        <f t="shared" ref="K35:K44" si="3">F35-J35</f>
        <v>54.759087182701194</v>
      </c>
      <c r="L35" s="236">
        <f t="shared" ref="L35:L44" si="4">F35+J35</f>
        <v>71.410861870318598</v>
      </c>
      <c r="M35" s="220"/>
      <c r="N35" s="220"/>
      <c r="X35" s="215"/>
      <c r="Y35" s="215"/>
      <c r="Z35" s="217"/>
      <c r="AA35" s="217"/>
      <c r="AB35" s="217"/>
      <c r="AC35" s="217"/>
      <c r="AD35" s="217"/>
      <c r="AE35" s="217"/>
      <c r="AF35" s="217"/>
      <c r="AG35" s="217"/>
      <c r="AH35" s="217"/>
      <c r="AI35" s="217"/>
      <c r="AJ35" s="217"/>
      <c r="AK35" s="217"/>
      <c r="AL35" s="220"/>
    </row>
    <row r="36" spans="1:38">
      <c r="A36" s="280"/>
      <c r="B36" s="233">
        <v>25</v>
      </c>
      <c r="C36" s="234">
        <v>30</v>
      </c>
      <c r="D36" s="233">
        <f>100-F36</f>
        <v>26.554607629562611</v>
      </c>
      <c r="E36" s="233">
        <f>F5</f>
        <v>10.3604178439275</v>
      </c>
      <c r="F36" s="233">
        <f t="shared" si="0"/>
        <v>73.445392370437389</v>
      </c>
      <c r="G36" s="235">
        <f t="shared" si="1"/>
        <v>10</v>
      </c>
      <c r="H36" s="235">
        <f t="shared" ref="H36:H44" si="5">G35+H35</f>
        <v>280</v>
      </c>
      <c r="I36" s="235">
        <f>SUM(G36:G44)</f>
        <v>21</v>
      </c>
      <c r="J36" s="233">
        <f t="shared" si="2"/>
        <v>9.6696355688846136</v>
      </c>
      <c r="K36" s="233">
        <f t="shared" si="3"/>
        <v>63.775756801552774</v>
      </c>
      <c r="L36" s="236">
        <f t="shared" si="4"/>
        <v>83.115027939322005</v>
      </c>
      <c r="M36" s="220"/>
      <c r="N36" s="220"/>
      <c r="X36" s="215"/>
      <c r="Y36" s="215"/>
      <c r="Z36" s="217"/>
      <c r="AA36" s="217"/>
      <c r="AB36" s="217"/>
      <c r="AC36" s="217"/>
      <c r="AD36" s="217"/>
      <c r="AE36" s="217"/>
      <c r="AF36" s="217"/>
      <c r="AG36" s="217"/>
      <c r="AH36" s="217"/>
      <c r="AI36" s="217"/>
      <c r="AJ36" s="217"/>
      <c r="AK36" s="217"/>
      <c r="AL36" s="220"/>
    </row>
    <row r="37" spans="1:38">
      <c r="A37" s="280"/>
      <c r="B37" s="233">
        <v>35</v>
      </c>
      <c r="C37" s="234">
        <v>40</v>
      </c>
      <c r="D37" s="233">
        <f>100-F37</f>
        <v>16.990588864698267</v>
      </c>
      <c r="E37" s="233">
        <f>G5</f>
        <v>9.5640187648643398</v>
      </c>
      <c r="F37" s="233">
        <f>F36+E37</f>
        <v>83.009411135301733</v>
      </c>
      <c r="G37" s="235">
        <f t="shared" si="1"/>
        <v>5</v>
      </c>
      <c r="H37" s="235">
        <f t="shared" si="5"/>
        <v>290</v>
      </c>
      <c r="I37" s="235">
        <f>SUM(G37:G44)</f>
        <v>11</v>
      </c>
      <c r="J37" s="233">
        <f t="shared" si="2"/>
        <v>9.4936834789185944</v>
      </c>
      <c r="K37" s="233">
        <f t="shared" si="3"/>
        <v>73.515727656383135</v>
      </c>
      <c r="L37" s="236">
        <f t="shared" si="4"/>
        <v>92.503094614220331</v>
      </c>
      <c r="M37" s="220"/>
      <c r="N37" s="220"/>
      <c r="X37" s="215"/>
      <c r="Y37" s="215"/>
      <c r="Z37" s="217"/>
      <c r="AA37" s="217"/>
      <c r="AB37" s="217"/>
      <c r="AC37" s="217"/>
      <c r="AD37" s="217"/>
      <c r="AE37" s="217"/>
      <c r="AF37" s="217"/>
      <c r="AG37" s="217"/>
      <c r="AH37" s="217"/>
      <c r="AI37" s="217"/>
      <c r="AJ37" s="217"/>
      <c r="AK37" s="217"/>
      <c r="AL37" s="220"/>
    </row>
    <row r="38" spans="1:38">
      <c r="A38" s="280"/>
      <c r="B38" s="233">
        <v>45</v>
      </c>
      <c r="C38" s="234">
        <v>50</v>
      </c>
      <c r="D38" s="233">
        <f t="shared" ref="D38:D44" si="6">100-F38</f>
        <v>13.040259283108753</v>
      </c>
      <c r="E38" s="233">
        <f>H5</f>
        <v>3.9503295815895201</v>
      </c>
      <c r="F38" s="233">
        <f>F37+E38</f>
        <v>86.959740716891247</v>
      </c>
      <c r="G38" s="235">
        <f t="shared" si="1"/>
        <v>2</v>
      </c>
      <c r="H38" s="235">
        <f t="shared" si="5"/>
        <v>295</v>
      </c>
      <c r="I38" s="235">
        <f>SUM(G38:G44)</f>
        <v>6</v>
      </c>
      <c r="J38" s="233">
        <f t="shared" si="2"/>
        <v>10.24736381421663</v>
      </c>
      <c r="K38" s="233">
        <f t="shared" si="3"/>
        <v>76.71237690267462</v>
      </c>
      <c r="L38" s="236">
        <f t="shared" si="4"/>
        <v>97.207104531107873</v>
      </c>
      <c r="M38" s="220"/>
      <c r="N38" s="220"/>
    </row>
    <row r="39" spans="1:38">
      <c r="A39" s="280"/>
      <c r="B39" s="233">
        <v>55</v>
      </c>
      <c r="C39" s="234">
        <v>60</v>
      </c>
      <c r="D39" s="233">
        <f t="shared" si="6"/>
        <v>0</v>
      </c>
      <c r="E39" s="233">
        <f>I5</f>
        <v>13.0402592831087</v>
      </c>
      <c r="F39" s="233">
        <f t="shared" si="0"/>
        <v>99.999999999999943</v>
      </c>
      <c r="G39" s="235">
        <f t="shared" si="1"/>
        <v>4</v>
      </c>
      <c r="H39" s="235">
        <f t="shared" si="5"/>
        <v>297</v>
      </c>
      <c r="I39" s="235">
        <f>SUM(G39:G44)</f>
        <v>4</v>
      </c>
      <c r="J39" s="233">
        <f t="shared" si="2"/>
        <v>6.1230293260476064E-14</v>
      </c>
      <c r="K39" s="233">
        <f t="shared" si="3"/>
        <v>99.999999999999886</v>
      </c>
      <c r="L39" s="236">
        <f t="shared" si="4"/>
        <v>100</v>
      </c>
      <c r="M39" s="220"/>
      <c r="N39" s="220"/>
      <c r="X39" s="215"/>
      <c r="Y39" s="215"/>
      <c r="Z39" s="215"/>
      <c r="AA39" s="215"/>
      <c r="AB39" s="215"/>
      <c r="AC39" s="215"/>
      <c r="AD39" s="215"/>
      <c r="AE39" s="215"/>
      <c r="AF39" s="215"/>
      <c r="AG39" s="215"/>
      <c r="AH39" s="215"/>
      <c r="AI39" s="215"/>
      <c r="AJ39" s="215"/>
      <c r="AK39" s="215"/>
    </row>
    <row r="40" spans="1:38">
      <c r="A40" s="280"/>
      <c r="B40" s="233">
        <v>65</v>
      </c>
      <c r="C40" s="234">
        <v>70</v>
      </c>
      <c r="D40" s="233">
        <f t="shared" si="6"/>
        <v>0</v>
      </c>
      <c r="E40" s="233">
        <f>J5</f>
        <v>0</v>
      </c>
      <c r="F40" s="233">
        <f t="shared" si="0"/>
        <v>99.999999999999943</v>
      </c>
      <c r="G40" s="235">
        <f t="shared" si="1"/>
        <v>0</v>
      </c>
      <c r="H40" s="235">
        <f t="shared" si="5"/>
        <v>301</v>
      </c>
      <c r="I40" s="235">
        <f>SUM(G40:G44)</f>
        <v>0</v>
      </c>
      <c r="J40" s="233">
        <v>0</v>
      </c>
      <c r="K40" s="233">
        <f t="shared" si="3"/>
        <v>99.999999999999943</v>
      </c>
      <c r="L40" s="236">
        <f t="shared" si="4"/>
        <v>99.999999999999943</v>
      </c>
      <c r="M40" s="220"/>
      <c r="N40" s="220"/>
      <c r="X40" s="215"/>
      <c r="Y40" s="215"/>
      <c r="Z40" s="215"/>
      <c r="AA40" s="215"/>
      <c r="AB40" s="215"/>
      <c r="AC40" s="215"/>
      <c r="AD40" s="215"/>
      <c r="AE40" s="215"/>
      <c r="AF40" s="215"/>
      <c r="AG40" s="215"/>
      <c r="AH40" s="215"/>
      <c r="AI40" s="215"/>
      <c r="AJ40" s="215"/>
      <c r="AK40" s="215"/>
    </row>
    <row r="41" spans="1:38">
      <c r="A41" s="280"/>
      <c r="B41" s="233">
        <v>75</v>
      </c>
      <c r="C41" s="234">
        <v>80</v>
      </c>
      <c r="D41" s="233">
        <f t="shared" si="6"/>
        <v>0</v>
      </c>
      <c r="E41" s="233">
        <f>K5</f>
        <v>0</v>
      </c>
      <c r="F41" s="233">
        <f t="shared" si="0"/>
        <v>99.999999999999943</v>
      </c>
      <c r="G41" s="235">
        <f t="shared" si="1"/>
        <v>0</v>
      </c>
      <c r="H41" s="235">
        <f t="shared" si="5"/>
        <v>301</v>
      </c>
      <c r="I41" s="235">
        <f>SUM(G41:G44)</f>
        <v>0</v>
      </c>
      <c r="J41" s="233">
        <v>0</v>
      </c>
      <c r="K41" s="233">
        <f t="shared" si="3"/>
        <v>99.999999999999943</v>
      </c>
      <c r="L41" s="236">
        <f t="shared" si="4"/>
        <v>99.999999999999943</v>
      </c>
      <c r="M41" s="220"/>
      <c r="N41" s="220"/>
      <c r="X41" s="215"/>
      <c r="Y41" s="215"/>
      <c r="Z41" s="217"/>
      <c r="AA41" s="217"/>
      <c r="AB41" s="217"/>
      <c r="AC41" s="217"/>
      <c r="AD41" s="217"/>
      <c r="AE41" s="217"/>
      <c r="AF41" s="217"/>
      <c r="AG41" s="217"/>
      <c r="AH41" s="217"/>
      <c r="AI41" s="217"/>
      <c r="AJ41" s="217"/>
      <c r="AK41" s="217"/>
    </row>
    <row r="42" spans="1:38">
      <c r="A42" s="280"/>
      <c r="B42" s="233">
        <v>85</v>
      </c>
      <c r="C42" s="234">
        <v>90</v>
      </c>
      <c r="D42" s="233">
        <f t="shared" si="6"/>
        <v>0</v>
      </c>
      <c r="E42" s="233">
        <f>L5</f>
        <v>0</v>
      </c>
      <c r="F42" s="233">
        <f t="shared" si="0"/>
        <v>99.999999999999943</v>
      </c>
      <c r="G42" s="235">
        <f t="shared" si="1"/>
        <v>0</v>
      </c>
      <c r="H42" s="235">
        <f t="shared" si="5"/>
        <v>301</v>
      </c>
      <c r="I42" s="235">
        <f>SUM(G42:G44)</f>
        <v>0</v>
      </c>
      <c r="J42" s="233">
        <v>0</v>
      </c>
      <c r="K42" s="233">
        <f t="shared" si="3"/>
        <v>99.999999999999943</v>
      </c>
      <c r="L42" s="236">
        <f t="shared" si="4"/>
        <v>99.999999999999943</v>
      </c>
      <c r="M42" s="220"/>
      <c r="N42" s="220"/>
      <c r="X42" s="215"/>
      <c r="Y42" s="215"/>
      <c r="Z42" s="217"/>
      <c r="AA42" s="217"/>
      <c r="AB42" s="217"/>
      <c r="AC42" s="217"/>
      <c r="AD42" s="217"/>
      <c r="AE42" s="217"/>
      <c r="AF42" s="217"/>
      <c r="AG42" s="217"/>
      <c r="AH42" s="217"/>
      <c r="AI42" s="217"/>
      <c r="AJ42" s="217"/>
      <c r="AK42" s="217"/>
    </row>
    <row r="43" spans="1:38">
      <c r="A43" s="280"/>
      <c r="B43" s="233">
        <v>95</v>
      </c>
      <c r="C43" s="234">
        <v>95</v>
      </c>
      <c r="D43" s="233">
        <f t="shared" si="6"/>
        <v>0</v>
      </c>
      <c r="E43" s="233">
        <f>M5</f>
        <v>0</v>
      </c>
      <c r="F43" s="233">
        <f t="shared" si="0"/>
        <v>99.999999999999943</v>
      </c>
      <c r="G43" s="235">
        <f t="shared" si="1"/>
        <v>0</v>
      </c>
      <c r="H43" s="235">
        <f t="shared" si="5"/>
        <v>301</v>
      </c>
      <c r="I43" s="235">
        <f>SUM(G43:G44)</f>
        <v>0</v>
      </c>
      <c r="J43" s="233">
        <v>0</v>
      </c>
      <c r="K43" s="233">
        <f t="shared" si="3"/>
        <v>99.999999999999943</v>
      </c>
      <c r="L43" s="236">
        <f t="shared" si="4"/>
        <v>99.999999999999943</v>
      </c>
      <c r="M43" s="220"/>
      <c r="N43" s="220"/>
      <c r="X43" s="215"/>
      <c r="Y43" s="215"/>
      <c r="Z43" s="217"/>
      <c r="AA43" s="217"/>
      <c r="AB43" s="217"/>
      <c r="AC43" s="217"/>
      <c r="AD43" s="217"/>
      <c r="AE43" s="217"/>
      <c r="AF43" s="217"/>
      <c r="AG43" s="217"/>
      <c r="AH43" s="217"/>
      <c r="AI43" s="217"/>
      <c r="AJ43" s="217"/>
      <c r="AK43" s="217"/>
    </row>
    <row r="44" spans="1:38">
      <c r="A44" s="404"/>
      <c r="B44" s="241">
        <v>100</v>
      </c>
      <c r="C44" s="242">
        <v>100</v>
      </c>
      <c r="D44" s="241">
        <f t="shared" si="6"/>
        <v>0</v>
      </c>
      <c r="E44" s="241">
        <f>N5</f>
        <v>0</v>
      </c>
      <c r="F44" s="241">
        <f t="shared" si="0"/>
        <v>99.999999999999943</v>
      </c>
      <c r="G44" s="243">
        <f t="shared" si="1"/>
        <v>0</v>
      </c>
      <c r="H44" s="243">
        <f t="shared" si="5"/>
        <v>301</v>
      </c>
      <c r="I44" s="243">
        <f>SUM(G44)</f>
        <v>0</v>
      </c>
      <c r="J44" s="241">
        <v>0</v>
      </c>
      <c r="K44" s="241">
        <f t="shared" si="3"/>
        <v>99.999999999999943</v>
      </c>
      <c r="L44" s="244">
        <f t="shared" si="4"/>
        <v>99.999999999999943</v>
      </c>
      <c r="M44" s="220"/>
      <c r="N44" s="220"/>
      <c r="X44" s="215"/>
      <c r="Y44" s="215"/>
      <c r="Z44" s="217"/>
      <c r="AA44" s="217"/>
      <c r="AB44" s="217"/>
      <c r="AC44" s="217"/>
      <c r="AD44" s="217"/>
      <c r="AE44" s="217"/>
      <c r="AF44" s="217"/>
      <c r="AG44" s="217"/>
      <c r="AH44" s="217"/>
      <c r="AI44" s="217"/>
      <c r="AJ44" s="217"/>
      <c r="AK44" s="217"/>
    </row>
    <row r="45" spans="1:38" ht="15" customHeight="1">
      <c r="A45" s="403" t="s">
        <v>7</v>
      </c>
      <c r="B45" s="245">
        <v>0</v>
      </c>
      <c r="C45" s="246">
        <v>0</v>
      </c>
      <c r="D45" s="245">
        <f>100-F45</f>
        <v>100</v>
      </c>
      <c r="E45" s="245">
        <f>C6</f>
        <v>0</v>
      </c>
      <c r="F45" s="245">
        <f>E45</f>
        <v>0</v>
      </c>
      <c r="G45" s="247">
        <f>E14</f>
        <v>250</v>
      </c>
      <c r="H45" s="247"/>
      <c r="I45" s="247"/>
      <c r="J45" s="245"/>
      <c r="K45" s="245">
        <v>0</v>
      </c>
      <c r="L45" s="248">
        <v>0</v>
      </c>
      <c r="M45" s="220"/>
      <c r="N45" s="220"/>
      <c r="X45" s="215"/>
      <c r="Y45" s="215"/>
      <c r="Z45" s="217"/>
      <c r="AA45" s="217"/>
      <c r="AB45" s="217"/>
      <c r="AC45" s="217"/>
      <c r="AD45" s="217"/>
      <c r="AE45" s="217"/>
      <c r="AF45" s="217"/>
      <c r="AG45" s="217"/>
      <c r="AH45" s="217"/>
      <c r="AI45" s="217"/>
      <c r="AJ45" s="217"/>
      <c r="AK45" s="217"/>
    </row>
    <row r="46" spans="1:38">
      <c r="A46" s="280"/>
      <c r="B46" s="233">
        <v>5</v>
      </c>
      <c r="C46" s="234">
        <v>10</v>
      </c>
      <c r="D46" s="233">
        <f t="shared" ref="D46:D56" si="7">100-F46</f>
        <v>73.267118603600494</v>
      </c>
      <c r="E46" s="233">
        <f>D6</f>
        <v>26.732881396399499</v>
      </c>
      <c r="F46" s="233">
        <f>F45+E46</f>
        <v>26.732881396399499</v>
      </c>
      <c r="G46" s="235">
        <f t="shared" ref="G46:G56" si="8">E15*$E$26</f>
        <v>738</v>
      </c>
      <c r="H46" s="235">
        <f>G45</f>
        <v>250</v>
      </c>
      <c r="I46" s="235">
        <f>SUM(G46:G56)</f>
        <v>875</v>
      </c>
      <c r="J46" s="233">
        <f>(1.96*(((1.25*((F46/100)^2))*((1-(F46/100))^2)*((1/H46)+(1/I46)))^0.5))*100</f>
        <v>3.077996999137167</v>
      </c>
      <c r="K46" s="233">
        <f>F46-J46</f>
        <v>23.654884397262332</v>
      </c>
      <c r="L46" s="236">
        <f>F46+J46</f>
        <v>29.810878395536665</v>
      </c>
      <c r="M46" s="220"/>
      <c r="N46" s="220"/>
      <c r="X46" s="215"/>
      <c r="Y46" s="215"/>
      <c r="Z46" s="217"/>
      <c r="AA46" s="217"/>
      <c r="AB46" s="217"/>
      <c r="AC46" s="217"/>
      <c r="AD46" s="217"/>
      <c r="AE46" s="217"/>
      <c r="AF46" s="217"/>
      <c r="AG46" s="217"/>
      <c r="AH46" s="217"/>
      <c r="AI46" s="217"/>
      <c r="AJ46" s="217"/>
      <c r="AK46" s="217"/>
    </row>
    <row r="47" spans="1:38">
      <c r="A47" s="280"/>
      <c r="B47" s="233">
        <v>15</v>
      </c>
      <c r="C47" s="234">
        <v>20</v>
      </c>
      <c r="D47" s="233">
        <f t="shared" si="7"/>
        <v>55.408081793675102</v>
      </c>
      <c r="E47" s="233">
        <f>E6</f>
        <v>17.859036809925399</v>
      </c>
      <c r="F47" s="233">
        <f t="shared" ref="F47:F56" si="9">F46+E47</f>
        <v>44.591918206324898</v>
      </c>
      <c r="G47" s="235">
        <f t="shared" si="8"/>
        <v>65</v>
      </c>
      <c r="H47" s="235">
        <f>G46+H46</f>
        <v>988</v>
      </c>
      <c r="I47" s="235">
        <f>SUM(G47:G56)</f>
        <v>137</v>
      </c>
      <c r="J47" s="233">
        <f t="shared" ref="J47:J54" si="10">(1.96*(((1.25*((F47/100)^2))*((1-(F47/100))^2)*((1/H47)+(1/I47)))^0.5))*100</f>
        <v>4.9360307127540182</v>
      </c>
      <c r="K47" s="233">
        <f t="shared" ref="K47:K56" si="11">F47-J47</f>
        <v>39.65588749357088</v>
      </c>
      <c r="L47" s="236">
        <f t="shared" ref="L47:L56" si="12">F47+J47</f>
        <v>49.527948919078916</v>
      </c>
      <c r="M47" s="220"/>
      <c r="N47" s="220"/>
      <c r="X47" s="215"/>
      <c r="Y47" s="215"/>
      <c r="Z47" s="217"/>
      <c r="AA47" s="217"/>
      <c r="AB47" s="217"/>
      <c r="AC47" s="217"/>
      <c r="AD47" s="217"/>
      <c r="AE47" s="217"/>
      <c r="AF47" s="217"/>
      <c r="AG47" s="217"/>
      <c r="AH47" s="217"/>
      <c r="AI47" s="217"/>
      <c r="AJ47" s="217"/>
      <c r="AK47" s="217"/>
    </row>
    <row r="48" spans="1:38">
      <c r="A48" s="280"/>
      <c r="B48" s="233">
        <v>25</v>
      </c>
      <c r="C48" s="234">
        <v>30</v>
      </c>
      <c r="D48" s="233">
        <f t="shared" si="7"/>
        <v>44.324950591884402</v>
      </c>
      <c r="E48" s="233">
        <f>F6</f>
        <v>11.0831312017907</v>
      </c>
      <c r="F48" s="233">
        <f t="shared" si="9"/>
        <v>55.675049408115598</v>
      </c>
      <c r="G48" s="235">
        <f t="shared" si="8"/>
        <v>26</v>
      </c>
      <c r="H48" s="235">
        <f t="shared" ref="H48:H56" si="13">G47+H47</f>
        <v>1053</v>
      </c>
      <c r="I48" s="235">
        <f>SUM(G48:G56)</f>
        <v>72</v>
      </c>
      <c r="J48" s="233">
        <f t="shared" si="10"/>
        <v>6.5874264091474188</v>
      </c>
      <c r="K48" s="233">
        <f t="shared" si="11"/>
        <v>49.087622998968179</v>
      </c>
      <c r="L48" s="236">
        <f t="shared" si="12"/>
        <v>62.262475817263017</v>
      </c>
      <c r="M48" s="220"/>
      <c r="N48" s="220"/>
    </row>
    <row r="49" spans="1:14">
      <c r="A49" s="280"/>
      <c r="B49" s="233">
        <v>35</v>
      </c>
      <c r="C49" s="234">
        <v>40</v>
      </c>
      <c r="D49" s="233">
        <f t="shared" si="7"/>
        <v>34.472449278767797</v>
      </c>
      <c r="E49" s="233">
        <f>G6</f>
        <v>9.8525013131165995</v>
      </c>
      <c r="F49" s="233">
        <f t="shared" si="9"/>
        <v>65.527550721232203</v>
      </c>
      <c r="G49" s="235">
        <f t="shared" si="8"/>
        <v>16</v>
      </c>
      <c r="H49" s="235">
        <f t="shared" si="13"/>
        <v>1079</v>
      </c>
      <c r="I49" s="235">
        <f>SUM(G49:G56)</f>
        <v>46</v>
      </c>
      <c r="J49" s="233">
        <f t="shared" si="10"/>
        <v>7.4523591645007947</v>
      </c>
      <c r="K49" s="233">
        <f t="shared" si="11"/>
        <v>58.075191556731411</v>
      </c>
      <c r="L49" s="236">
        <f t="shared" si="12"/>
        <v>72.979909885732994</v>
      </c>
      <c r="M49" s="220"/>
      <c r="N49" s="220"/>
    </row>
    <row r="50" spans="1:14">
      <c r="A50" s="280"/>
      <c r="B50" s="233">
        <v>45</v>
      </c>
      <c r="C50" s="234">
        <v>50</v>
      </c>
      <c r="D50" s="233">
        <f t="shared" si="7"/>
        <v>25.055798510596475</v>
      </c>
      <c r="E50" s="233">
        <f>H6</f>
        <v>9.4166507681713298</v>
      </c>
      <c r="F50" s="233">
        <f t="shared" si="9"/>
        <v>74.944201489403525</v>
      </c>
      <c r="G50" s="235">
        <f t="shared" si="8"/>
        <v>8</v>
      </c>
      <c r="H50" s="235">
        <f t="shared" si="13"/>
        <v>1095</v>
      </c>
      <c r="I50" s="235">
        <f>SUM(G50:G56)</f>
        <v>30</v>
      </c>
      <c r="J50" s="233">
        <f t="shared" si="10"/>
        <v>7.6149303736674838</v>
      </c>
      <c r="K50" s="233">
        <f t="shared" si="11"/>
        <v>67.329271115736049</v>
      </c>
      <c r="L50" s="236">
        <f t="shared" si="12"/>
        <v>82.559131863071002</v>
      </c>
      <c r="M50" s="220"/>
      <c r="N50" s="220"/>
    </row>
    <row r="51" spans="1:14">
      <c r="A51" s="280"/>
      <c r="B51" s="233">
        <v>55</v>
      </c>
      <c r="C51" s="234">
        <v>60</v>
      </c>
      <c r="D51" s="233">
        <f t="shared" si="7"/>
        <v>19.987416362315699</v>
      </c>
      <c r="E51" s="233">
        <f>I6</f>
        <v>5.0683821482807803</v>
      </c>
      <c r="F51" s="233">
        <f t="shared" si="9"/>
        <v>80.012583637684301</v>
      </c>
      <c r="G51" s="235">
        <f t="shared" si="8"/>
        <v>6</v>
      </c>
      <c r="H51" s="235">
        <f t="shared" si="13"/>
        <v>1103</v>
      </c>
      <c r="I51" s="235">
        <f>SUM(G51:G56)</f>
        <v>22</v>
      </c>
      <c r="J51" s="233">
        <f t="shared" si="10"/>
        <v>7.5457636162709827</v>
      </c>
      <c r="K51" s="233">
        <f t="shared" si="11"/>
        <v>72.466820021413312</v>
      </c>
      <c r="L51" s="236">
        <f t="shared" si="12"/>
        <v>87.55834725395529</v>
      </c>
      <c r="M51" s="220"/>
      <c r="N51" s="220"/>
    </row>
    <row r="52" spans="1:14">
      <c r="A52" s="280"/>
      <c r="B52" s="233">
        <v>65</v>
      </c>
      <c r="C52" s="234">
        <v>70</v>
      </c>
      <c r="D52" s="233">
        <f t="shared" si="7"/>
        <v>16.313587427267507</v>
      </c>
      <c r="E52" s="233">
        <f>J6</f>
        <v>3.6738289350481899</v>
      </c>
      <c r="F52" s="233">
        <f t="shared" si="9"/>
        <v>83.686412572732493</v>
      </c>
      <c r="G52" s="235">
        <f t="shared" si="8"/>
        <v>3</v>
      </c>
      <c r="H52" s="235">
        <f t="shared" si="13"/>
        <v>1109</v>
      </c>
      <c r="I52" s="235">
        <f>SUM(G52:G56)</f>
        <v>16</v>
      </c>
      <c r="J52" s="233">
        <f t="shared" si="10"/>
        <v>7.5329658840616638</v>
      </c>
      <c r="K52" s="233">
        <f t="shared" si="11"/>
        <v>76.153446688670826</v>
      </c>
      <c r="L52" s="236">
        <f t="shared" si="12"/>
        <v>91.219378456794161</v>
      </c>
      <c r="M52" s="220"/>
      <c r="N52" s="220"/>
    </row>
    <row r="53" spans="1:14">
      <c r="A53" s="280"/>
      <c r="B53" s="233">
        <v>75</v>
      </c>
      <c r="C53" s="234">
        <v>80</v>
      </c>
      <c r="D53" s="233">
        <f t="shared" si="7"/>
        <v>10.013875544535324</v>
      </c>
      <c r="E53" s="233">
        <f>K6</f>
        <v>6.2997118827321801</v>
      </c>
      <c r="F53" s="233">
        <f t="shared" si="9"/>
        <v>89.986124455464676</v>
      </c>
      <c r="G53" s="235">
        <f t="shared" si="8"/>
        <v>4</v>
      </c>
      <c r="H53" s="235">
        <f t="shared" si="13"/>
        <v>1112</v>
      </c>
      <c r="I53" s="235">
        <f>SUM(G53:G56)</f>
        <v>13</v>
      </c>
      <c r="J53" s="233">
        <f t="shared" si="10"/>
        <v>5.508597070031124</v>
      </c>
      <c r="K53" s="233">
        <f t="shared" si="11"/>
        <v>84.477527385433547</v>
      </c>
      <c r="L53" s="236">
        <f t="shared" si="12"/>
        <v>95.494721525495805</v>
      </c>
      <c r="M53" s="220"/>
      <c r="N53" s="220"/>
    </row>
    <row r="54" spans="1:14">
      <c r="A54" s="280"/>
      <c r="B54" s="233">
        <v>85</v>
      </c>
      <c r="C54" s="234">
        <v>90</v>
      </c>
      <c r="D54" s="233">
        <f t="shared" si="7"/>
        <v>5.5466729956716279</v>
      </c>
      <c r="E54" s="233">
        <f>L6</f>
        <v>4.4672025488636899</v>
      </c>
      <c r="F54" s="233">
        <f t="shared" si="9"/>
        <v>94.453327004328372</v>
      </c>
      <c r="G54" s="235">
        <f t="shared" si="8"/>
        <v>5</v>
      </c>
      <c r="H54" s="235">
        <f t="shared" si="13"/>
        <v>1116</v>
      </c>
      <c r="I54" s="235">
        <f>SUM(G54:G56)</f>
        <v>9</v>
      </c>
      <c r="J54" s="233">
        <f t="shared" si="10"/>
        <v>3.8422339921335333</v>
      </c>
      <c r="K54" s="233">
        <f t="shared" si="11"/>
        <v>90.611093012194843</v>
      </c>
      <c r="L54" s="236">
        <f t="shared" si="12"/>
        <v>98.295560996461901</v>
      </c>
      <c r="M54" s="220"/>
      <c r="N54" s="220"/>
    </row>
    <row r="55" spans="1:14">
      <c r="A55" s="280"/>
      <c r="B55" s="233">
        <v>95</v>
      </c>
      <c r="C55" s="234">
        <v>95</v>
      </c>
      <c r="D55" s="233">
        <f t="shared" si="7"/>
        <v>-1.1368683772161603E-13</v>
      </c>
      <c r="E55" s="233">
        <f>M6</f>
        <v>5.5466729956717398</v>
      </c>
      <c r="F55" s="233">
        <f t="shared" si="9"/>
        <v>100.00000000000011</v>
      </c>
      <c r="G55" s="235">
        <f t="shared" si="8"/>
        <v>4</v>
      </c>
      <c r="H55" s="235">
        <f t="shared" si="13"/>
        <v>1121</v>
      </c>
      <c r="I55" s="235">
        <f>SUM(G55:G56)</f>
        <v>4</v>
      </c>
      <c r="J55" s="233">
        <v>0</v>
      </c>
      <c r="K55" s="233">
        <f t="shared" si="11"/>
        <v>100.00000000000011</v>
      </c>
      <c r="L55" s="236">
        <f t="shared" si="12"/>
        <v>100.00000000000011</v>
      </c>
      <c r="M55" s="220"/>
      <c r="N55" s="220"/>
    </row>
    <row r="56" spans="1:14">
      <c r="A56" s="404"/>
      <c r="B56" s="241">
        <v>100</v>
      </c>
      <c r="C56" s="242">
        <v>100</v>
      </c>
      <c r="D56" s="241">
        <f t="shared" si="7"/>
        <v>-1.1368683772161603E-13</v>
      </c>
      <c r="E56" s="241">
        <f>N6</f>
        <v>0</v>
      </c>
      <c r="F56" s="241">
        <f t="shared" si="9"/>
        <v>100.00000000000011</v>
      </c>
      <c r="G56" s="243">
        <f t="shared" si="8"/>
        <v>0</v>
      </c>
      <c r="H56" s="243">
        <f t="shared" si="13"/>
        <v>1125</v>
      </c>
      <c r="I56" s="243">
        <f>SUM(G56)</f>
        <v>0</v>
      </c>
      <c r="J56" s="241">
        <v>0</v>
      </c>
      <c r="K56" s="241">
        <f t="shared" si="11"/>
        <v>100.00000000000011</v>
      </c>
      <c r="L56" s="244">
        <f t="shared" si="12"/>
        <v>100.00000000000011</v>
      </c>
      <c r="M56" s="220"/>
      <c r="N56" s="220"/>
    </row>
    <row r="57" spans="1:14">
      <c r="A57" s="403" t="s">
        <v>6</v>
      </c>
      <c r="B57" s="245">
        <v>0</v>
      </c>
      <c r="C57" s="246">
        <v>0</v>
      </c>
      <c r="D57" s="245">
        <v>100</v>
      </c>
      <c r="E57" s="245">
        <f>C7</f>
        <v>0</v>
      </c>
      <c r="F57" s="245">
        <f>E57</f>
        <v>0</v>
      </c>
      <c r="G57" s="247">
        <f>G14</f>
        <v>377</v>
      </c>
      <c r="H57" s="247"/>
      <c r="I57" s="247"/>
      <c r="J57" s="245"/>
      <c r="K57" s="245">
        <v>0</v>
      </c>
      <c r="L57" s="248">
        <v>0</v>
      </c>
      <c r="M57" s="220"/>
      <c r="N57" s="220"/>
    </row>
    <row r="58" spans="1:14">
      <c r="A58" s="280"/>
      <c r="B58" s="233">
        <v>5</v>
      </c>
      <c r="C58" s="234">
        <v>10</v>
      </c>
      <c r="D58" s="233">
        <f t="shared" ref="D58:D66" si="14">100-F58</f>
        <v>82.801592891963196</v>
      </c>
      <c r="E58" s="233">
        <f>D7</f>
        <v>17.1984071080368</v>
      </c>
      <c r="F58" s="233">
        <f>F57+E58</f>
        <v>17.1984071080368</v>
      </c>
      <c r="G58" s="235">
        <f t="shared" ref="G58:G68" si="15">G15*$G$26</f>
        <v>307</v>
      </c>
      <c r="H58" s="235">
        <f>G57</f>
        <v>377</v>
      </c>
      <c r="I58" s="235">
        <f>SUM(G58:G68)</f>
        <v>386</v>
      </c>
      <c r="J58" s="233">
        <f>(1.96*(((1.25*((F58/100)^2))*((1-(F58/100))^2)*((1/H58)+(1/I58)))^0.5))*100</f>
        <v>2.2596227366458406</v>
      </c>
      <c r="K58" s="233">
        <f>F58-J58</f>
        <v>14.938784371390959</v>
      </c>
      <c r="L58" s="236">
        <f>F58+J58</f>
        <v>19.458029844682642</v>
      </c>
      <c r="M58" s="220"/>
      <c r="N58" s="220"/>
    </row>
    <row r="59" spans="1:14" ht="15" customHeight="1">
      <c r="A59" s="280"/>
      <c r="B59" s="233">
        <v>15</v>
      </c>
      <c r="C59" s="234">
        <v>20</v>
      </c>
      <c r="D59" s="233">
        <f t="shared" si="14"/>
        <v>70.05814315244649</v>
      </c>
      <c r="E59" s="233">
        <f>E7</f>
        <v>12.7434497395167</v>
      </c>
      <c r="F59" s="233">
        <f t="shared" ref="F59:F68" si="16">F58+E59</f>
        <v>29.941856847553503</v>
      </c>
      <c r="G59" s="235">
        <f t="shared" si="15"/>
        <v>32</v>
      </c>
      <c r="H59" s="235">
        <f>G58+H58</f>
        <v>684</v>
      </c>
      <c r="I59" s="235">
        <f>SUM(G59:G68)</f>
        <v>79</v>
      </c>
      <c r="J59" s="233">
        <f t="shared" ref="J59:J67" si="17">(1.96*(((1.25*((F59/100)^2))*((1-(F59/100))^2)*((1/H59)+(1/I59)))^0.5))*100</f>
        <v>5.4622189225709388</v>
      </c>
      <c r="K59" s="233">
        <f t="shared" ref="K59:K66" si="18">F59-J59</f>
        <v>24.479637924982562</v>
      </c>
      <c r="L59" s="236">
        <f t="shared" ref="L59:L68" si="19">F59+J59</f>
        <v>35.404075770124443</v>
      </c>
      <c r="M59" s="220"/>
      <c r="N59" s="220"/>
    </row>
    <row r="60" spans="1:14">
      <c r="A60" s="280"/>
      <c r="B60" s="233">
        <v>25</v>
      </c>
      <c r="C60" s="234">
        <v>30</v>
      </c>
      <c r="D60" s="233">
        <f t="shared" si="14"/>
        <v>60.120207715848679</v>
      </c>
      <c r="E60" s="233">
        <f>F7</f>
        <v>9.9379354365978205</v>
      </c>
      <c r="F60" s="233">
        <f t="shared" si="16"/>
        <v>39.879792284151321</v>
      </c>
      <c r="G60" s="235">
        <f t="shared" si="15"/>
        <v>17</v>
      </c>
      <c r="H60" s="235">
        <f>G59+H59</f>
        <v>716</v>
      </c>
      <c r="I60" s="235">
        <f>SUM(G60:G68)</f>
        <v>47</v>
      </c>
      <c r="J60" s="233">
        <f t="shared" si="17"/>
        <v>7.9111800139807604</v>
      </c>
      <c r="K60" s="233">
        <f t="shared" si="18"/>
        <v>31.96861227017056</v>
      </c>
      <c r="L60" s="236">
        <f t="shared" si="19"/>
        <v>47.790972298132083</v>
      </c>
      <c r="M60" s="220"/>
      <c r="N60" s="220"/>
    </row>
    <row r="61" spans="1:14">
      <c r="A61" s="280"/>
      <c r="B61" s="233">
        <v>35</v>
      </c>
      <c r="C61" s="234">
        <v>40</v>
      </c>
      <c r="D61" s="233">
        <f t="shared" si="14"/>
        <v>50.585068801836627</v>
      </c>
      <c r="E61" s="233">
        <f>G7</f>
        <v>9.5351389140120499</v>
      </c>
      <c r="F61" s="233">
        <f t="shared" si="16"/>
        <v>49.414931198163373</v>
      </c>
      <c r="G61" s="235">
        <f t="shared" si="15"/>
        <v>9</v>
      </c>
      <c r="H61" s="235">
        <f t="shared" ref="H61:H68" si="20">G60+H60</f>
        <v>733</v>
      </c>
      <c r="I61" s="235">
        <f>SUM(G61:G68)</f>
        <v>30</v>
      </c>
      <c r="J61" s="233">
        <f t="shared" si="17"/>
        <v>10.203314475249011</v>
      </c>
      <c r="K61" s="233">
        <f t="shared" si="18"/>
        <v>39.211616722914364</v>
      </c>
      <c r="L61" s="236">
        <f t="shared" si="19"/>
        <v>59.618245673412382</v>
      </c>
      <c r="M61" s="220"/>
      <c r="N61" s="220"/>
    </row>
    <row r="62" spans="1:14">
      <c r="A62" s="280"/>
      <c r="B62" s="233">
        <v>45</v>
      </c>
      <c r="C62" s="234">
        <v>50</v>
      </c>
      <c r="D62" s="233">
        <f t="shared" si="14"/>
        <v>42.399412409742155</v>
      </c>
      <c r="E62" s="233">
        <f>H7</f>
        <v>8.1856563920944705</v>
      </c>
      <c r="F62" s="233">
        <f t="shared" si="16"/>
        <v>57.600587590257845</v>
      </c>
      <c r="G62" s="235">
        <f t="shared" si="15"/>
        <v>6</v>
      </c>
      <c r="H62" s="235">
        <f t="shared" si="20"/>
        <v>742</v>
      </c>
      <c r="I62" s="235">
        <f>SUM(G62:G68)</f>
        <v>21</v>
      </c>
      <c r="J62" s="233">
        <f t="shared" si="17"/>
        <v>11.842639209916726</v>
      </c>
      <c r="K62" s="233">
        <f t="shared" si="18"/>
        <v>45.757948380341119</v>
      </c>
      <c r="L62" s="236">
        <f t="shared" si="19"/>
        <v>69.443226800174571</v>
      </c>
      <c r="M62" s="220"/>
      <c r="N62" s="220"/>
    </row>
    <row r="63" spans="1:14">
      <c r="A63" s="280"/>
      <c r="B63" s="233">
        <v>55</v>
      </c>
      <c r="C63" s="234">
        <v>60</v>
      </c>
      <c r="D63" s="233">
        <f t="shared" si="14"/>
        <v>36.515869462048805</v>
      </c>
      <c r="E63" s="233">
        <f>I7</f>
        <v>5.8835429476933498</v>
      </c>
      <c r="F63" s="233">
        <f t="shared" si="16"/>
        <v>63.484130537951195</v>
      </c>
      <c r="G63" s="235">
        <f t="shared" si="15"/>
        <v>2</v>
      </c>
      <c r="H63" s="235">
        <f t="shared" si="20"/>
        <v>748</v>
      </c>
      <c r="I63" s="235">
        <f>SUM(G63:G68)</f>
        <v>15</v>
      </c>
      <c r="J63" s="233">
        <f t="shared" si="17"/>
        <v>13.24718923569422</v>
      </c>
      <c r="K63" s="233">
        <f t="shared" si="18"/>
        <v>50.236941302256973</v>
      </c>
      <c r="L63" s="236">
        <f t="shared" si="19"/>
        <v>76.73131977364541</v>
      </c>
      <c r="M63" s="220"/>
      <c r="N63" s="220"/>
    </row>
    <row r="64" spans="1:14">
      <c r="A64" s="280"/>
      <c r="B64" s="233">
        <v>65</v>
      </c>
      <c r="C64" s="234">
        <v>70</v>
      </c>
      <c r="D64" s="233">
        <f t="shared" si="14"/>
        <v>31.064835959959709</v>
      </c>
      <c r="E64" s="233">
        <f>J7</f>
        <v>5.4510335020890901</v>
      </c>
      <c r="F64" s="233">
        <f t="shared" si="16"/>
        <v>68.935164040040291</v>
      </c>
      <c r="G64" s="235">
        <f t="shared" si="15"/>
        <v>3</v>
      </c>
      <c r="H64" s="235">
        <f t="shared" si="20"/>
        <v>750</v>
      </c>
      <c r="I64" s="235">
        <f>SUM(G64:G68)</f>
        <v>13</v>
      </c>
      <c r="J64" s="233">
        <f t="shared" si="17"/>
        <v>13.127466449327024</v>
      </c>
      <c r="K64" s="233">
        <f t="shared" si="18"/>
        <v>55.807697590713268</v>
      </c>
      <c r="L64" s="236">
        <f t="shared" si="19"/>
        <v>82.062630489367308</v>
      </c>
      <c r="M64" s="220"/>
      <c r="N64" s="220"/>
    </row>
    <row r="65" spans="1:14">
      <c r="A65" s="280"/>
      <c r="B65" s="233">
        <v>75</v>
      </c>
      <c r="C65" s="234">
        <v>80</v>
      </c>
      <c r="D65" s="233">
        <f t="shared" si="14"/>
        <v>26.367282630750111</v>
      </c>
      <c r="E65" s="233">
        <f>K7</f>
        <v>4.6975533292095903</v>
      </c>
      <c r="F65" s="233">
        <f t="shared" si="16"/>
        <v>73.632717369249889</v>
      </c>
      <c r="G65" s="235">
        <f t="shared" si="15"/>
        <v>3</v>
      </c>
      <c r="H65" s="235">
        <f t="shared" si="20"/>
        <v>753</v>
      </c>
      <c r="I65" s="235">
        <f>SUM(G65:G68)</f>
        <v>10</v>
      </c>
      <c r="J65" s="233">
        <f t="shared" si="17"/>
        <v>13.542912149825145</v>
      </c>
      <c r="K65" s="233">
        <f t="shared" si="18"/>
        <v>60.089805219424747</v>
      </c>
      <c r="L65" s="236">
        <f t="shared" si="19"/>
        <v>87.175629519075031</v>
      </c>
      <c r="M65" s="220"/>
      <c r="N65" s="220"/>
    </row>
    <row r="66" spans="1:14">
      <c r="A66" s="280"/>
      <c r="B66" s="233">
        <v>85</v>
      </c>
      <c r="C66" s="234">
        <v>90</v>
      </c>
      <c r="D66" s="233">
        <f t="shared" si="14"/>
        <v>16.873088351830773</v>
      </c>
      <c r="E66" s="233">
        <f>L7</f>
        <v>9.4941942789193305</v>
      </c>
      <c r="F66" s="233">
        <f t="shared" si="16"/>
        <v>83.126911648169227</v>
      </c>
      <c r="G66" s="235">
        <f t="shared" si="15"/>
        <v>3</v>
      </c>
      <c r="H66" s="235">
        <f t="shared" si="20"/>
        <v>756</v>
      </c>
      <c r="I66" s="235">
        <f>SUM(G66:G68)</f>
        <v>7</v>
      </c>
      <c r="J66" s="233">
        <f t="shared" si="17"/>
        <v>11.670773899626512</v>
      </c>
      <c r="K66" s="233">
        <f t="shared" si="18"/>
        <v>71.456137748542716</v>
      </c>
      <c r="L66" s="236">
        <f t="shared" si="19"/>
        <v>94.797685547795737</v>
      </c>
      <c r="M66" s="220"/>
      <c r="N66" s="220"/>
    </row>
    <row r="67" spans="1:14">
      <c r="A67" s="280"/>
      <c r="B67" s="233">
        <v>95</v>
      </c>
      <c r="C67" s="234">
        <v>95</v>
      </c>
      <c r="D67" s="233">
        <v>0</v>
      </c>
      <c r="E67" s="233">
        <f>M7</f>
        <v>16.873088351831001</v>
      </c>
      <c r="F67" s="233">
        <f t="shared" si="16"/>
        <v>100.00000000000023</v>
      </c>
      <c r="G67" s="235">
        <f t="shared" si="15"/>
        <v>4</v>
      </c>
      <c r="H67" s="235">
        <f t="shared" si="20"/>
        <v>759</v>
      </c>
      <c r="I67" s="235">
        <f>SUM(G67:G68)</f>
        <v>4</v>
      </c>
      <c r="J67" s="233">
        <f t="shared" si="17"/>
        <v>2.4392858061736959E-13</v>
      </c>
      <c r="K67" s="233">
        <f>F67-J67</f>
        <v>99.999999999999986</v>
      </c>
      <c r="L67" s="236">
        <f t="shared" si="19"/>
        <v>100.00000000000047</v>
      </c>
      <c r="M67" s="220"/>
      <c r="N67" s="220"/>
    </row>
    <row r="68" spans="1:14">
      <c r="A68" s="404"/>
      <c r="B68" s="241">
        <v>100</v>
      </c>
      <c r="C68" s="242">
        <v>100</v>
      </c>
      <c r="D68" s="241">
        <v>0</v>
      </c>
      <c r="E68" s="241">
        <f>N7</f>
        <v>0</v>
      </c>
      <c r="F68" s="241">
        <f t="shared" si="16"/>
        <v>100.00000000000023</v>
      </c>
      <c r="G68" s="243">
        <f t="shared" si="15"/>
        <v>0</v>
      </c>
      <c r="H68" s="243">
        <f t="shared" si="20"/>
        <v>763</v>
      </c>
      <c r="I68" s="243">
        <f>SUM(G68)</f>
        <v>0</v>
      </c>
      <c r="J68" s="241">
        <v>0</v>
      </c>
      <c r="K68" s="241">
        <v>100</v>
      </c>
      <c r="L68" s="244">
        <f t="shared" si="19"/>
        <v>100.00000000000023</v>
      </c>
      <c r="M68" s="220"/>
      <c r="N68" s="220"/>
    </row>
    <row r="69" spans="1:14">
      <c r="A69" s="403" t="s">
        <v>5</v>
      </c>
      <c r="B69" s="245">
        <v>0</v>
      </c>
      <c r="C69" s="246">
        <v>0</v>
      </c>
      <c r="D69" s="245">
        <v>100</v>
      </c>
      <c r="E69" s="245">
        <f>C8</f>
        <v>0</v>
      </c>
      <c r="F69" s="245">
        <f>E69</f>
        <v>0</v>
      </c>
      <c r="G69" s="247">
        <f>I14</f>
        <v>2861</v>
      </c>
      <c r="H69" s="247"/>
      <c r="I69" s="247"/>
      <c r="J69" s="245"/>
      <c r="K69" s="245">
        <v>0</v>
      </c>
      <c r="L69" s="248">
        <v>0</v>
      </c>
      <c r="M69" s="220"/>
      <c r="N69" s="220"/>
    </row>
    <row r="70" spans="1:14">
      <c r="A70" s="280"/>
      <c r="B70" s="233">
        <v>5</v>
      </c>
      <c r="C70" s="234">
        <v>10</v>
      </c>
      <c r="D70" s="233">
        <f t="shared" ref="D70:D80" si="21">100-F70</f>
        <v>89.429105317288801</v>
      </c>
      <c r="E70" s="233">
        <f>D8</f>
        <v>10.5708946827112</v>
      </c>
      <c r="F70" s="233">
        <f>F69+E70</f>
        <v>10.5708946827112</v>
      </c>
      <c r="G70" s="235">
        <f t="shared" ref="G70:G80" si="22">I15*$I$26</f>
        <v>1115</v>
      </c>
      <c r="H70" s="235">
        <f>G69</f>
        <v>2861</v>
      </c>
      <c r="I70" s="235">
        <f>SUM(G70:G80)</f>
        <v>1559</v>
      </c>
      <c r="J70" s="233">
        <f>(1.96*(((1.25*((F70/100)^2))*((1-(F70/100))^2)*((1/H70)+(1/I70)))^0.5))*100</f>
        <v>0.65212501235666298</v>
      </c>
      <c r="K70" s="233">
        <f>F70-J70</f>
        <v>9.9187696703545374</v>
      </c>
      <c r="L70" s="236">
        <f>F70+J70</f>
        <v>11.223019695067864</v>
      </c>
      <c r="M70" s="220"/>
      <c r="N70" s="220"/>
    </row>
    <row r="71" spans="1:14">
      <c r="A71" s="280"/>
      <c r="B71" s="233">
        <v>15</v>
      </c>
      <c r="C71" s="234">
        <v>20</v>
      </c>
      <c r="D71" s="233">
        <f t="shared" si="21"/>
        <v>79.936140571432361</v>
      </c>
      <c r="E71" s="233">
        <f>E8</f>
        <v>9.4929647458564403</v>
      </c>
      <c r="F71" s="233">
        <f t="shared" ref="F71:F80" si="23">F70+E71</f>
        <v>20.063859428567639</v>
      </c>
      <c r="G71" s="235">
        <f t="shared" si="22"/>
        <v>146</v>
      </c>
      <c r="H71" s="235">
        <f>G70+H70</f>
        <v>3976</v>
      </c>
      <c r="I71" s="235">
        <f>SUM(G71:G80)</f>
        <v>444</v>
      </c>
      <c r="J71" s="233">
        <f t="shared" ref="J71:J77" si="24">(1.96*(((1.25*((F71/100)^2))*((1-(F71/100))^2)*((1/H71)+(1/I71)))^0.5))*100</f>
        <v>1.7585924005879956</v>
      </c>
      <c r="K71" s="233">
        <f t="shared" ref="K71:K80" si="25">F71-J71</f>
        <v>18.305267027979642</v>
      </c>
      <c r="L71" s="236">
        <f t="shared" ref="L71:L80" si="26">F71+J71</f>
        <v>21.822451829155636</v>
      </c>
      <c r="M71" s="220"/>
      <c r="N71" s="220"/>
    </row>
    <row r="72" spans="1:14">
      <c r="A72" s="280"/>
      <c r="B72" s="233">
        <v>25</v>
      </c>
      <c r="C72" s="234">
        <v>30</v>
      </c>
      <c r="D72" s="233">
        <f t="shared" si="21"/>
        <v>72.549413319245474</v>
      </c>
      <c r="E72" s="233">
        <f>F8</f>
        <v>7.3867272521868799</v>
      </c>
      <c r="F72" s="233">
        <f t="shared" si="23"/>
        <v>27.450586680754519</v>
      </c>
      <c r="G72" s="235">
        <f t="shared" si="22"/>
        <v>67</v>
      </c>
      <c r="H72" s="235">
        <f t="shared" ref="H72:H80" si="27">G71+H71</f>
        <v>4122</v>
      </c>
      <c r="I72" s="235">
        <f>SUM(G72:G80)</f>
        <v>298</v>
      </c>
      <c r="J72" s="233">
        <f t="shared" si="24"/>
        <v>2.6178552080267181</v>
      </c>
      <c r="K72" s="233">
        <f t="shared" si="25"/>
        <v>24.832731472727801</v>
      </c>
      <c r="L72" s="236">
        <f t="shared" si="26"/>
        <v>30.068441888781237</v>
      </c>
      <c r="M72" s="220"/>
      <c r="N72" s="220"/>
    </row>
    <row r="73" spans="1:14" ht="15" customHeight="1">
      <c r="A73" s="280"/>
      <c r="B73" s="233">
        <v>35</v>
      </c>
      <c r="C73" s="234">
        <v>40</v>
      </c>
      <c r="D73" s="233">
        <f t="shared" si="21"/>
        <v>66.460899795634845</v>
      </c>
      <c r="E73" s="233">
        <f>G8</f>
        <v>6.0885135236106303</v>
      </c>
      <c r="F73" s="233">
        <f t="shared" si="23"/>
        <v>33.539100204365148</v>
      </c>
      <c r="G73" s="235">
        <f t="shared" si="22"/>
        <v>38</v>
      </c>
      <c r="H73" s="235">
        <f t="shared" si="27"/>
        <v>4189</v>
      </c>
      <c r="I73" s="235">
        <f>SUM(G73:G80)</f>
        <v>231</v>
      </c>
      <c r="J73" s="233">
        <f t="shared" si="24"/>
        <v>3.3012519157836353</v>
      </c>
      <c r="K73" s="233">
        <f t="shared" si="25"/>
        <v>30.237848288581514</v>
      </c>
      <c r="L73" s="236">
        <f t="shared" si="26"/>
        <v>36.840352120148786</v>
      </c>
      <c r="M73" s="220"/>
      <c r="N73" s="220"/>
    </row>
    <row r="74" spans="1:14">
      <c r="A74" s="280"/>
      <c r="B74" s="233">
        <v>45</v>
      </c>
      <c r="C74" s="234">
        <v>50</v>
      </c>
      <c r="D74" s="233">
        <f t="shared" si="21"/>
        <v>61.741712717106573</v>
      </c>
      <c r="E74" s="233">
        <f>H8</f>
        <v>4.7191870785282797</v>
      </c>
      <c r="F74" s="233">
        <f t="shared" si="23"/>
        <v>38.258287282893427</v>
      </c>
      <c r="G74" s="235">
        <f t="shared" si="22"/>
        <v>30</v>
      </c>
      <c r="H74" s="235">
        <f t="shared" si="27"/>
        <v>4227</v>
      </c>
      <c r="I74" s="235">
        <f>SUM(G74:G80)</f>
        <v>193</v>
      </c>
      <c r="J74" s="233">
        <f t="shared" si="24"/>
        <v>3.8100583843523501</v>
      </c>
      <c r="K74" s="233">
        <f t="shared" si="25"/>
        <v>34.448228898541075</v>
      </c>
      <c r="L74" s="236">
        <f t="shared" si="26"/>
        <v>42.068345667245779</v>
      </c>
      <c r="M74" s="220"/>
      <c r="N74" s="220"/>
    </row>
    <row r="75" spans="1:14">
      <c r="A75" s="280"/>
      <c r="B75" s="233">
        <v>55</v>
      </c>
      <c r="C75" s="234">
        <v>60</v>
      </c>
      <c r="D75" s="233">
        <f t="shared" si="21"/>
        <v>57.510556347289821</v>
      </c>
      <c r="E75" s="233">
        <f>I8</f>
        <v>4.23115636981675</v>
      </c>
      <c r="F75" s="233">
        <f t="shared" si="23"/>
        <v>42.489443652710179</v>
      </c>
      <c r="G75" s="235">
        <f t="shared" si="22"/>
        <v>18</v>
      </c>
      <c r="H75" s="235">
        <f t="shared" si="27"/>
        <v>4257</v>
      </c>
      <c r="I75" s="235">
        <f>SUM(G75:G80)</f>
        <v>163</v>
      </c>
      <c r="J75" s="233">
        <f t="shared" si="24"/>
        <v>4.273711473153579</v>
      </c>
      <c r="K75" s="233">
        <f t="shared" si="25"/>
        <v>38.215732179556596</v>
      </c>
      <c r="L75" s="236">
        <f t="shared" si="26"/>
        <v>46.763155125863761</v>
      </c>
      <c r="M75" s="220"/>
      <c r="N75" s="220"/>
    </row>
    <row r="76" spans="1:14">
      <c r="A76" s="280"/>
      <c r="B76" s="233">
        <v>65</v>
      </c>
      <c r="C76" s="234">
        <v>70</v>
      </c>
      <c r="D76" s="233">
        <f t="shared" si="21"/>
        <v>50.415899590369058</v>
      </c>
      <c r="E76" s="233">
        <f>J8</f>
        <v>7.0946567569207604</v>
      </c>
      <c r="F76" s="233">
        <f t="shared" si="23"/>
        <v>49.584100409630942</v>
      </c>
      <c r="G76" s="235">
        <f t="shared" si="22"/>
        <v>24</v>
      </c>
      <c r="H76" s="235">
        <f t="shared" si="27"/>
        <v>4275</v>
      </c>
      <c r="I76" s="235">
        <f>SUM(G76:G80)</f>
        <v>145</v>
      </c>
      <c r="J76" s="233">
        <f t="shared" si="24"/>
        <v>4.6257282037339342</v>
      </c>
      <c r="K76" s="233">
        <f t="shared" si="25"/>
        <v>44.958372205897007</v>
      </c>
      <c r="L76" s="236">
        <f t="shared" si="26"/>
        <v>54.209828613364877</v>
      </c>
      <c r="M76" s="220"/>
      <c r="N76" s="220"/>
    </row>
    <row r="77" spans="1:14">
      <c r="A77" s="280"/>
      <c r="B77" s="233">
        <v>75</v>
      </c>
      <c r="C77" s="234">
        <v>80</v>
      </c>
      <c r="D77" s="233">
        <f t="shared" si="21"/>
        <v>46.301959619001039</v>
      </c>
      <c r="E77" s="233">
        <f>K8</f>
        <v>4.11393997136802</v>
      </c>
      <c r="F77" s="233">
        <f t="shared" si="23"/>
        <v>53.698040380998961</v>
      </c>
      <c r="G77" s="235">
        <f t="shared" si="22"/>
        <v>17</v>
      </c>
      <c r="H77" s="235">
        <f t="shared" si="27"/>
        <v>4299</v>
      </c>
      <c r="I77" s="235">
        <f>SUM(G77:G80)</f>
        <v>121</v>
      </c>
      <c r="J77" s="233">
        <f t="shared" si="24"/>
        <v>5.0223111331914403</v>
      </c>
      <c r="K77" s="233">
        <f t="shared" si="25"/>
        <v>48.675729247807524</v>
      </c>
      <c r="L77" s="236">
        <f t="shared" si="26"/>
        <v>58.720351514190398</v>
      </c>
      <c r="M77" s="220"/>
      <c r="N77" s="220"/>
    </row>
    <row r="78" spans="1:14">
      <c r="A78" s="280"/>
      <c r="B78" s="233">
        <v>85</v>
      </c>
      <c r="C78" s="234">
        <v>90</v>
      </c>
      <c r="D78" s="233">
        <f t="shared" si="21"/>
        <v>34.910140290166041</v>
      </c>
      <c r="E78" s="233">
        <f>L8</f>
        <v>11.391819328835</v>
      </c>
      <c r="F78" s="233">
        <f t="shared" si="23"/>
        <v>65.089859709833959</v>
      </c>
      <c r="G78" s="235">
        <f t="shared" si="22"/>
        <v>24</v>
      </c>
      <c r="H78" s="235">
        <f t="shared" si="27"/>
        <v>4316</v>
      </c>
      <c r="I78" s="235">
        <f>SUM(G78:G80)</f>
        <v>104</v>
      </c>
      <c r="J78" s="233">
        <v>1.7237524639101637E-14</v>
      </c>
      <c r="K78" s="233">
        <f t="shared" si="25"/>
        <v>65.089859709833945</v>
      </c>
      <c r="L78" s="236">
        <f t="shared" si="26"/>
        <v>65.089859709833974</v>
      </c>
      <c r="M78" s="220"/>
      <c r="N78" s="220"/>
    </row>
    <row r="79" spans="1:14">
      <c r="A79" s="280"/>
      <c r="B79" s="233">
        <v>95</v>
      </c>
      <c r="C79" s="234">
        <v>95</v>
      </c>
      <c r="D79" s="233">
        <f t="shared" si="21"/>
        <v>0.5868021936087473</v>
      </c>
      <c r="E79" s="233">
        <f>M8</f>
        <v>34.323338096557301</v>
      </c>
      <c r="F79" s="233">
        <f t="shared" si="23"/>
        <v>99.413197806391253</v>
      </c>
      <c r="G79" s="235">
        <f t="shared" si="22"/>
        <v>80</v>
      </c>
      <c r="H79" s="235">
        <f t="shared" si="27"/>
        <v>4340</v>
      </c>
      <c r="I79" s="235">
        <f>SUM(G79:G80)</f>
        <v>80</v>
      </c>
      <c r="J79" s="233">
        <v>1.7237524639101637E-14</v>
      </c>
      <c r="K79" s="233">
        <f t="shared" si="25"/>
        <v>99.413197806391238</v>
      </c>
      <c r="L79" s="236">
        <f t="shared" si="26"/>
        <v>99.413197806391267</v>
      </c>
      <c r="M79" s="220"/>
      <c r="N79" s="220"/>
    </row>
    <row r="80" spans="1:14">
      <c r="A80" s="404"/>
      <c r="B80" s="241">
        <v>100</v>
      </c>
      <c r="C80" s="242">
        <v>100</v>
      </c>
      <c r="D80" s="241">
        <f t="shared" si="21"/>
        <v>1.9895196601282805E-13</v>
      </c>
      <c r="E80" s="241">
        <f>N8</f>
        <v>0.58680219360854402</v>
      </c>
      <c r="F80" s="241">
        <f t="shared" si="23"/>
        <v>99.999999999999801</v>
      </c>
      <c r="G80" s="243">
        <f t="shared" si="22"/>
        <v>0</v>
      </c>
      <c r="H80" s="243">
        <f t="shared" si="27"/>
        <v>4420</v>
      </c>
      <c r="I80" s="243">
        <f>SUM(G80)</f>
        <v>0</v>
      </c>
      <c r="J80" s="241">
        <v>1.7237524639101637E-14</v>
      </c>
      <c r="K80" s="241">
        <f t="shared" si="25"/>
        <v>99.999999999999787</v>
      </c>
      <c r="L80" s="244">
        <f t="shared" si="26"/>
        <v>99.999999999999815</v>
      </c>
      <c r="M80" s="220"/>
      <c r="N80" s="220"/>
    </row>
    <row r="81" spans="1:14">
      <c r="A81" s="402" t="s">
        <v>4</v>
      </c>
      <c r="B81" s="233">
        <v>0</v>
      </c>
      <c r="C81" s="234">
        <v>0</v>
      </c>
      <c r="D81" s="233">
        <v>100</v>
      </c>
      <c r="E81" s="233">
        <f>C9</f>
        <v>0</v>
      </c>
      <c r="F81" s="233">
        <f>E81</f>
        <v>0</v>
      </c>
      <c r="G81" s="235">
        <f>K14</f>
        <v>162122</v>
      </c>
      <c r="H81" s="233"/>
      <c r="I81" s="233"/>
      <c r="J81" s="233"/>
      <c r="K81" s="233">
        <v>0</v>
      </c>
      <c r="L81" s="236">
        <v>0</v>
      </c>
      <c r="M81" s="220"/>
      <c r="N81" s="220"/>
    </row>
    <row r="82" spans="1:14">
      <c r="A82" s="280"/>
      <c r="B82" s="233">
        <v>5</v>
      </c>
      <c r="C82" s="234">
        <v>10</v>
      </c>
      <c r="D82" s="233">
        <f t="shared" ref="D82:D91" si="28">100-F82</f>
        <v>96.591443744647165</v>
      </c>
      <c r="E82" s="233">
        <f>D9</f>
        <v>3.4085562553528299</v>
      </c>
      <c r="F82" s="233">
        <f>F81+E82</f>
        <v>3.4085562553528299</v>
      </c>
      <c r="G82" s="235">
        <f t="shared" ref="G82:G92" si="29">K15*$K$26</f>
        <v>2567</v>
      </c>
      <c r="H82" s="235">
        <f>G81</f>
        <v>162122</v>
      </c>
      <c r="I82" s="235">
        <f>SUM(G82:G92)</f>
        <v>19799</v>
      </c>
      <c r="J82" s="233">
        <f>(1.96*(((1.25*((F82/100)^2))*((1-(F82/100))^2)*((1/H82)+(1/I82)))^0.5))*100</f>
        <v>5.4314903781634657E-2</v>
      </c>
      <c r="K82" s="233">
        <f>F82-J82</f>
        <v>3.3542413515711953</v>
      </c>
      <c r="L82" s="236">
        <f>F82+J82</f>
        <v>3.4628711591344645</v>
      </c>
      <c r="M82" s="220"/>
      <c r="N82" s="220"/>
    </row>
    <row r="83" spans="1:14">
      <c r="A83" s="280"/>
      <c r="B83" s="233">
        <v>15</v>
      </c>
      <c r="C83" s="234">
        <v>20</v>
      </c>
      <c r="D83" s="233">
        <f t="shared" si="28"/>
        <v>92.859256081715245</v>
      </c>
      <c r="E83" s="233">
        <f>E9</f>
        <v>3.7321876629319202</v>
      </c>
      <c r="F83" s="233">
        <f t="shared" ref="F83:F92" si="30">F82+E83</f>
        <v>7.1407439182847501</v>
      </c>
      <c r="G83" s="235">
        <f t="shared" si="29"/>
        <v>1787.0000000000002</v>
      </c>
      <c r="H83" s="235">
        <f>G82+H82</f>
        <v>164689</v>
      </c>
      <c r="I83" s="235">
        <f>SUM(G83:G92)</f>
        <v>17232</v>
      </c>
      <c r="J83" s="233">
        <f>(1.96*(((1.25*((F83/100)^2))*((1-(F83/100))^2)*((1/H83)+(1/I83)))^0.5))*100</f>
        <v>0.11633784497026177</v>
      </c>
      <c r="K83" s="233">
        <f t="shared" ref="K83:K92" si="31">F83-J83</f>
        <v>7.0244060733144886</v>
      </c>
      <c r="L83" s="236">
        <f t="shared" ref="L83:L92" si="32">F83+J83</f>
        <v>7.2570817632550115</v>
      </c>
      <c r="M83" s="220"/>
      <c r="N83" s="220"/>
    </row>
    <row r="84" spans="1:14">
      <c r="A84" s="280"/>
      <c r="B84" s="233">
        <v>25</v>
      </c>
      <c r="C84" s="234">
        <v>30</v>
      </c>
      <c r="D84" s="233">
        <f t="shared" si="28"/>
        <v>89.768809369131617</v>
      </c>
      <c r="E84" s="233">
        <f>F9</f>
        <v>3.0904467125836299</v>
      </c>
      <c r="F84" s="233">
        <f t="shared" si="30"/>
        <v>10.23119063086838</v>
      </c>
      <c r="G84" s="235">
        <f t="shared" si="29"/>
        <v>970</v>
      </c>
      <c r="H84" s="235">
        <f t="shared" ref="H84:H92" si="33">G83+H83</f>
        <v>166476</v>
      </c>
      <c r="I84" s="235">
        <f>SUM(G84:G92)</f>
        <v>15445</v>
      </c>
      <c r="J84" s="233">
        <f t="shared" ref="J84:J89" si="34">(1.96*(((1.25*((F84/100)^2))*((1-(F84/100))^2)*((1/H84)+(1/I84)))^0.5))*100</f>
        <v>0.16929119257245503</v>
      </c>
      <c r="K84" s="233">
        <f t="shared" si="31"/>
        <v>10.061899438295924</v>
      </c>
      <c r="L84" s="236">
        <f t="shared" si="32"/>
        <v>10.400481823440835</v>
      </c>
      <c r="M84" s="220"/>
      <c r="N84" s="220"/>
    </row>
    <row r="85" spans="1:14">
      <c r="A85" s="280"/>
      <c r="B85" s="233">
        <v>35</v>
      </c>
      <c r="C85" s="234">
        <v>40</v>
      </c>
      <c r="D85" s="233">
        <f t="shared" si="28"/>
        <v>86.74290138201377</v>
      </c>
      <c r="E85" s="233">
        <f>G9</f>
        <v>3.0259079871178498</v>
      </c>
      <c r="F85" s="233">
        <f t="shared" si="30"/>
        <v>13.25709861798623</v>
      </c>
      <c r="G85" s="235">
        <f t="shared" si="29"/>
        <v>1204</v>
      </c>
      <c r="H85" s="235">
        <f t="shared" si="33"/>
        <v>167446</v>
      </c>
      <c r="I85" s="235">
        <f>SUM(G85:G92)</f>
        <v>14475</v>
      </c>
      <c r="J85" s="233">
        <f t="shared" si="34"/>
        <v>0.21831735023765381</v>
      </c>
      <c r="K85" s="233">
        <f t="shared" si="31"/>
        <v>13.038781267748577</v>
      </c>
      <c r="L85" s="236">
        <f t="shared" si="32"/>
        <v>13.475415968223883</v>
      </c>
      <c r="M85" s="220"/>
      <c r="N85" s="220"/>
    </row>
    <row r="86" spans="1:14">
      <c r="A86" s="280"/>
      <c r="B86" s="233">
        <v>45</v>
      </c>
      <c r="C86" s="234">
        <v>50</v>
      </c>
      <c r="D86" s="233">
        <f t="shared" si="28"/>
        <v>83.471382569780559</v>
      </c>
      <c r="E86" s="233">
        <f>H9</f>
        <v>3.2715188122332099</v>
      </c>
      <c r="F86" s="233">
        <f t="shared" si="30"/>
        <v>16.528617430219441</v>
      </c>
      <c r="G86" s="235">
        <f t="shared" si="29"/>
        <v>412</v>
      </c>
      <c r="H86" s="235">
        <f t="shared" si="33"/>
        <v>168650</v>
      </c>
      <c r="I86" s="235">
        <f>SUM(G86:G92)</f>
        <v>13271</v>
      </c>
      <c r="J86" s="233">
        <f t="shared" si="34"/>
        <v>0.27257224577472999</v>
      </c>
      <c r="K86" s="233">
        <f t="shared" si="31"/>
        <v>16.256045184444712</v>
      </c>
      <c r="L86" s="236">
        <f t="shared" si="32"/>
        <v>16.80118967599417</v>
      </c>
      <c r="M86" s="220"/>
      <c r="N86" s="220"/>
    </row>
    <row r="87" spans="1:14" ht="15" customHeight="1">
      <c r="A87" s="280"/>
      <c r="B87" s="233">
        <v>55</v>
      </c>
      <c r="C87" s="234">
        <v>60</v>
      </c>
      <c r="D87" s="233">
        <f t="shared" si="28"/>
        <v>80.062143233673112</v>
      </c>
      <c r="E87" s="233">
        <f>I9</f>
        <v>3.40923933610744</v>
      </c>
      <c r="F87" s="233">
        <f t="shared" si="30"/>
        <v>19.937856766326881</v>
      </c>
      <c r="G87" s="235">
        <f t="shared" si="29"/>
        <v>368</v>
      </c>
      <c r="H87" s="235">
        <f t="shared" si="33"/>
        <v>169062</v>
      </c>
      <c r="I87" s="235">
        <f>SUM(G87:G92)</f>
        <v>12859</v>
      </c>
      <c r="J87" s="233">
        <f t="shared" si="34"/>
        <v>0.31998644342761973</v>
      </c>
      <c r="K87" s="233">
        <f t="shared" si="31"/>
        <v>19.617870322899261</v>
      </c>
      <c r="L87" s="236">
        <f t="shared" si="32"/>
        <v>20.257843209754501</v>
      </c>
      <c r="M87" s="220"/>
      <c r="N87" s="220"/>
    </row>
    <row r="88" spans="1:14">
      <c r="A88" s="280"/>
      <c r="B88" s="233">
        <v>65</v>
      </c>
      <c r="C88" s="234">
        <v>70</v>
      </c>
      <c r="D88" s="233">
        <f t="shared" si="28"/>
        <v>75.057217634055164</v>
      </c>
      <c r="E88" s="233">
        <f>J9</f>
        <v>5.0049255996179598</v>
      </c>
      <c r="F88" s="233">
        <f t="shared" si="30"/>
        <v>24.94278236594484</v>
      </c>
      <c r="G88" s="235">
        <f t="shared" si="29"/>
        <v>932</v>
      </c>
      <c r="H88" s="235">
        <f t="shared" si="33"/>
        <v>169430</v>
      </c>
      <c r="I88" s="235">
        <f>SUM(G88:G92)</f>
        <v>12491</v>
      </c>
      <c r="J88" s="233">
        <f t="shared" si="34"/>
        <v>0.38036109942747248</v>
      </c>
      <c r="K88" s="233">
        <f t="shared" si="31"/>
        <v>24.562421266517369</v>
      </c>
      <c r="L88" s="236">
        <f t="shared" si="32"/>
        <v>25.323143465372311</v>
      </c>
      <c r="M88" s="220"/>
      <c r="N88" s="220"/>
    </row>
    <row r="89" spans="1:14">
      <c r="A89" s="280"/>
      <c r="B89" s="233">
        <v>75</v>
      </c>
      <c r="C89" s="234">
        <v>80</v>
      </c>
      <c r="D89" s="233">
        <f t="shared" si="28"/>
        <v>67.768453306330173</v>
      </c>
      <c r="E89" s="233">
        <f>K9</f>
        <v>7.2887643277249898</v>
      </c>
      <c r="F89" s="233">
        <f t="shared" si="30"/>
        <v>32.231546693669827</v>
      </c>
      <c r="G89" s="235">
        <f t="shared" si="29"/>
        <v>1124</v>
      </c>
      <c r="H89" s="235">
        <f t="shared" si="33"/>
        <v>170362</v>
      </c>
      <c r="I89" s="235">
        <f>SUM(G89:G92)</f>
        <v>11559</v>
      </c>
      <c r="J89" s="233">
        <f t="shared" si="34"/>
        <v>0.46006025793445149</v>
      </c>
      <c r="K89" s="233">
        <f t="shared" si="31"/>
        <v>31.771486435735376</v>
      </c>
      <c r="L89" s="236">
        <f t="shared" si="32"/>
        <v>32.691606951604278</v>
      </c>
      <c r="M89" s="220"/>
      <c r="N89" s="220"/>
    </row>
    <row r="90" spans="1:14">
      <c r="A90" s="280"/>
      <c r="B90" s="233">
        <v>85</v>
      </c>
      <c r="C90" s="234">
        <v>90</v>
      </c>
      <c r="D90" s="233">
        <f t="shared" si="28"/>
        <v>51.925924413979573</v>
      </c>
      <c r="E90" s="233">
        <f>L9</f>
        <v>15.8425288923506</v>
      </c>
      <c r="F90" s="233">
        <f t="shared" si="30"/>
        <v>48.074075586020427</v>
      </c>
      <c r="G90" s="235">
        <f t="shared" si="29"/>
        <v>1249.9999999999998</v>
      </c>
      <c r="H90" s="235">
        <f t="shared" si="33"/>
        <v>171486</v>
      </c>
      <c r="I90" s="235">
        <f>SUM(G90:G92)</f>
        <v>10435</v>
      </c>
      <c r="J90" s="233">
        <v>1.7237524639101637E-14</v>
      </c>
      <c r="K90" s="233">
        <f t="shared" si="31"/>
        <v>48.074075586020413</v>
      </c>
      <c r="L90" s="236">
        <f t="shared" si="32"/>
        <v>48.074075586020442</v>
      </c>
      <c r="M90" s="220"/>
      <c r="N90" s="220"/>
    </row>
    <row r="91" spans="1:14">
      <c r="A91" s="280"/>
      <c r="B91" s="233">
        <v>95</v>
      </c>
      <c r="C91" s="234">
        <v>95</v>
      </c>
      <c r="D91" s="233">
        <f t="shared" si="28"/>
        <v>12.054545329997978</v>
      </c>
      <c r="E91" s="233">
        <f>M9</f>
        <v>39.871379083981601</v>
      </c>
      <c r="F91" s="233">
        <f t="shared" si="30"/>
        <v>87.945454670002022</v>
      </c>
      <c r="G91" s="235">
        <f t="shared" si="29"/>
        <v>9185</v>
      </c>
      <c r="H91" s="235">
        <f t="shared" si="33"/>
        <v>172736</v>
      </c>
      <c r="I91" s="235">
        <f>SUM(G91:G92)</f>
        <v>9185</v>
      </c>
      <c r="J91" s="233">
        <v>1.7237524639101637E-14</v>
      </c>
      <c r="K91" s="233">
        <f t="shared" si="31"/>
        <v>87.945454670002007</v>
      </c>
      <c r="L91" s="236">
        <f t="shared" si="32"/>
        <v>87.945454670002036</v>
      </c>
      <c r="M91" s="220"/>
      <c r="N91" s="220"/>
    </row>
    <row r="92" spans="1:14" ht="16" thickBot="1">
      <c r="A92" s="281"/>
      <c r="B92" s="237">
        <v>100</v>
      </c>
      <c r="C92" s="238">
        <v>100</v>
      </c>
      <c r="D92" s="237">
        <v>0</v>
      </c>
      <c r="E92" s="237">
        <f>N9</f>
        <v>12.054545329978099</v>
      </c>
      <c r="F92" s="237">
        <f t="shared" si="30"/>
        <v>99.999999999980119</v>
      </c>
      <c r="G92" s="239">
        <f t="shared" si="29"/>
        <v>0</v>
      </c>
      <c r="H92" s="239">
        <f t="shared" si="33"/>
        <v>181921</v>
      </c>
      <c r="I92" s="239">
        <f>SUM(G92)</f>
        <v>0</v>
      </c>
      <c r="J92" s="237">
        <v>1.7237524639101637E-14</v>
      </c>
      <c r="K92" s="237">
        <f t="shared" si="31"/>
        <v>99.999999999980105</v>
      </c>
      <c r="L92" s="240">
        <f t="shared" si="32"/>
        <v>99.999999999980133</v>
      </c>
      <c r="M92" s="220"/>
      <c r="N92" s="220"/>
    </row>
    <row r="93" spans="1:14">
      <c r="M93" s="220"/>
      <c r="N93" s="220"/>
    </row>
    <row r="94" spans="1:14">
      <c r="M94" s="220"/>
      <c r="N94" s="220"/>
    </row>
    <row r="95" spans="1:14">
      <c r="M95" s="220"/>
      <c r="N95" s="220"/>
    </row>
    <row r="96" spans="1:14">
      <c r="M96" s="220"/>
      <c r="N96" s="220"/>
    </row>
    <row r="97" spans="13:14">
      <c r="M97" s="220"/>
      <c r="N97" s="220"/>
    </row>
    <row r="98" spans="13:14">
      <c r="M98" s="220"/>
      <c r="N98" s="220"/>
    </row>
    <row r="99" spans="13:14">
      <c r="M99" s="220"/>
      <c r="N99" s="220"/>
    </row>
    <row r="100" spans="13:14">
      <c r="M100" s="220"/>
      <c r="N100" s="220"/>
    </row>
  </sheetData>
  <mergeCells count="25">
    <mergeCell ref="K31:K32"/>
    <mergeCell ref="L31:L32"/>
    <mergeCell ref="D31:D32"/>
    <mergeCell ref="A12:A13"/>
    <mergeCell ref="A5:A10"/>
    <mergeCell ref="E31:E32"/>
    <mergeCell ref="G31:G32"/>
    <mergeCell ref="H31:H32"/>
    <mergeCell ref="I31:I32"/>
    <mergeCell ref="J31:J32"/>
    <mergeCell ref="A31:A32"/>
    <mergeCell ref="F31:F32"/>
    <mergeCell ref="A2:N2"/>
    <mergeCell ref="B12:C12"/>
    <mergeCell ref="D12:E12"/>
    <mergeCell ref="F12:G12"/>
    <mergeCell ref="H12:I12"/>
    <mergeCell ref="J12:K12"/>
    <mergeCell ref="C3:N3"/>
    <mergeCell ref="A81:A92"/>
    <mergeCell ref="A33:A44"/>
    <mergeCell ref="A45:A56"/>
    <mergeCell ref="A57:A68"/>
    <mergeCell ref="B31:C32"/>
    <mergeCell ref="A69:A80"/>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AF95D0-7352-2746-8A77-B9DE3C76D2B7}">
  <dimension ref="A1:AL100"/>
  <sheetViews>
    <sheetView zoomScale="58" zoomScaleNormal="64" workbookViewId="0"/>
  </sheetViews>
  <sheetFormatPr baseColWidth="10" defaultColWidth="19.6640625" defaultRowHeight="15"/>
  <cols>
    <col min="1" max="1" width="24.33203125" style="192" bestFit="1" customWidth="1"/>
    <col min="2" max="3" width="19.6640625" style="192"/>
    <col min="4" max="4" width="23.83203125" style="192" customWidth="1"/>
    <col min="5" max="14" width="19.6640625" style="192"/>
    <col min="15" max="15" width="6.5" style="192" customWidth="1"/>
    <col min="16" max="16" width="8.5" style="192" customWidth="1"/>
    <col min="17" max="17" width="9.1640625" style="192" customWidth="1"/>
    <col min="18" max="16384" width="19.6640625" style="192"/>
  </cols>
  <sheetData>
    <row r="1" spans="1:30" ht="16" thickBot="1"/>
    <row r="2" spans="1:30" ht="16" thickBot="1">
      <c r="A2" s="407" t="s">
        <v>234</v>
      </c>
      <c r="B2" s="408"/>
      <c r="C2" s="408"/>
      <c r="D2" s="408"/>
      <c r="E2" s="408"/>
      <c r="F2" s="408"/>
      <c r="G2" s="408"/>
      <c r="H2" s="408"/>
      <c r="I2" s="408"/>
      <c r="J2" s="408"/>
      <c r="K2" s="408"/>
      <c r="L2" s="408"/>
      <c r="M2" s="408"/>
      <c r="N2" s="409"/>
      <c r="O2" s="215"/>
    </row>
    <row r="3" spans="1:30">
      <c r="A3" s="129"/>
      <c r="B3" s="134" t="s">
        <v>23</v>
      </c>
      <c r="C3" s="412" t="s">
        <v>235</v>
      </c>
      <c r="D3" s="412" t="s">
        <v>23</v>
      </c>
      <c r="E3" s="412" t="s">
        <v>23</v>
      </c>
      <c r="F3" s="412" t="s">
        <v>23</v>
      </c>
      <c r="G3" s="412" t="s">
        <v>23</v>
      </c>
      <c r="H3" s="412" t="s">
        <v>23</v>
      </c>
      <c r="I3" s="412" t="s">
        <v>23</v>
      </c>
      <c r="J3" s="412" t="s">
        <v>23</v>
      </c>
      <c r="K3" s="412" t="s">
        <v>23</v>
      </c>
      <c r="L3" s="412" t="s">
        <v>23</v>
      </c>
      <c r="M3" s="412" t="s">
        <v>23</v>
      </c>
      <c r="N3" s="413" t="s">
        <v>23</v>
      </c>
      <c r="O3" s="216"/>
    </row>
    <row r="4" spans="1:30">
      <c r="A4" s="129" t="s">
        <v>23</v>
      </c>
      <c r="B4" s="134" t="s">
        <v>23</v>
      </c>
      <c r="C4" s="134" t="s">
        <v>236</v>
      </c>
      <c r="D4" s="134" t="s">
        <v>237</v>
      </c>
      <c r="E4" s="134" t="s">
        <v>238</v>
      </c>
      <c r="F4" s="134" t="s">
        <v>239</v>
      </c>
      <c r="G4" s="134" t="s">
        <v>240</v>
      </c>
      <c r="H4" s="134" t="s">
        <v>241</v>
      </c>
      <c r="I4" s="134" t="s">
        <v>242</v>
      </c>
      <c r="J4" s="134" t="s">
        <v>243</v>
      </c>
      <c r="K4" s="134" t="s">
        <v>244</v>
      </c>
      <c r="L4" s="134" t="s">
        <v>245</v>
      </c>
      <c r="M4" s="134" t="s">
        <v>246</v>
      </c>
      <c r="N4" s="263" t="s">
        <v>247</v>
      </c>
      <c r="O4" s="217"/>
    </row>
    <row r="5" spans="1:30">
      <c r="A5" s="418" t="s">
        <v>248</v>
      </c>
      <c r="B5" s="134" t="s">
        <v>8</v>
      </c>
      <c r="C5" s="135">
        <v>0</v>
      </c>
      <c r="D5" s="135">
        <v>22.888557671021001</v>
      </c>
      <c r="E5" s="135">
        <v>21.163381774747499</v>
      </c>
      <c r="F5" s="135">
        <v>24.378576053333799</v>
      </c>
      <c r="G5" s="135">
        <v>13.019971414421301</v>
      </c>
      <c r="H5" s="135">
        <v>4.3559761188418804</v>
      </c>
      <c r="I5" s="135">
        <v>2.69379080559774</v>
      </c>
      <c r="J5" s="135">
        <v>2.0178350003344598</v>
      </c>
      <c r="K5" s="135">
        <v>7.1364231447514399</v>
      </c>
      <c r="L5" s="135">
        <v>2.34548801695099</v>
      </c>
      <c r="M5" s="135">
        <v>0</v>
      </c>
      <c r="N5" s="250">
        <v>0</v>
      </c>
      <c r="O5" s="232"/>
      <c r="P5" s="219"/>
      <c r="Q5" s="219"/>
    </row>
    <row r="6" spans="1:30">
      <c r="A6" s="418" t="s">
        <v>23</v>
      </c>
      <c r="B6" s="264" t="s">
        <v>75</v>
      </c>
      <c r="C6" s="135">
        <v>0</v>
      </c>
      <c r="D6" s="135">
        <v>19.609610871549599</v>
      </c>
      <c r="E6" s="135">
        <v>20.250265831527201</v>
      </c>
      <c r="F6" s="135">
        <v>17.456817890074749</v>
      </c>
      <c r="G6" s="135">
        <v>14.536327178891399</v>
      </c>
      <c r="H6" s="135">
        <v>6.4126528695371148</v>
      </c>
      <c r="I6" s="135">
        <v>6.0477037607466553</v>
      </c>
      <c r="J6" s="135">
        <v>6.37780218096644</v>
      </c>
      <c r="K6" s="135">
        <v>5.4632342499921451</v>
      </c>
      <c r="L6" s="135">
        <v>2.0833567104758348</v>
      </c>
      <c r="M6" s="135">
        <v>1.7622284562388051</v>
      </c>
      <c r="N6" s="250">
        <v>0</v>
      </c>
      <c r="O6" s="232"/>
      <c r="P6" s="219"/>
      <c r="Q6" s="219"/>
    </row>
    <row r="7" spans="1:30">
      <c r="A7" s="418" t="s">
        <v>23</v>
      </c>
      <c r="B7" s="134" t="s">
        <v>6</v>
      </c>
      <c r="C7" s="135">
        <v>0</v>
      </c>
      <c r="D7" s="135">
        <v>17.6319528888558</v>
      </c>
      <c r="E7" s="135">
        <v>15.012533253971</v>
      </c>
      <c r="F7" s="135">
        <v>13.491681268105101</v>
      </c>
      <c r="G7" s="135">
        <v>12.9156482810609</v>
      </c>
      <c r="H7" s="135">
        <v>6.5315286288171297</v>
      </c>
      <c r="I7" s="135">
        <v>6.4419668879911596</v>
      </c>
      <c r="J7" s="135">
        <v>0.78553644719569304</v>
      </c>
      <c r="K7" s="135">
        <v>5.77796541595617</v>
      </c>
      <c r="L7" s="135">
        <v>6.2587069656327499</v>
      </c>
      <c r="M7" s="135">
        <v>15.152479962414199</v>
      </c>
      <c r="N7" s="250">
        <v>0</v>
      </c>
      <c r="O7" s="232"/>
      <c r="P7" s="219"/>
      <c r="Q7" s="219"/>
    </row>
    <row r="8" spans="1:30">
      <c r="A8" s="418" t="s">
        <v>23</v>
      </c>
      <c r="B8" s="134" t="s">
        <v>5</v>
      </c>
      <c r="C8" s="135">
        <v>0</v>
      </c>
      <c r="D8" s="135">
        <v>6.1719353319779398</v>
      </c>
      <c r="E8" s="135">
        <v>7.51086336237511</v>
      </c>
      <c r="F8" s="135">
        <v>5.79992103486377</v>
      </c>
      <c r="G8" s="135">
        <v>4.4079646780563397</v>
      </c>
      <c r="H8" s="135">
        <v>5.0149692694047099</v>
      </c>
      <c r="I8" s="135">
        <v>4.3686285967156504</v>
      </c>
      <c r="J8" s="135">
        <v>3.6667413505845001</v>
      </c>
      <c r="K8" s="135">
        <v>5.5913576745524098</v>
      </c>
      <c r="L8" s="135">
        <v>10.5784306487827</v>
      </c>
      <c r="M8" s="135">
        <v>44.860202032925898</v>
      </c>
      <c r="N8" s="250">
        <v>2.0289860197612501</v>
      </c>
      <c r="O8" s="232"/>
      <c r="P8" s="219"/>
      <c r="Q8" s="219"/>
    </row>
    <row r="9" spans="1:30">
      <c r="A9" s="418" t="s">
        <v>23</v>
      </c>
      <c r="B9" s="134" t="s">
        <v>260</v>
      </c>
      <c r="C9" s="135">
        <v>0</v>
      </c>
      <c r="D9" s="135">
        <v>1.1021345281561299</v>
      </c>
      <c r="E9" s="135">
        <v>1.1488740376548101</v>
      </c>
      <c r="F9" s="135">
        <v>1.0518404997707</v>
      </c>
      <c r="G9" s="135">
        <v>1.1427696806596499</v>
      </c>
      <c r="H9" s="135">
        <v>1.80058420601851</v>
      </c>
      <c r="I9" s="135">
        <v>0.94465417270763596</v>
      </c>
      <c r="J9" s="135">
        <v>2.3734450729566698</v>
      </c>
      <c r="K9" s="135">
        <v>3.57630791897608</v>
      </c>
      <c r="L9" s="135">
        <v>7.5850530695421403</v>
      </c>
      <c r="M9" s="135">
        <v>48.187902957841501</v>
      </c>
      <c r="N9" s="250">
        <v>31.086433855723801</v>
      </c>
      <c r="O9" s="232"/>
      <c r="P9" s="219"/>
      <c r="Q9" s="219"/>
    </row>
    <row r="10" spans="1:30" ht="16" thickBot="1">
      <c r="A10" s="419" t="s">
        <v>23</v>
      </c>
      <c r="B10" s="142" t="s">
        <v>249</v>
      </c>
      <c r="C10" s="143">
        <v>0</v>
      </c>
      <c r="D10" s="143">
        <v>18.327083625763901</v>
      </c>
      <c r="E10" s="143">
        <v>17.227086836577001</v>
      </c>
      <c r="F10" s="143">
        <v>18.702022728098701</v>
      </c>
      <c r="G10" s="143">
        <v>11.1503696466152</v>
      </c>
      <c r="H10" s="143">
        <v>4.4862282347912199</v>
      </c>
      <c r="I10" s="143">
        <v>3.2284619085117798</v>
      </c>
      <c r="J10" s="143">
        <v>2.60209548710547</v>
      </c>
      <c r="K10" s="143">
        <v>6.2945223299558002</v>
      </c>
      <c r="L10" s="143">
        <v>3.7649170946463699</v>
      </c>
      <c r="M10" s="143">
        <v>10.1841939018526</v>
      </c>
      <c r="N10" s="218">
        <v>4.0330182060828896</v>
      </c>
      <c r="O10" s="232"/>
      <c r="P10" s="219"/>
      <c r="Q10" s="219"/>
    </row>
    <row r="11" spans="1:30" ht="16" thickBot="1">
      <c r="B11" s="216"/>
      <c r="C11" s="217"/>
      <c r="D11" s="217"/>
      <c r="E11" s="217"/>
      <c r="F11" s="217"/>
      <c r="G11" s="217"/>
      <c r="H11" s="217"/>
      <c r="I11" s="217"/>
      <c r="J11" s="217"/>
      <c r="K11" s="217"/>
      <c r="L11" s="217"/>
      <c r="M11" s="217"/>
      <c r="N11" s="217"/>
      <c r="O11" s="232"/>
      <c r="P11" s="219"/>
      <c r="Q11" s="219"/>
    </row>
    <row r="12" spans="1:30">
      <c r="A12" s="416"/>
      <c r="B12" s="410" t="s">
        <v>8</v>
      </c>
      <c r="C12" s="410"/>
      <c r="D12" s="410" t="s">
        <v>7</v>
      </c>
      <c r="E12" s="410"/>
      <c r="F12" s="410" t="s">
        <v>6</v>
      </c>
      <c r="G12" s="410"/>
      <c r="H12" s="410" t="s">
        <v>5</v>
      </c>
      <c r="I12" s="410"/>
      <c r="J12" s="410" t="s">
        <v>4</v>
      </c>
      <c r="K12" s="411"/>
      <c r="O12" s="215"/>
    </row>
    <row r="13" spans="1:30">
      <c r="A13" s="417" t="s">
        <v>250</v>
      </c>
      <c r="B13" s="255" t="s">
        <v>251</v>
      </c>
      <c r="C13" s="255" t="s">
        <v>252</v>
      </c>
      <c r="D13" s="256" t="s">
        <v>251</v>
      </c>
      <c r="E13" s="255" t="s">
        <v>252</v>
      </c>
      <c r="F13" s="256" t="s">
        <v>251</v>
      </c>
      <c r="G13" s="255" t="s">
        <v>252</v>
      </c>
      <c r="H13" s="256" t="s">
        <v>251</v>
      </c>
      <c r="I13" s="255" t="s">
        <v>252</v>
      </c>
      <c r="J13" s="256" t="s">
        <v>251</v>
      </c>
      <c r="K13" s="257" t="s">
        <v>252</v>
      </c>
    </row>
    <row r="14" spans="1:30">
      <c r="A14" s="258">
        <v>0</v>
      </c>
      <c r="B14" s="247">
        <v>1933.6512118790899</v>
      </c>
      <c r="C14" s="245">
        <v>49</v>
      </c>
      <c r="D14" s="259">
        <v>1357.98698741867</v>
      </c>
      <c r="E14" s="245">
        <v>505</v>
      </c>
      <c r="F14" s="245">
        <v>444.86462555544603</v>
      </c>
      <c r="G14" s="245">
        <v>1628</v>
      </c>
      <c r="H14" s="259">
        <v>206.34523502286501</v>
      </c>
      <c r="I14" s="245">
        <v>7495</v>
      </c>
      <c r="J14" s="259">
        <v>19.984601616735699</v>
      </c>
      <c r="K14" s="248">
        <v>620592</v>
      </c>
    </row>
    <row r="15" spans="1:30">
      <c r="A15" s="249">
        <v>0.05</v>
      </c>
      <c r="B15" s="235">
        <v>2856.3891055955401</v>
      </c>
      <c r="C15" s="233">
        <v>0.84042553191489366</v>
      </c>
      <c r="D15" s="135">
        <v>0</v>
      </c>
      <c r="E15" s="233">
        <v>0.8174114021571649</v>
      </c>
      <c r="F15" s="233">
        <v>511.477431911113</v>
      </c>
      <c r="G15" s="233">
        <v>0.77857142857142858</v>
      </c>
      <c r="H15" s="135">
        <v>232.00531241590301</v>
      </c>
      <c r="I15" s="233">
        <v>0.68431372549019609</v>
      </c>
      <c r="J15" s="135">
        <v>61.307461071671099</v>
      </c>
      <c r="K15" s="236">
        <v>4.5848983292319651E-2</v>
      </c>
      <c r="AD15" s="217"/>
    </row>
    <row r="16" spans="1:30">
      <c r="A16" s="249">
        <v>0.15000000000000002</v>
      </c>
      <c r="B16" s="235">
        <v>2719.8124357483798</v>
      </c>
      <c r="C16" s="233">
        <v>8.085106382978724E-2</v>
      </c>
      <c r="D16" s="135">
        <v>1563.7916101141</v>
      </c>
      <c r="E16" s="233">
        <v>8.9368258859784278E-2</v>
      </c>
      <c r="F16" s="233">
        <v>452.81417893506602</v>
      </c>
      <c r="G16" s="233">
        <v>8.2142857142857142E-2</v>
      </c>
      <c r="H16" s="135">
        <v>229.75925229318</v>
      </c>
      <c r="I16" s="233">
        <v>7.0261437908496732E-2</v>
      </c>
      <c r="J16" s="135">
        <v>31.099765138364099</v>
      </c>
      <c r="K16" s="236">
        <v>2.7846133920476621E-2</v>
      </c>
      <c r="AD16" s="217"/>
    </row>
    <row r="17" spans="1:38">
      <c r="A17" s="249">
        <v>0.25</v>
      </c>
      <c r="B17" s="235">
        <v>3302.7537990206802</v>
      </c>
      <c r="C17" s="233">
        <v>3.8297872340425532E-2</v>
      </c>
      <c r="D17" s="135">
        <v>1526.5368068862299</v>
      </c>
      <c r="E17" s="233">
        <v>4.3913713405238829E-2</v>
      </c>
      <c r="F17" s="233">
        <v>429.051624502376</v>
      </c>
      <c r="G17" s="233">
        <v>5.0892857142857142E-2</v>
      </c>
      <c r="H17" s="135">
        <v>214.2296030871</v>
      </c>
      <c r="I17" s="233">
        <v>3.5294117647058823E-2</v>
      </c>
      <c r="J17" s="135">
        <v>29.482078545703899</v>
      </c>
      <c r="K17" s="236">
        <v>2.0485256659327374E-2</v>
      </c>
      <c r="AD17" s="217"/>
    </row>
    <row r="18" spans="1:38">
      <c r="A18" s="249">
        <v>0.35</v>
      </c>
      <c r="B18" s="235">
        <v>2526.21418919402</v>
      </c>
      <c r="C18" s="233">
        <v>2.1276595744680851E-2</v>
      </c>
      <c r="D18" s="135">
        <v>1630.46267758107</v>
      </c>
      <c r="E18" s="233">
        <v>2.465331278890601E-2</v>
      </c>
      <c r="F18" s="233">
        <v>473.07398745510898</v>
      </c>
      <c r="G18" s="233">
        <v>2.8571428571428571E-2</v>
      </c>
      <c r="H18" s="135">
        <v>206.02667427430299</v>
      </c>
      <c r="I18" s="233">
        <v>2.3856209150326796E-2</v>
      </c>
      <c r="J18" s="135">
        <v>22.106245159473598</v>
      </c>
      <c r="K18" s="236">
        <v>2.8385787678625395E-2</v>
      </c>
      <c r="P18" s="215"/>
      <c r="Q18" s="216"/>
      <c r="R18" s="217"/>
      <c r="S18" s="217"/>
      <c r="T18" s="217"/>
      <c r="U18" s="217"/>
      <c r="V18" s="217"/>
      <c r="W18" s="217"/>
      <c r="X18" s="217"/>
      <c r="Y18" s="217"/>
      <c r="Z18" s="217"/>
      <c r="AA18" s="217"/>
      <c r="AB18" s="217"/>
      <c r="AC18" s="217"/>
      <c r="AD18" s="217"/>
    </row>
    <row r="19" spans="1:38">
      <c r="A19" s="249">
        <v>0.45</v>
      </c>
      <c r="B19" s="235">
        <v>2402.95482295482</v>
      </c>
      <c r="C19" s="233">
        <v>8.5106382978723406E-3</v>
      </c>
      <c r="D19" s="135">
        <v>1538.4177374747201</v>
      </c>
      <c r="E19" s="233">
        <v>8.4745762711864406E-3</v>
      </c>
      <c r="F19" s="233">
        <v>349.10432663570703</v>
      </c>
      <c r="G19" s="233">
        <v>1.7857142857142856E-2</v>
      </c>
      <c r="H19" s="135">
        <v>208.93626626174699</v>
      </c>
      <c r="I19" s="233">
        <v>1.8627450980392157E-2</v>
      </c>
      <c r="J19" s="135">
        <v>38.160159434731497</v>
      </c>
      <c r="K19" s="236">
        <v>5.0511591762725039E-3</v>
      </c>
      <c r="P19" s="215"/>
      <c r="Q19" s="216"/>
      <c r="R19" s="217"/>
      <c r="S19" s="217"/>
      <c r="T19" s="217"/>
      <c r="U19" s="217"/>
      <c r="V19" s="217"/>
      <c r="W19" s="217"/>
      <c r="X19" s="217"/>
      <c r="Y19" s="217"/>
      <c r="Z19" s="217"/>
      <c r="AA19" s="217"/>
      <c r="AB19" s="217"/>
      <c r="AC19" s="217"/>
      <c r="AD19" s="217"/>
    </row>
    <row r="20" spans="1:38">
      <c r="A20" s="249">
        <v>0.55000000000000004</v>
      </c>
      <c r="B20" s="235">
        <v>1976.98455390763</v>
      </c>
      <c r="C20" s="233">
        <v>2.1276595744680851E-3</v>
      </c>
      <c r="D20" s="135">
        <v>1892.14072487919</v>
      </c>
      <c r="E20" s="233">
        <v>5.3929121725731898E-3</v>
      </c>
      <c r="F20" s="233">
        <v>451.659641728135</v>
      </c>
      <c r="G20" s="233">
        <v>1.0714285714285714E-2</v>
      </c>
      <c r="H20" s="135">
        <v>212.68477943324601</v>
      </c>
      <c r="I20" s="233">
        <v>1.3725490196078431E-2</v>
      </c>
      <c r="J20" s="135">
        <v>29.156094870380599</v>
      </c>
      <c r="K20" s="236">
        <v>4.6410223200794368E-3</v>
      </c>
      <c r="P20" s="215"/>
      <c r="Q20" s="216"/>
      <c r="R20" s="217"/>
      <c r="S20" s="217"/>
      <c r="T20" s="217"/>
      <c r="U20" s="217"/>
      <c r="V20" s="217"/>
      <c r="W20" s="217"/>
      <c r="X20" s="217"/>
      <c r="Y20" s="217"/>
      <c r="Z20" s="217"/>
      <c r="AA20" s="217"/>
      <c r="AB20" s="217"/>
      <c r="AC20" s="217"/>
      <c r="AD20" s="217"/>
    </row>
    <row r="21" spans="1:38">
      <c r="A21" s="249">
        <v>0.65</v>
      </c>
      <c r="B21" s="235">
        <v>1891.1032470354501</v>
      </c>
      <c r="C21" s="233">
        <v>2.1276595744680851E-3</v>
      </c>
      <c r="D21" s="135">
        <v>1886.7845747424999</v>
      </c>
      <c r="E21" s="233">
        <v>3.852080123266564E-3</v>
      </c>
      <c r="F21" s="233">
        <v>287.925824175824</v>
      </c>
      <c r="G21" s="233">
        <v>2.6785714285714286E-3</v>
      </c>
      <c r="H21" s="135">
        <v>206.28864301985001</v>
      </c>
      <c r="I21" s="233">
        <v>9.8039215686274508E-3</v>
      </c>
      <c r="J21" s="135">
        <v>26.4153956719639</v>
      </c>
      <c r="K21" s="236">
        <v>2.1866770280188231E-2</v>
      </c>
      <c r="P21" s="215"/>
      <c r="Q21" s="216"/>
      <c r="R21" s="217"/>
      <c r="S21" s="217"/>
      <c r="T21" s="217"/>
      <c r="U21" s="217"/>
      <c r="V21" s="217"/>
      <c r="W21" s="217"/>
      <c r="X21" s="217"/>
      <c r="Y21" s="217"/>
      <c r="Z21" s="217"/>
      <c r="AA21" s="217"/>
      <c r="AB21" s="217"/>
      <c r="AC21" s="217"/>
      <c r="AD21" s="217"/>
    </row>
    <row r="22" spans="1:38">
      <c r="A22" s="249">
        <v>0.75</v>
      </c>
      <c r="B22" s="235">
        <v>3043.75441072689</v>
      </c>
      <c r="C22" s="233">
        <v>4.2553191489361703E-3</v>
      </c>
      <c r="D22" s="135">
        <v>1453.8807532056501</v>
      </c>
      <c r="E22" s="233">
        <v>4.6224961479198771E-3</v>
      </c>
      <c r="F22" s="233">
        <v>437.470504955168</v>
      </c>
      <c r="G22" s="233">
        <v>8.0357142857142849E-3</v>
      </c>
      <c r="H22" s="135">
        <v>221.34388639176601</v>
      </c>
      <c r="I22" s="233">
        <v>1.3725490196078431E-2</v>
      </c>
      <c r="J22" s="135">
        <v>27.557121503309801</v>
      </c>
      <c r="K22" s="250">
        <v>1.8153952424124681E-2</v>
      </c>
      <c r="L22" s="217"/>
      <c r="M22" s="217"/>
      <c r="N22" s="217"/>
      <c r="P22" s="215"/>
      <c r="Q22" s="216"/>
      <c r="R22" s="217"/>
      <c r="S22" s="217"/>
      <c r="T22" s="217"/>
      <c r="U22" s="217"/>
      <c r="V22" s="217"/>
      <c r="W22" s="217"/>
      <c r="X22" s="217"/>
      <c r="Y22" s="217"/>
      <c r="Z22" s="217"/>
      <c r="AA22" s="217"/>
      <c r="AB22" s="217"/>
      <c r="AC22" s="217"/>
      <c r="AD22" s="217"/>
    </row>
    <row r="23" spans="1:38">
      <c r="A23" s="249">
        <v>0.85</v>
      </c>
      <c r="B23" s="235">
        <v>3299.1452991453002</v>
      </c>
      <c r="C23" s="233">
        <v>2.1276595744680851E-3</v>
      </c>
      <c r="D23" s="135">
        <v>1414.60970640302</v>
      </c>
      <c r="E23" s="233">
        <v>1.5408320493066256E-3</v>
      </c>
      <c r="F23" s="233">
        <v>528.69256727524396</v>
      </c>
      <c r="G23" s="233">
        <v>4.464285714285714E-3</v>
      </c>
      <c r="H23" s="135">
        <v>220.36194659033001</v>
      </c>
      <c r="I23" s="233">
        <v>2.2222222222222223E-2</v>
      </c>
      <c r="J23" s="135">
        <v>35.131840346758104</v>
      </c>
      <c r="K23" s="250">
        <v>2.2535940940292709E-2</v>
      </c>
      <c r="L23" s="217"/>
      <c r="M23" s="217"/>
      <c r="N23" s="217"/>
    </row>
    <row r="24" spans="1:38">
      <c r="A24" s="249">
        <v>0.95</v>
      </c>
      <c r="B24" s="235">
        <v>0</v>
      </c>
      <c r="C24" s="233">
        <v>0</v>
      </c>
      <c r="D24" s="135">
        <v>1931.97863588925</v>
      </c>
      <c r="E24" s="233">
        <v>7.7041602465331282E-4</v>
      </c>
      <c r="F24" s="233">
        <v>395.12001800514702</v>
      </c>
      <c r="G24" s="233">
        <v>1.607142857142857E-2</v>
      </c>
      <c r="H24" s="135">
        <v>201.27819548872199</v>
      </c>
      <c r="I24" s="233">
        <v>0.10816993464052288</v>
      </c>
      <c r="J24" s="135">
        <v>26.685266661330399</v>
      </c>
      <c r="K24" s="250">
        <v>0.80518499330829341</v>
      </c>
      <c r="P24" s="215"/>
      <c r="Q24" s="215"/>
      <c r="R24" s="215"/>
      <c r="S24" s="215"/>
      <c r="T24" s="215"/>
      <c r="U24" s="215"/>
      <c r="V24" s="215"/>
      <c r="W24" s="215"/>
      <c r="X24" s="215"/>
      <c r="Y24" s="215"/>
      <c r="Z24" s="215"/>
      <c r="AA24" s="215"/>
      <c r="AB24" s="215"/>
      <c r="AC24" s="215"/>
      <c r="AD24" s="215"/>
    </row>
    <row r="25" spans="1:38">
      <c r="A25" s="260">
        <v>1</v>
      </c>
      <c r="B25" s="241">
        <v>0</v>
      </c>
      <c r="C25" s="241">
        <v>0</v>
      </c>
      <c r="D25" s="241">
        <v>0</v>
      </c>
      <c r="E25" s="241">
        <v>0</v>
      </c>
      <c r="F25" s="261">
        <v>0</v>
      </c>
      <c r="G25" s="261">
        <v>0</v>
      </c>
      <c r="H25" s="230">
        <v>0</v>
      </c>
      <c r="I25" s="230">
        <v>0</v>
      </c>
      <c r="J25" s="241">
        <v>0</v>
      </c>
      <c r="K25" s="262">
        <v>0</v>
      </c>
      <c r="L25" s="215"/>
      <c r="M25" s="215"/>
      <c r="N25" s="215"/>
      <c r="P25" s="215"/>
      <c r="Q25" s="215"/>
      <c r="R25" s="215"/>
      <c r="S25" s="215"/>
      <c r="T25" s="215"/>
      <c r="U25" s="215"/>
      <c r="V25" s="215"/>
      <c r="W25" s="215"/>
      <c r="X25" s="217"/>
      <c r="Z25" s="217"/>
      <c r="AB25" s="215"/>
      <c r="AC25" s="215"/>
      <c r="AD25" s="215"/>
    </row>
    <row r="26" spans="1:38">
      <c r="A26" s="229" t="s">
        <v>253</v>
      </c>
      <c r="B26" s="251">
        <v>8.2553191489361716E-2</v>
      </c>
      <c r="C26" s="252">
        <v>470</v>
      </c>
      <c r="D26" s="251">
        <v>8.8674884437596302E-2</v>
      </c>
      <c r="E26" s="252">
        <v>1298</v>
      </c>
      <c r="F26" s="251">
        <v>0.11473214285714285</v>
      </c>
      <c r="G26" s="252">
        <v>1120</v>
      </c>
      <c r="H26" s="251">
        <v>0.2161764705882353</v>
      </c>
      <c r="I26" s="252">
        <v>3060</v>
      </c>
      <c r="J26" s="251">
        <v>0.83826145145274789</v>
      </c>
      <c r="K26" s="253">
        <v>46326</v>
      </c>
      <c r="L26" s="216"/>
      <c r="M26" s="216"/>
      <c r="N26" s="216"/>
      <c r="P26" s="215"/>
      <c r="Q26" s="215"/>
      <c r="R26" s="217"/>
      <c r="S26" s="217"/>
      <c r="T26" s="217"/>
      <c r="U26" s="217"/>
      <c r="V26" s="217"/>
      <c r="W26" s="217"/>
      <c r="AB26" s="217"/>
      <c r="AC26" s="217"/>
      <c r="AD26" s="217"/>
      <c r="AE26" s="220"/>
    </row>
    <row r="27" spans="1:38" ht="15" customHeight="1" thickBot="1">
      <c r="A27" s="228" t="s">
        <v>254</v>
      </c>
      <c r="B27" s="138">
        <v>4350</v>
      </c>
      <c r="C27" s="138"/>
      <c r="D27" s="138">
        <v>1500</v>
      </c>
      <c r="E27" s="138"/>
      <c r="F27" s="142">
        <v>712.5</v>
      </c>
      <c r="G27" s="142"/>
      <c r="H27" s="138">
        <v>287.5</v>
      </c>
      <c r="I27" s="138"/>
      <c r="J27" s="138">
        <v>75</v>
      </c>
      <c r="K27" s="254"/>
      <c r="L27" s="217"/>
      <c r="M27" s="217"/>
      <c r="N27" s="217"/>
      <c r="P27" s="215"/>
      <c r="Q27" s="215"/>
      <c r="R27" s="217"/>
      <c r="S27" s="217"/>
      <c r="T27" s="217"/>
      <c r="U27" s="217"/>
      <c r="V27" s="217"/>
      <c r="W27" s="217"/>
      <c r="AB27" s="217"/>
      <c r="AC27" s="217"/>
      <c r="AD27" s="217"/>
    </row>
    <row r="28" spans="1:38">
      <c r="A28" s="215"/>
      <c r="B28" s="216"/>
      <c r="C28" s="217"/>
      <c r="D28" s="217"/>
      <c r="E28" s="217"/>
      <c r="F28" s="217"/>
      <c r="G28" s="217"/>
      <c r="H28" s="217"/>
      <c r="I28" s="217"/>
      <c r="J28" s="217"/>
      <c r="K28" s="217"/>
      <c r="L28" s="217"/>
      <c r="M28" s="217"/>
      <c r="N28" s="217"/>
    </row>
    <row r="29" spans="1:38">
      <c r="B29" s="216"/>
      <c r="C29" s="217"/>
      <c r="D29" s="217"/>
      <c r="E29" s="217"/>
      <c r="F29" s="217"/>
      <c r="G29" s="217"/>
      <c r="H29" s="217"/>
      <c r="I29" s="217"/>
      <c r="J29" s="217"/>
      <c r="K29" s="217"/>
      <c r="L29" s="217"/>
      <c r="M29" s="217"/>
      <c r="N29" s="217"/>
    </row>
    <row r="30" spans="1:38" ht="16" thickBot="1">
      <c r="B30" s="216"/>
      <c r="C30" s="217"/>
      <c r="D30" s="217"/>
      <c r="E30" s="217"/>
      <c r="F30" s="217"/>
      <c r="G30" s="217"/>
      <c r="H30" s="217"/>
      <c r="I30" s="217"/>
      <c r="J30" s="217"/>
      <c r="K30" s="217"/>
      <c r="L30" s="217"/>
      <c r="M30" s="217"/>
      <c r="N30" s="217"/>
      <c r="X30" s="215"/>
      <c r="Y30" s="215"/>
      <c r="Z30" s="215"/>
      <c r="AA30" s="215"/>
      <c r="AB30" s="215"/>
      <c r="AC30" s="215"/>
      <c r="AD30" s="215"/>
      <c r="AE30" s="215"/>
      <c r="AF30" s="215"/>
      <c r="AG30" s="215" t="s">
        <v>23</v>
      </c>
      <c r="AH30" s="215" t="s">
        <v>23</v>
      </c>
      <c r="AI30" s="215" t="s">
        <v>23</v>
      </c>
      <c r="AJ30" s="215" t="s">
        <v>23</v>
      </c>
      <c r="AK30" s="215" t="s">
        <v>23</v>
      </c>
    </row>
    <row r="31" spans="1:38" ht="15" customHeight="1">
      <c r="A31" s="279"/>
      <c r="B31" s="405" t="s">
        <v>255</v>
      </c>
      <c r="C31" s="405"/>
      <c r="D31" s="405" t="s">
        <v>293</v>
      </c>
      <c r="E31" s="420" t="s">
        <v>291</v>
      </c>
      <c r="F31" s="405" t="s">
        <v>292</v>
      </c>
      <c r="G31" s="405" t="s">
        <v>256</v>
      </c>
      <c r="H31" s="420" t="s">
        <v>257</v>
      </c>
      <c r="I31" s="420" t="s">
        <v>258</v>
      </c>
      <c r="J31" s="420" t="s">
        <v>259</v>
      </c>
      <c r="K31" s="405" t="s">
        <v>294</v>
      </c>
      <c r="L31" s="414" t="s">
        <v>295</v>
      </c>
      <c r="X31" s="215"/>
      <c r="Y31" s="215"/>
      <c r="Z31" s="215"/>
      <c r="AA31" s="215"/>
      <c r="AB31" s="215"/>
      <c r="AC31" s="215"/>
      <c r="AD31" s="215"/>
      <c r="AE31" s="215"/>
      <c r="AF31" s="215"/>
      <c r="AG31" s="215"/>
      <c r="AH31" s="215"/>
      <c r="AI31" s="215"/>
      <c r="AJ31" s="215"/>
      <c r="AK31" s="215"/>
    </row>
    <row r="32" spans="1:38" ht="15" customHeight="1">
      <c r="A32" s="404"/>
      <c r="B32" s="406"/>
      <c r="C32" s="406"/>
      <c r="D32" s="406"/>
      <c r="E32" s="421"/>
      <c r="F32" s="406"/>
      <c r="G32" s="406"/>
      <c r="H32" s="421"/>
      <c r="I32" s="421"/>
      <c r="J32" s="421"/>
      <c r="K32" s="406"/>
      <c r="L32" s="415"/>
      <c r="X32" s="215"/>
      <c r="Y32" s="215"/>
      <c r="Z32" s="217"/>
      <c r="AA32" s="217"/>
      <c r="AB32" s="217"/>
      <c r="AC32" s="217"/>
      <c r="AD32" s="217"/>
      <c r="AE32" s="217"/>
      <c r="AF32" s="217"/>
      <c r="AG32" s="217"/>
      <c r="AH32" s="217"/>
      <c r="AI32" s="217"/>
      <c r="AJ32" s="217"/>
      <c r="AK32" s="217"/>
      <c r="AL32" s="220"/>
    </row>
    <row r="33" spans="1:38">
      <c r="A33" s="403" t="s">
        <v>8</v>
      </c>
      <c r="B33" s="245">
        <v>0</v>
      </c>
      <c r="C33" s="246">
        <v>0</v>
      </c>
      <c r="D33" s="245">
        <f>100-F33</f>
        <v>100</v>
      </c>
      <c r="E33" s="245">
        <f>C5</f>
        <v>0</v>
      </c>
      <c r="F33" s="245">
        <f>E33</f>
        <v>0</v>
      </c>
      <c r="G33" s="247">
        <f>C14</f>
        <v>49</v>
      </c>
      <c r="H33" s="247"/>
      <c r="I33" s="247"/>
      <c r="J33" s="245"/>
      <c r="K33" s="245">
        <v>0</v>
      </c>
      <c r="L33" s="248">
        <v>0</v>
      </c>
      <c r="M33" s="220"/>
      <c r="N33" s="220"/>
      <c r="X33" s="215"/>
      <c r="Y33" s="215"/>
      <c r="Z33" s="217"/>
      <c r="AA33" s="217"/>
      <c r="AB33" s="217"/>
      <c r="AC33" s="217"/>
      <c r="AD33" s="217"/>
      <c r="AE33" s="217"/>
      <c r="AF33" s="217"/>
      <c r="AG33" s="217"/>
      <c r="AH33" s="217"/>
      <c r="AI33" s="217"/>
      <c r="AJ33" s="217"/>
      <c r="AK33" s="217"/>
      <c r="AL33" s="220"/>
    </row>
    <row r="34" spans="1:38">
      <c r="A34" s="280"/>
      <c r="B34" s="233">
        <v>5</v>
      </c>
      <c r="C34" s="234">
        <v>10</v>
      </c>
      <c r="D34" s="233">
        <f t="shared" ref="D34:D44" si="0">100-F34</f>
        <v>77.111442328978995</v>
      </c>
      <c r="E34" s="233">
        <f>D5</f>
        <v>22.888557671021001</v>
      </c>
      <c r="F34" s="233">
        <f>F33+E34</f>
        <v>22.888557671021001</v>
      </c>
      <c r="G34" s="235">
        <f t="shared" ref="G34:G44" si="1">C15*$C$26</f>
        <v>395</v>
      </c>
      <c r="H34" s="235">
        <f>G33</f>
        <v>49</v>
      </c>
      <c r="I34" s="235">
        <f>SUM(G34:G44)</f>
        <v>470</v>
      </c>
      <c r="J34" s="233">
        <f>(1.96*(((1.25*((F34/100)^2))*((1-(F34/100))^2)*((1/H34)+(1/I34)))^0.5))*100</f>
        <v>5.8061070731702316</v>
      </c>
      <c r="K34" s="233">
        <f>F34-J34</f>
        <v>17.082450597850769</v>
      </c>
      <c r="L34" s="236">
        <f>F34+J34</f>
        <v>28.694664744191233</v>
      </c>
      <c r="M34" s="220"/>
      <c r="N34" s="220"/>
      <c r="X34" s="215"/>
      <c r="Y34" s="215"/>
      <c r="Z34" s="217"/>
      <c r="AA34" s="217"/>
      <c r="AB34" s="217"/>
      <c r="AC34" s="217"/>
      <c r="AD34" s="217"/>
      <c r="AE34" s="217"/>
      <c r="AF34" s="217"/>
      <c r="AG34" s="217"/>
      <c r="AH34" s="217"/>
      <c r="AI34" s="217"/>
      <c r="AJ34" s="217"/>
      <c r="AK34" s="217"/>
      <c r="AL34" s="220"/>
    </row>
    <row r="35" spans="1:38">
      <c r="A35" s="280"/>
      <c r="B35" s="233">
        <v>15</v>
      </c>
      <c r="C35" s="234">
        <v>20</v>
      </c>
      <c r="D35" s="233">
        <f t="shared" si="0"/>
        <v>55.948060554231503</v>
      </c>
      <c r="E35" s="233">
        <f>E5</f>
        <v>21.163381774747499</v>
      </c>
      <c r="F35" s="233">
        <f t="shared" ref="F35:F44" si="2">F34+E35</f>
        <v>44.051939445768497</v>
      </c>
      <c r="G35" s="235">
        <f t="shared" si="1"/>
        <v>38</v>
      </c>
      <c r="H35" s="235">
        <f>G34+H34</f>
        <v>444</v>
      </c>
      <c r="I35" s="235">
        <f>SUM(G35:G44)</f>
        <v>75</v>
      </c>
      <c r="J35" s="233">
        <f t="shared" ref="J35:J42" si="3">(1.96*(((1.25*((F35/100)^2))*((1-(F35/100))^2)*((1/H35)+(1/I35)))^0.5))*100</f>
        <v>6.7425272425813505</v>
      </c>
      <c r="K35" s="233">
        <f t="shared" ref="K35:K44" si="4">F35-J35</f>
        <v>37.309412203187144</v>
      </c>
      <c r="L35" s="236">
        <f t="shared" ref="L35:L44" si="5">F35+J35</f>
        <v>50.79446668834985</v>
      </c>
      <c r="M35" s="220"/>
      <c r="N35" s="220"/>
      <c r="X35" s="215"/>
      <c r="Y35" s="215"/>
      <c r="Z35" s="217"/>
      <c r="AA35" s="217"/>
      <c r="AB35" s="217"/>
      <c r="AC35" s="217"/>
      <c r="AD35" s="217"/>
      <c r="AE35" s="217"/>
      <c r="AF35" s="217"/>
      <c r="AG35" s="217"/>
      <c r="AH35" s="217"/>
      <c r="AI35" s="217"/>
      <c r="AJ35" s="217"/>
      <c r="AK35" s="217"/>
      <c r="AL35" s="220"/>
    </row>
    <row r="36" spans="1:38">
      <c r="A36" s="280"/>
      <c r="B36" s="233">
        <v>25</v>
      </c>
      <c r="C36" s="234">
        <v>30</v>
      </c>
      <c r="D36" s="233">
        <f t="shared" si="0"/>
        <v>31.569484500897701</v>
      </c>
      <c r="E36" s="233">
        <f>F5</f>
        <v>24.378576053333799</v>
      </c>
      <c r="F36" s="233">
        <f t="shared" si="2"/>
        <v>68.430515499102299</v>
      </c>
      <c r="G36" s="235">
        <f t="shared" si="1"/>
        <v>18</v>
      </c>
      <c r="H36" s="235">
        <f t="shared" ref="H36:H44" si="6">G35+H35</f>
        <v>482</v>
      </c>
      <c r="I36" s="235">
        <f>SUM(G36:G44)</f>
        <v>37</v>
      </c>
      <c r="J36" s="233">
        <f t="shared" si="3"/>
        <v>8.0758394712027162</v>
      </c>
      <c r="K36" s="233">
        <f t="shared" si="4"/>
        <v>60.354676027899586</v>
      </c>
      <c r="L36" s="236">
        <f t="shared" si="5"/>
        <v>76.506354970305011</v>
      </c>
      <c r="M36" s="220"/>
      <c r="N36" s="220"/>
      <c r="X36" s="215"/>
      <c r="Y36" s="215"/>
      <c r="Z36" s="217"/>
      <c r="AA36" s="217"/>
      <c r="AB36" s="217"/>
      <c r="AC36" s="217"/>
      <c r="AD36" s="217"/>
      <c r="AE36" s="217"/>
      <c r="AF36" s="217"/>
      <c r="AG36" s="217"/>
      <c r="AH36" s="217"/>
      <c r="AI36" s="217"/>
      <c r="AJ36" s="217"/>
      <c r="AK36" s="217"/>
      <c r="AL36" s="220"/>
    </row>
    <row r="37" spans="1:38">
      <c r="A37" s="280"/>
      <c r="B37" s="233">
        <v>35</v>
      </c>
      <c r="C37" s="234">
        <v>40</v>
      </c>
      <c r="D37" s="233">
        <f t="shared" si="0"/>
        <v>18.549513086476395</v>
      </c>
      <c r="E37" s="233">
        <f>G5</f>
        <v>13.019971414421301</v>
      </c>
      <c r="F37" s="233">
        <f t="shared" si="2"/>
        <v>81.450486913523605</v>
      </c>
      <c r="G37" s="235">
        <f t="shared" si="1"/>
        <v>10</v>
      </c>
      <c r="H37" s="235">
        <f t="shared" si="6"/>
        <v>500</v>
      </c>
      <c r="I37" s="235">
        <f>SUM(G37:G44)</f>
        <v>19</v>
      </c>
      <c r="J37" s="233">
        <f t="shared" si="3"/>
        <v>7.7385421627720978</v>
      </c>
      <c r="K37" s="233">
        <f t="shared" si="4"/>
        <v>73.711944750751513</v>
      </c>
      <c r="L37" s="236">
        <f t="shared" si="5"/>
        <v>89.189029076295697</v>
      </c>
      <c r="M37" s="220"/>
      <c r="N37" s="220"/>
      <c r="X37" s="215"/>
      <c r="Y37" s="215"/>
      <c r="Z37" s="217"/>
      <c r="AA37" s="217"/>
      <c r="AB37" s="217"/>
      <c r="AC37" s="217"/>
      <c r="AD37" s="217"/>
      <c r="AE37" s="217"/>
      <c r="AF37" s="217"/>
      <c r="AG37" s="217"/>
      <c r="AH37" s="217"/>
      <c r="AI37" s="217"/>
      <c r="AJ37" s="217"/>
      <c r="AK37" s="217"/>
      <c r="AL37" s="220"/>
    </row>
    <row r="38" spans="1:38">
      <c r="A38" s="280"/>
      <c r="B38" s="233">
        <v>45</v>
      </c>
      <c r="C38" s="234">
        <v>50</v>
      </c>
      <c r="D38" s="233">
        <f t="shared" si="0"/>
        <v>14.193536967634515</v>
      </c>
      <c r="E38" s="233">
        <f>H5</f>
        <v>4.3559761188418804</v>
      </c>
      <c r="F38" s="233">
        <f t="shared" si="2"/>
        <v>85.806463032365485</v>
      </c>
      <c r="G38" s="235">
        <f t="shared" si="1"/>
        <v>4</v>
      </c>
      <c r="H38" s="235">
        <f t="shared" si="6"/>
        <v>510</v>
      </c>
      <c r="I38" s="235">
        <f>SUM(G38:G44)</f>
        <v>9</v>
      </c>
      <c r="J38" s="233">
        <f t="shared" si="3"/>
        <v>8.9742682697294871</v>
      </c>
      <c r="K38" s="233">
        <f t="shared" si="4"/>
        <v>76.832194762635993</v>
      </c>
      <c r="L38" s="236">
        <f t="shared" si="5"/>
        <v>94.780731302094978</v>
      </c>
      <c r="M38" s="220"/>
      <c r="N38" s="220"/>
      <c r="X38" s="215"/>
      <c r="Y38" s="215"/>
      <c r="Z38" s="217"/>
      <c r="AA38" s="217"/>
      <c r="AB38" s="217"/>
      <c r="AC38" s="217"/>
      <c r="AD38" s="217"/>
      <c r="AE38" s="217"/>
      <c r="AF38" s="217"/>
      <c r="AG38" s="217"/>
      <c r="AH38" s="217"/>
      <c r="AI38" s="217"/>
      <c r="AJ38" s="217"/>
      <c r="AK38" s="217"/>
      <c r="AL38" s="220"/>
    </row>
    <row r="39" spans="1:38">
      <c r="A39" s="280"/>
      <c r="B39" s="233">
        <v>55</v>
      </c>
      <c r="C39" s="234">
        <v>60</v>
      </c>
      <c r="D39" s="233">
        <f t="shared" si="0"/>
        <v>11.499746162036772</v>
      </c>
      <c r="E39" s="233">
        <f>I5</f>
        <v>2.69379080559774</v>
      </c>
      <c r="F39" s="233">
        <f t="shared" si="2"/>
        <v>88.500253837963228</v>
      </c>
      <c r="G39" s="235">
        <f t="shared" si="1"/>
        <v>1</v>
      </c>
      <c r="H39" s="235">
        <f t="shared" si="6"/>
        <v>514</v>
      </c>
      <c r="I39" s="235">
        <f>SUM(G39:G44)</f>
        <v>5</v>
      </c>
      <c r="J39" s="233">
        <f>(1.96*(((1.25*((F39/100)^2))*((1-(F39/100))^2)*((1/H39)+(1/I39)))^0.5))*100</f>
        <v>10.022151548886862</v>
      </c>
      <c r="K39" s="233">
        <f t="shared" si="4"/>
        <v>78.478102289076361</v>
      </c>
      <c r="L39" s="236">
        <f t="shared" si="5"/>
        <v>98.522405386850096</v>
      </c>
      <c r="M39" s="220"/>
      <c r="N39" s="220"/>
    </row>
    <row r="40" spans="1:38">
      <c r="A40" s="280"/>
      <c r="B40" s="233">
        <v>65</v>
      </c>
      <c r="C40" s="234">
        <v>70</v>
      </c>
      <c r="D40" s="233">
        <f t="shared" si="0"/>
        <v>9.481911161702314</v>
      </c>
      <c r="E40" s="233">
        <f>J5</f>
        <v>2.0178350003344598</v>
      </c>
      <c r="F40" s="233">
        <f t="shared" si="2"/>
        <v>90.518088838297686</v>
      </c>
      <c r="G40" s="235">
        <f t="shared" si="1"/>
        <v>1</v>
      </c>
      <c r="H40" s="235">
        <f t="shared" si="6"/>
        <v>515</v>
      </c>
      <c r="I40" s="235">
        <f>SUM(G40:G44)</f>
        <v>4</v>
      </c>
      <c r="J40" s="233">
        <f t="shared" si="3"/>
        <v>9.4404436538811467</v>
      </c>
      <c r="K40" s="233">
        <f t="shared" si="4"/>
        <v>81.077645184416539</v>
      </c>
      <c r="L40" s="236">
        <f t="shared" si="5"/>
        <v>99.958532492178833</v>
      </c>
      <c r="M40" s="220"/>
      <c r="N40" s="220"/>
      <c r="X40" s="215"/>
      <c r="Y40" s="215"/>
      <c r="Z40" s="215"/>
      <c r="AA40" s="215"/>
      <c r="AB40" s="215"/>
      <c r="AC40" s="215"/>
      <c r="AD40" s="215"/>
      <c r="AE40" s="215"/>
      <c r="AF40" s="215"/>
      <c r="AG40" s="215"/>
      <c r="AH40" s="215"/>
      <c r="AI40" s="215"/>
      <c r="AJ40" s="215"/>
      <c r="AK40" s="215"/>
    </row>
    <row r="41" spans="1:38">
      <c r="A41" s="280"/>
      <c r="B41" s="233">
        <v>75</v>
      </c>
      <c r="C41" s="234">
        <v>80</v>
      </c>
      <c r="D41" s="233">
        <f t="shared" si="0"/>
        <v>2.3454880169508669</v>
      </c>
      <c r="E41" s="233">
        <f>K5</f>
        <v>7.1364231447514399</v>
      </c>
      <c r="F41" s="233">
        <f t="shared" si="2"/>
        <v>97.654511983049133</v>
      </c>
      <c r="G41" s="235">
        <f t="shared" si="1"/>
        <v>2</v>
      </c>
      <c r="H41" s="235">
        <f t="shared" si="6"/>
        <v>516</v>
      </c>
      <c r="I41" s="235">
        <f>SUM(G41:G44)</f>
        <v>3</v>
      </c>
      <c r="J41" s="233">
        <f t="shared" si="3"/>
        <v>2.90626231905379</v>
      </c>
      <c r="K41" s="233">
        <f t="shared" si="4"/>
        <v>94.748249663995338</v>
      </c>
      <c r="L41" s="236">
        <f t="shared" si="5"/>
        <v>100.56077430210293</v>
      </c>
      <c r="M41" s="220"/>
      <c r="N41" s="220"/>
      <c r="X41" s="215"/>
      <c r="Y41" s="215"/>
      <c r="Z41" s="215"/>
      <c r="AA41" s="215"/>
      <c r="AB41" s="215"/>
      <c r="AC41" s="215"/>
      <c r="AD41" s="215"/>
      <c r="AE41" s="215"/>
      <c r="AF41" s="215"/>
      <c r="AG41" s="215"/>
      <c r="AH41" s="215"/>
      <c r="AI41" s="215"/>
      <c r="AJ41" s="215"/>
      <c r="AK41" s="215"/>
    </row>
    <row r="42" spans="1:38">
      <c r="A42" s="280"/>
      <c r="B42" s="233">
        <v>85</v>
      </c>
      <c r="C42" s="234">
        <v>90</v>
      </c>
      <c r="D42" s="233">
        <f t="shared" si="0"/>
        <v>-1.2789769243681803E-13</v>
      </c>
      <c r="E42" s="233">
        <f>L5</f>
        <v>2.34548801695099</v>
      </c>
      <c r="F42" s="233">
        <f t="shared" si="2"/>
        <v>100.00000000000013</v>
      </c>
      <c r="G42" s="235">
        <f t="shared" si="1"/>
        <v>1</v>
      </c>
      <c r="H42" s="235">
        <f t="shared" si="6"/>
        <v>518</v>
      </c>
      <c r="I42" s="235">
        <f>SUM(G42:G44)</f>
        <v>1</v>
      </c>
      <c r="J42" s="233">
        <f t="shared" si="3"/>
        <v>2.9222768172272466E-13</v>
      </c>
      <c r="K42" s="233">
        <f t="shared" si="4"/>
        <v>99.999999999999829</v>
      </c>
      <c r="L42" s="236">
        <f t="shared" si="5"/>
        <v>100.00000000000043</v>
      </c>
      <c r="M42" s="220"/>
      <c r="N42" s="220"/>
      <c r="X42" s="215"/>
      <c r="Y42" s="215"/>
      <c r="Z42" s="217"/>
      <c r="AA42" s="217"/>
      <c r="AB42" s="217"/>
      <c r="AC42" s="217"/>
      <c r="AD42" s="217"/>
      <c r="AE42" s="217"/>
      <c r="AF42" s="217"/>
      <c r="AG42" s="217"/>
      <c r="AH42" s="217"/>
      <c r="AI42" s="217"/>
      <c r="AJ42" s="217"/>
      <c r="AK42" s="217"/>
    </row>
    <row r="43" spans="1:38">
      <c r="A43" s="280"/>
      <c r="B43" s="233">
        <v>95</v>
      </c>
      <c r="C43" s="234">
        <v>95</v>
      </c>
      <c r="D43" s="233">
        <f t="shared" si="0"/>
        <v>-1.2789769243681803E-13</v>
      </c>
      <c r="E43" s="233">
        <f>M5</f>
        <v>0</v>
      </c>
      <c r="F43" s="233">
        <f t="shared" si="2"/>
        <v>100.00000000000013</v>
      </c>
      <c r="G43" s="235">
        <f t="shared" si="1"/>
        <v>0</v>
      </c>
      <c r="H43" s="235">
        <f t="shared" si="6"/>
        <v>519</v>
      </c>
      <c r="I43" s="235">
        <f>SUM(G43:G44)</f>
        <v>0</v>
      </c>
      <c r="J43" s="233">
        <v>0</v>
      </c>
      <c r="K43" s="233">
        <f t="shared" si="4"/>
        <v>100.00000000000013</v>
      </c>
      <c r="L43" s="236">
        <f t="shared" si="5"/>
        <v>100.00000000000013</v>
      </c>
      <c r="M43" s="220"/>
      <c r="N43" s="220"/>
      <c r="X43" s="215"/>
      <c r="Y43" s="215"/>
      <c r="Z43" s="217"/>
      <c r="AA43" s="217"/>
      <c r="AB43" s="217"/>
      <c r="AC43" s="217"/>
      <c r="AD43" s="217"/>
      <c r="AE43" s="217"/>
      <c r="AF43" s="217"/>
      <c r="AG43" s="217"/>
      <c r="AH43" s="217"/>
      <c r="AI43" s="217"/>
      <c r="AJ43" s="217"/>
      <c r="AK43" s="217"/>
    </row>
    <row r="44" spans="1:38">
      <c r="A44" s="404"/>
      <c r="B44" s="241">
        <v>100</v>
      </c>
      <c r="C44" s="242">
        <v>100</v>
      </c>
      <c r="D44" s="241">
        <f t="shared" si="0"/>
        <v>-1.2789769243681803E-13</v>
      </c>
      <c r="E44" s="241">
        <f>N5</f>
        <v>0</v>
      </c>
      <c r="F44" s="241">
        <f t="shared" si="2"/>
        <v>100.00000000000013</v>
      </c>
      <c r="G44" s="243">
        <f t="shared" si="1"/>
        <v>0</v>
      </c>
      <c r="H44" s="243">
        <f t="shared" si="6"/>
        <v>519</v>
      </c>
      <c r="I44" s="243">
        <f>SUM(G44)</f>
        <v>0</v>
      </c>
      <c r="J44" s="241">
        <v>0</v>
      </c>
      <c r="K44" s="241">
        <f t="shared" si="4"/>
        <v>100.00000000000013</v>
      </c>
      <c r="L44" s="244">
        <f t="shared" si="5"/>
        <v>100.00000000000013</v>
      </c>
      <c r="M44" s="220"/>
      <c r="N44" s="220"/>
      <c r="X44" s="215"/>
      <c r="Y44" s="215"/>
      <c r="Z44" s="217"/>
      <c r="AA44" s="217"/>
      <c r="AB44" s="217"/>
      <c r="AC44" s="217"/>
      <c r="AD44" s="217"/>
      <c r="AE44" s="217"/>
      <c r="AF44" s="217"/>
      <c r="AG44" s="217"/>
      <c r="AH44" s="217"/>
      <c r="AI44" s="217"/>
      <c r="AJ44" s="217"/>
      <c r="AK44" s="217"/>
    </row>
    <row r="45" spans="1:38">
      <c r="A45" s="403" t="s">
        <v>7</v>
      </c>
      <c r="B45" s="245">
        <v>0</v>
      </c>
      <c r="C45" s="246">
        <v>0</v>
      </c>
      <c r="D45" s="245">
        <f>100-F45</f>
        <v>100</v>
      </c>
      <c r="E45" s="245">
        <f>C6</f>
        <v>0</v>
      </c>
      <c r="F45" s="245">
        <f>E45</f>
        <v>0</v>
      </c>
      <c r="G45" s="247">
        <f>E14</f>
        <v>505</v>
      </c>
      <c r="H45" s="247"/>
      <c r="I45" s="247"/>
      <c r="J45" s="245"/>
      <c r="K45" s="245">
        <v>0</v>
      </c>
      <c r="L45" s="248">
        <v>0</v>
      </c>
      <c r="M45" s="220"/>
      <c r="N45" s="220"/>
      <c r="X45" s="215"/>
      <c r="Y45" s="215"/>
      <c r="Z45" s="217"/>
      <c r="AA45" s="217"/>
      <c r="AB45" s="217"/>
      <c r="AC45" s="217"/>
      <c r="AD45" s="217"/>
      <c r="AE45" s="217"/>
      <c r="AF45" s="217"/>
      <c r="AG45" s="217"/>
      <c r="AH45" s="217"/>
      <c r="AI45" s="217"/>
      <c r="AJ45" s="217"/>
      <c r="AK45" s="217"/>
    </row>
    <row r="46" spans="1:38" ht="15" customHeight="1">
      <c r="A46" s="280"/>
      <c r="B46" s="233">
        <v>5</v>
      </c>
      <c r="C46" s="234">
        <v>10</v>
      </c>
      <c r="D46" s="233">
        <f t="shared" ref="D46:D56" si="7">100-F46</f>
        <v>80.390389128450408</v>
      </c>
      <c r="E46" s="233">
        <f>D6</f>
        <v>19.609610871549599</v>
      </c>
      <c r="F46" s="233">
        <f>F45+E46</f>
        <v>19.609610871549599</v>
      </c>
      <c r="G46" s="235">
        <f t="shared" ref="G46:G56" si="8">E15*$E$26</f>
        <v>1061</v>
      </c>
      <c r="H46" s="235">
        <f>G45</f>
        <v>505</v>
      </c>
      <c r="I46" s="235">
        <f>SUM(G46:G56)</f>
        <v>1298</v>
      </c>
      <c r="J46" s="233">
        <f>(1.96*(((1.25*((F46/100)^2))*((1-(F46/100))^2)*((1/H46)+(1/I46)))^0.5))*100</f>
        <v>1.8117530975799341</v>
      </c>
      <c r="K46" s="233">
        <f>F46-J46</f>
        <v>17.797857773969664</v>
      </c>
      <c r="L46" s="236">
        <f>F46+J46</f>
        <v>21.421363969129533</v>
      </c>
      <c r="M46" s="220"/>
      <c r="N46" s="220"/>
      <c r="X46" s="215"/>
      <c r="Y46" s="215"/>
      <c r="Z46" s="217"/>
      <c r="AA46" s="217"/>
      <c r="AB46" s="217"/>
      <c r="AC46" s="217"/>
      <c r="AD46" s="217"/>
      <c r="AE46" s="217"/>
      <c r="AF46" s="217"/>
      <c r="AG46" s="217"/>
      <c r="AH46" s="217"/>
      <c r="AI46" s="217"/>
      <c r="AJ46" s="217"/>
      <c r="AK46" s="217"/>
    </row>
    <row r="47" spans="1:38">
      <c r="A47" s="280"/>
      <c r="B47" s="233">
        <v>15</v>
      </c>
      <c r="C47" s="234">
        <v>20</v>
      </c>
      <c r="D47" s="233">
        <f t="shared" si="7"/>
        <v>60.1401232969232</v>
      </c>
      <c r="E47" s="233">
        <f>E6</f>
        <v>20.250265831527201</v>
      </c>
      <c r="F47" s="233">
        <f t="shared" ref="F47:F56" si="9">F46+E47</f>
        <v>39.8598767030768</v>
      </c>
      <c r="G47" s="235">
        <f t="shared" si="8"/>
        <v>115.99999999999999</v>
      </c>
      <c r="H47" s="235">
        <f>G46+H46</f>
        <v>1566</v>
      </c>
      <c r="I47" s="235">
        <f>SUM(G47:G56)</f>
        <v>237</v>
      </c>
      <c r="J47" s="233">
        <f t="shared" ref="J47:J54" si="10">(1.96*(((1.25*((F47/100)^2))*((1-(F47/100))^2)*((1/H47)+(1/I47)))^0.5))*100</f>
        <v>3.6613323635425279</v>
      </c>
      <c r="K47" s="233">
        <f t="shared" ref="K47:K56" si="11">F47-J47</f>
        <v>36.198544339534273</v>
      </c>
      <c r="L47" s="236">
        <f t="shared" ref="L47:L56" si="12">F47+J47</f>
        <v>43.521209066619328</v>
      </c>
      <c r="M47" s="220"/>
      <c r="N47" s="220"/>
      <c r="X47" s="215"/>
      <c r="Y47" s="215"/>
      <c r="Z47" s="217"/>
      <c r="AA47" s="217"/>
      <c r="AB47" s="217"/>
      <c r="AC47" s="217"/>
      <c r="AD47" s="217"/>
      <c r="AE47" s="217"/>
      <c r="AF47" s="217"/>
      <c r="AG47" s="217"/>
      <c r="AH47" s="217"/>
      <c r="AI47" s="217"/>
      <c r="AJ47" s="217"/>
      <c r="AK47" s="217"/>
    </row>
    <row r="48" spans="1:38">
      <c r="A48" s="280"/>
      <c r="B48" s="233">
        <v>25</v>
      </c>
      <c r="C48" s="234">
        <v>30</v>
      </c>
      <c r="D48" s="233">
        <f t="shared" si="7"/>
        <v>42.683305406848447</v>
      </c>
      <c r="E48" s="233">
        <f>F6</f>
        <v>17.456817890074749</v>
      </c>
      <c r="F48" s="233">
        <f t="shared" si="9"/>
        <v>57.316694593151553</v>
      </c>
      <c r="G48" s="235">
        <f t="shared" si="8"/>
        <v>57</v>
      </c>
      <c r="H48" s="235">
        <f t="shared" ref="H48:H56" si="13">G47+H47</f>
        <v>1682</v>
      </c>
      <c r="I48" s="235">
        <f>SUM(G48:G56)</f>
        <v>121</v>
      </c>
      <c r="J48" s="233">
        <f t="shared" si="10"/>
        <v>5.0459441732658892</v>
      </c>
      <c r="K48" s="233">
        <f t="shared" si="11"/>
        <v>52.270750419885665</v>
      </c>
      <c r="L48" s="236">
        <f t="shared" si="12"/>
        <v>62.36263876641744</v>
      </c>
      <c r="M48" s="220"/>
      <c r="N48" s="220"/>
      <c r="X48" s="215"/>
      <c r="Y48" s="215"/>
      <c r="Z48" s="217"/>
      <c r="AA48" s="217"/>
      <c r="AB48" s="217"/>
      <c r="AC48" s="217"/>
      <c r="AD48" s="217"/>
      <c r="AE48" s="217"/>
      <c r="AF48" s="217"/>
      <c r="AG48" s="217"/>
      <c r="AH48" s="217"/>
      <c r="AI48" s="217"/>
      <c r="AJ48" s="217"/>
      <c r="AK48" s="217"/>
    </row>
    <row r="49" spans="1:14">
      <c r="A49" s="280"/>
      <c r="B49" s="233">
        <v>35</v>
      </c>
      <c r="C49" s="234">
        <v>40</v>
      </c>
      <c r="D49" s="233">
        <f t="shared" si="7"/>
        <v>28.14697822795705</v>
      </c>
      <c r="E49" s="233">
        <f>G6</f>
        <v>14.536327178891399</v>
      </c>
      <c r="F49" s="233">
        <f t="shared" si="9"/>
        <v>71.85302177204295</v>
      </c>
      <c r="G49" s="235">
        <f t="shared" si="8"/>
        <v>32</v>
      </c>
      <c r="H49" s="235">
        <f t="shared" si="13"/>
        <v>1739</v>
      </c>
      <c r="I49" s="235">
        <f>SUM(G49:G56)</f>
        <v>64</v>
      </c>
      <c r="J49" s="233">
        <f t="shared" si="10"/>
        <v>5.6408685248910251</v>
      </c>
      <c r="K49" s="233">
        <f t="shared" si="11"/>
        <v>66.212153247151932</v>
      </c>
      <c r="L49" s="236">
        <f t="shared" si="12"/>
        <v>77.493890296933969</v>
      </c>
      <c r="M49" s="220"/>
      <c r="N49" s="220"/>
    </row>
    <row r="50" spans="1:14">
      <c r="A50" s="280"/>
      <c r="B50" s="233">
        <v>45</v>
      </c>
      <c r="C50" s="234">
        <v>50</v>
      </c>
      <c r="D50" s="233">
        <f t="shared" si="7"/>
        <v>21.734325358419937</v>
      </c>
      <c r="E50" s="233">
        <f>H6</f>
        <v>6.4126528695371148</v>
      </c>
      <c r="F50" s="233">
        <f t="shared" si="9"/>
        <v>78.265674641580063</v>
      </c>
      <c r="G50" s="235">
        <f t="shared" si="8"/>
        <v>11</v>
      </c>
      <c r="H50" s="235">
        <f t="shared" si="13"/>
        <v>1771</v>
      </c>
      <c r="I50" s="235">
        <f>SUM(G50:G56)</f>
        <v>32</v>
      </c>
      <c r="J50" s="233">
        <f t="shared" si="10"/>
        <v>6.6487831505145216</v>
      </c>
      <c r="K50" s="233">
        <f t="shared" si="11"/>
        <v>71.616891491065545</v>
      </c>
      <c r="L50" s="236">
        <f t="shared" si="12"/>
        <v>84.914457792094581</v>
      </c>
      <c r="M50" s="220"/>
      <c r="N50" s="220"/>
    </row>
    <row r="51" spans="1:14">
      <c r="A51" s="280"/>
      <c r="B51" s="233">
        <v>55</v>
      </c>
      <c r="C51" s="234">
        <v>60</v>
      </c>
      <c r="D51" s="233">
        <f t="shared" si="7"/>
        <v>15.68662159767328</v>
      </c>
      <c r="E51" s="233">
        <f>I6</f>
        <v>6.0477037607466553</v>
      </c>
      <c r="F51" s="233">
        <f t="shared" si="9"/>
        <v>84.31337840232672</v>
      </c>
      <c r="G51" s="235">
        <f t="shared" si="8"/>
        <v>7</v>
      </c>
      <c r="H51" s="235">
        <f t="shared" si="13"/>
        <v>1782</v>
      </c>
      <c r="I51" s="235">
        <f>SUM(G51:G56)</f>
        <v>21</v>
      </c>
      <c r="J51" s="233">
        <f t="shared" si="10"/>
        <v>6.3616732063532506</v>
      </c>
      <c r="K51" s="233">
        <f t="shared" si="11"/>
        <v>77.951705195973474</v>
      </c>
      <c r="L51" s="236">
        <f t="shared" si="12"/>
        <v>90.675051608679965</v>
      </c>
      <c r="M51" s="220"/>
      <c r="N51" s="220"/>
    </row>
    <row r="52" spans="1:14">
      <c r="A52" s="280"/>
      <c r="B52" s="233">
        <v>65</v>
      </c>
      <c r="C52" s="234">
        <v>70</v>
      </c>
      <c r="D52" s="233">
        <f t="shared" si="7"/>
        <v>9.3088194167068394</v>
      </c>
      <c r="E52" s="233">
        <f>J6</f>
        <v>6.37780218096644</v>
      </c>
      <c r="F52" s="233">
        <f t="shared" si="9"/>
        <v>90.691180583293161</v>
      </c>
      <c r="G52" s="235">
        <f t="shared" si="8"/>
        <v>5</v>
      </c>
      <c r="H52" s="235">
        <f t="shared" si="13"/>
        <v>1789</v>
      </c>
      <c r="I52" s="235">
        <f>SUM(G52:G56)</f>
        <v>14</v>
      </c>
      <c r="J52" s="233">
        <f t="shared" si="10"/>
        <v>4.9636301507721194</v>
      </c>
      <c r="K52" s="233">
        <f t="shared" si="11"/>
        <v>85.727550432521042</v>
      </c>
      <c r="L52" s="236">
        <f t="shared" si="12"/>
        <v>95.654810734065279</v>
      </c>
      <c r="M52" s="220"/>
      <c r="N52" s="220"/>
    </row>
    <row r="53" spans="1:14">
      <c r="A53" s="280"/>
      <c r="B53" s="233">
        <v>75</v>
      </c>
      <c r="C53" s="234">
        <v>80</v>
      </c>
      <c r="D53" s="233">
        <f t="shared" si="7"/>
        <v>3.8455851667146987</v>
      </c>
      <c r="E53" s="233">
        <f>K6</f>
        <v>5.4632342499921451</v>
      </c>
      <c r="F53" s="233">
        <f t="shared" si="9"/>
        <v>96.154414833285301</v>
      </c>
      <c r="G53" s="235">
        <f t="shared" si="8"/>
        <v>6.0000000000000009</v>
      </c>
      <c r="H53" s="235">
        <f t="shared" si="13"/>
        <v>1794</v>
      </c>
      <c r="I53" s="235">
        <f>SUM(G53:G56)</f>
        <v>9</v>
      </c>
      <c r="J53" s="233">
        <f t="shared" si="10"/>
        <v>2.7077472929714874</v>
      </c>
      <c r="K53" s="233">
        <f t="shared" si="11"/>
        <v>93.446667540313811</v>
      </c>
      <c r="L53" s="236">
        <f t="shared" si="12"/>
        <v>98.862162126256791</v>
      </c>
      <c r="M53" s="220"/>
      <c r="N53" s="220"/>
    </row>
    <row r="54" spans="1:14">
      <c r="A54" s="280"/>
      <c r="B54" s="233">
        <v>85</v>
      </c>
      <c r="C54" s="234">
        <v>90</v>
      </c>
      <c r="D54" s="233">
        <f t="shared" si="7"/>
        <v>1.7622284562388586</v>
      </c>
      <c r="E54" s="233">
        <f>L6</f>
        <v>2.0833567104758348</v>
      </c>
      <c r="F54" s="233">
        <f t="shared" si="9"/>
        <v>98.237771543761141</v>
      </c>
      <c r="G54" s="235">
        <f t="shared" si="8"/>
        <v>2</v>
      </c>
      <c r="H54" s="235">
        <f t="shared" si="13"/>
        <v>1800</v>
      </c>
      <c r="I54" s="235">
        <f>SUM(G54:G56)</f>
        <v>3</v>
      </c>
      <c r="J54" s="233">
        <f t="shared" si="10"/>
        <v>2.1920616967861748</v>
      </c>
      <c r="K54" s="233">
        <f t="shared" si="11"/>
        <v>96.045709846974972</v>
      </c>
      <c r="L54" s="236">
        <f t="shared" si="12"/>
        <v>100.42983324054731</v>
      </c>
      <c r="M54" s="220"/>
      <c r="N54" s="220"/>
    </row>
    <row r="55" spans="1:14">
      <c r="A55" s="280"/>
      <c r="B55" s="233">
        <v>95</v>
      </c>
      <c r="C55" s="234">
        <v>95</v>
      </c>
      <c r="D55" s="233">
        <f t="shared" si="7"/>
        <v>0</v>
      </c>
      <c r="E55" s="233">
        <f>M6</f>
        <v>1.7622284562388051</v>
      </c>
      <c r="F55" s="233">
        <f t="shared" si="9"/>
        <v>99.999999999999943</v>
      </c>
      <c r="G55" s="235">
        <f t="shared" si="8"/>
        <v>1</v>
      </c>
      <c r="H55" s="235">
        <f t="shared" si="13"/>
        <v>1802</v>
      </c>
      <c r="I55" s="235">
        <f>SUM(G55:G56)</f>
        <v>1</v>
      </c>
      <c r="J55" s="233">
        <v>0</v>
      </c>
      <c r="K55" s="233">
        <f t="shared" si="11"/>
        <v>99.999999999999943</v>
      </c>
      <c r="L55" s="236">
        <f t="shared" si="12"/>
        <v>99.999999999999943</v>
      </c>
      <c r="M55" s="220"/>
      <c r="N55" s="220"/>
    </row>
    <row r="56" spans="1:14">
      <c r="A56" s="404"/>
      <c r="B56" s="241">
        <v>100</v>
      </c>
      <c r="C56" s="242">
        <v>100</v>
      </c>
      <c r="D56" s="241">
        <f t="shared" si="7"/>
        <v>0</v>
      </c>
      <c r="E56" s="241">
        <f>N6</f>
        <v>0</v>
      </c>
      <c r="F56" s="241">
        <f t="shared" si="9"/>
        <v>99.999999999999943</v>
      </c>
      <c r="G56" s="243">
        <f t="shared" si="8"/>
        <v>0</v>
      </c>
      <c r="H56" s="243">
        <f t="shared" si="13"/>
        <v>1803</v>
      </c>
      <c r="I56" s="243">
        <f>SUM(G56)</f>
        <v>0</v>
      </c>
      <c r="J56" s="241">
        <v>0</v>
      </c>
      <c r="K56" s="241">
        <f t="shared" si="11"/>
        <v>99.999999999999943</v>
      </c>
      <c r="L56" s="244">
        <f t="shared" si="12"/>
        <v>99.999999999999943</v>
      </c>
      <c r="M56" s="220"/>
      <c r="N56" s="220"/>
    </row>
    <row r="57" spans="1:14">
      <c r="A57" s="403" t="s">
        <v>6</v>
      </c>
      <c r="B57" s="245">
        <v>0</v>
      </c>
      <c r="C57" s="246">
        <v>0</v>
      </c>
      <c r="D57" s="245">
        <v>100</v>
      </c>
      <c r="E57" s="245">
        <f>C7</f>
        <v>0</v>
      </c>
      <c r="F57" s="245">
        <f>E57</f>
        <v>0</v>
      </c>
      <c r="G57" s="247">
        <f>G14</f>
        <v>1628</v>
      </c>
      <c r="H57" s="247"/>
      <c r="I57" s="247"/>
      <c r="J57" s="245"/>
      <c r="K57" s="245">
        <v>0</v>
      </c>
      <c r="L57" s="248">
        <v>0</v>
      </c>
      <c r="M57" s="220"/>
      <c r="N57" s="220"/>
    </row>
    <row r="58" spans="1:14">
      <c r="A58" s="280"/>
      <c r="B58" s="233">
        <v>5</v>
      </c>
      <c r="C58" s="234">
        <v>10</v>
      </c>
      <c r="D58" s="233">
        <f t="shared" ref="D58:D66" si="14">100-F58</f>
        <v>82.368047111144193</v>
      </c>
      <c r="E58" s="233">
        <f>D7</f>
        <v>17.6319528888558</v>
      </c>
      <c r="F58" s="233">
        <f>F57+E58</f>
        <v>17.6319528888558</v>
      </c>
      <c r="G58" s="235">
        <f t="shared" ref="G58:G68" si="15">G15*$G$26</f>
        <v>872</v>
      </c>
      <c r="H58" s="235">
        <f>G57</f>
        <v>1628</v>
      </c>
      <c r="I58" s="235">
        <f>SUM(G58:G68)</f>
        <v>1120</v>
      </c>
      <c r="J58" s="233">
        <f>(1.96*(((1.25*((F58/100)^2))*((1-(F58/100))^2)*((1/H58)+(1/I58)))^0.5))*100</f>
        <v>1.2354990519992644</v>
      </c>
      <c r="K58" s="233">
        <f>F58-J58</f>
        <v>16.396453836856537</v>
      </c>
      <c r="L58" s="236">
        <f>F58+J58</f>
        <v>18.867451940855062</v>
      </c>
      <c r="M58" s="220"/>
      <c r="N58" s="220"/>
    </row>
    <row r="59" spans="1:14">
      <c r="A59" s="280"/>
      <c r="B59" s="233">
        <v>15</v>
      </c>
      <c r="C59" s="234">
        <v>20</v>
      </c>
      <c r="D59" s="233">
        <f t="shared" si="14"/>
        <v>67.355513857173207</v>
      </c>
      <c r="E59" s="233">
        <f>E7</f>
        <v>15.012533253971</v>
      </c>
      <c r="F59" s="233">
        <f t="shared" ref="F59:F68" si="16">F58+E59</f>
        <v>32.6444861428268</v>
      </c>
      <c r="G59" s="235">
        <f t="shared" si="15"/>
        <v>92</v>
      </c>
      <c r="H59" s="235">
        <f>G58+H58</f>
        <v>2500</v>
      </c>
      <c r="I59" s="235">
        <f>SUM(G59:G68)</f>
        <v>248</v>
      </c>
      <c r="J59" s="233">
        <f t="shared" ref="J59:J67" si="17">(1.96*(((1.25*((F59/100)^2))*((1-(F59/100))^2)*((1/H59)+(1/I59)))^0.5))*100</f>
        <v>3.2077948646764289</v>
      </c>
      <c r="K59" s="233">
        <f t="shared" ref="K59:K68" si="18">F59-J59</f>
        <v>29.43669127815037</v>
      </c>
      <c r="L59" s="236">
        <f t="shared" ref="L59:L68" si="19">F59+J59</f>
        <v>35.85228100750323</v>
      </c>
      <c r="M59" s="220"/>
      <c r="N59" s="220"/>
    </row>
    <row r="60" spans="1:14" ht="15" customHeight="1">
      <c r="A60" s="280"/>
      <c r="B60" s="233">
        <v>25</v>
      </c>
      <c r="C60" s="234">
        <v>30</v>
      </c>
      <c r="D60" s="233">
        <f t="shared" si="14"/>
        <v>53.863832589068096</v>
      </c>
      <c r="E60" s="233">
        <f>F7</f>
        <v>13.491681268105101</v>
      </c>
      <c r="F60" s="233">
        <f t="shared" si="16"/>
        <v>46.136167410931904</v>
      </c>
      <c r="G60" s="235">
        <f t="shared" si="15"/>
        <v>57</v>
      </c>
      <c r="H60" s="235">
        <f>G59+H59</f>
        <v>2592</v>
      </c>
      <c r="I60" s="235">
        <f>SUM(G60:G68)</f>
        <v>156</v>
      </c>
      <c r="J60" s="233">
        <f t="shared" si="17"/>
        <v>4.4892977453866374</v>
      </c>
      <c r="K60" s="233">
        <f t="shared" si="18"/>
        <v>41.646869665545267</v>
      </c>
      <c r="L60" s="236">
        <f t="shared" si="19"/>
        <v>50.62546515631854</v>
      </c>
      <c r="M60" s="220"/>
      <c r="N60" s="220"/>
    </row>
    <row r="61" spans="1:14">
      <c r="A61" s="280"/>
      <c r="B61" s="233">
        <v>35</v>
      </c>
      <c r="C61" s="234">
        <v>40</v>
      </c>
      <c r="D61" s="233">
        <f t="shared" si="14"/>
        <v>40.9481843080072</v>
      </c>
      <c r="E61" s="233">
        <f>G7</f>
        <v>12.9156482810609</v>
      </c>
      <c r="F61" s="233">
        <f t="shared" si="16"/>
        <v>59.0518156919928</v>
      </c>
      <c r="G61" s="235">
        <f t="shared" si="15"/>
        <v>32</v>
      </c>
      <c r="H61" s="235">
        <f t="shared" ref="H61:H68" si="20">G60+H60</f>
        <v>2649</v>
      </c>
      <c r="I61" s="235">
        <f>SUM(G61:G68)</f>
        <v>99</v>
      </c>
      <c r="J61" s="233">
        <f t="shared" si="17"/>
        <v>5.4241135247901626</v>
      </c>
      <c r="K61" s="233">
        <f t="shared" si="18"/>
        <v>53.627702167202635</v>
      </c>
      <c r="L61" s="236">
        <f t="shared" si="19"/>
        <v>64.475929216782959</v>
      </c>
      <c r="M61" s="220"/>
      <c r="N61" s="220"/>
    </row>
    <row r="62" spans="1:14">
      <c r="A62" s="280"/>
      <c r="B62" s="233">
        <v>45</v>
      </c>
      <c r="C62" s="234">
        <v>50</v>
      </c>
      <c r="D62" s="233">
        <f t="shared" si="14"/>
        <v>34.416655679190072</v>
      </c>
      <c r="E62" s="233">
        <f>H7</f>
        <v>6.5315286288171297</v>
      </c>
      <c r="F62" s="233">
        <f t="shared" si="16"/>
        <v>65.583344320809928</v>
      </c>
      <c r="G62" s="235">
        <f t="shared" si="15"/>
        <v>20</v>
      </c>
      <c r="H62" s="235">
        <f t="shared" si="20"/>
        <v>2681</v>
      </c>
      <c r="I62" s="235">
        <f>SUM(G62:G68)</f>
        <v>67</v>
      </c>
      <c r="J62" s="233">
        <f t="shared" si="17"/>
        <v>6.1178082350823759</v>
      </c>
      <c r="K62" s="233">
        <f t="shared" si="18"/>
        <v>59.46553608572755</v>
      </c>
      <c r="L62" s="236">
        <f t="shared" si="19"/>
        <v>71.701152555892307</v>
      </c>
      <c r="M62" s="220"/>
      <c r="N62" s="220"/>
    </row>
    <row r="63" spans="1:14">
      <c r="A63" s="280"/>
      <c r="B63" s="233">
        <v>55</v>
      </c>
      <c r="C63" s="234">
        <v>60</v>
      </c>
      <c r="D63" s="233">
        <f t="shared" si="14"/>
        <v>27.974688791198915</v>
      </c>
      <c r="E63" s="233">
        <f>I7</f>
        <v>6.4419668879911596</v>
      </c>
      <c r="F63" s="233">
        <f t="shared" si="16"/>
        <v>72.025311208801085</v>
      </c>
      <c r="G63" s="235">
        <f t="shared" si="15"/>
        <v>12</v>
      </c>
      <c r="H63" s="235">
        <f t="shared" si="20"/>
        <v>2701</v>
      </c>
      <c r="I63" s="235">
        <f>SUM(G63:G68)</f>
        <v>47</v>
      </c>
      <c r="J63" s="233">
        <f t="shared" si="17"/>
        <v>6.4961886490523799</v>
      </c>
      <c r="K63" s="233">
        <f t="shared" si="18"/>
        <v>65.5291225597487</v>
      </c>
      <c r="L63" s="236">
        <f t="shared" si="19"/>
        <v>78.52149985785347</v>
      </c>
      <c r="M63" s="220"/>
      <c r="N63" s="220"/>
    </row>
    <row r="64" spans="1:14">
      <c r="A64" s="280"/>
      <c r="B64" s="233">
        <v>65</v>
      </c>
      <c r="C64" s="234">
        <v>70</v>
      </c>
      <c r="D64" s="233">
        <f t="shared" si="14"/>
        <v>27.189152344003219</v>
      </c>
      <c r="E64" s="233">
        <f>J7</f>
        <v>0.78553644719569304</v>
      </c>
      <c r="F64" s="233">
        <f t="shared" si="16"/>
        <v>72.810847655996781</v>
      </c>
      <c r="G64" s="235">
        <f t="shared" si="15"/>
        <v>3</v>
      </c>
      <c r="H64" s="235">
        <f t="shared" si="20"/>
        <v>2713</v>
      </c>
      <c r="I64" s="235">
        <f>SUM(G64:G68)</f>
        <v>35</v>
      </c>
      <c r="J64" s="233">
        <f t="shared" si="17"/>
        <v>7.3799306071863411</v>
      </c>
      <c r="K64" s="233">
        <f t="shared" si="18"/>
        <v>65.430917048810443</v>
      </c>
      <c r="L64" s="236">
        <f t="shared" si="19"/>
        <v>80.19077826318312</v>
      </c>
      <c r="M64" s="220"/>
      <c r="N64" s="220"/>
    </row>
    <row r="65" spans="1:14">
      <c r="A65" s="280"/>
      <c r="B65" s="233">
        <v>75</v>
      </c>
      <c r="C65" s="234">
        <v>80</v>
      </c>
      <c r="D65" s="233">
        <f t="shared" si="14"/>
        <v>21.411186928047044</v>
      </c>
      <c r="E65" s="233">
        <f>K7</f>
        <v>5.77796541595617</v>
      </c>
      <c r="F65" s="233">
        <f t="shared" si="16"/>
        <v>78.588813071952956</v>
      </c>
      <c r="G65" s="235">
        <f t="shared" si="15"/>
        <v>9</v>
      </c>
      <c r="H65" s="235">
        <f t="shared" si="20"/>
        <v>2716</v>
      </c>
      <c r="I65" s="235">
        <f>SUM(G65:G68)</f>
        <v>32</v>
      </c>
      <c r="J65" s="233">
        <f t="shared" si="17"/>
        <v>6.5566355302723922</v>
      </c>
      <c r="K65" s="233">
        <f t="shared" si="18"/>
        <v>72.032177541680568</v>
      </c>
      <c r="L65" s="236">
        <f t="shared" si="19"/>
        <v>85.145448602225343</v>
      </c>
      <c r="M65" s="220"/>
      <c r="N65" s="220"/>
    </row>
    <row r="66" spans="1:14">
      <c r="A66" s="280"/>
      <c r="B66" s="233">
        <v>85</v>
      </c>
      <c r="C66" s="234">
        <v>90</v>
      </c>
      <c r="D66" s="233">
        <f t="shared" si="14"/>
        <v>15.15247996241429</v>
      </c>
      <c r="E66" s="233">
        <f>L7</f>
        <v>6.2587069656327499</v>
      </c>
      <c r="F66" s="233">
        <f t="shared" si="16"/>
        <v>84.84752003758571</v>
      </c>
      <c r="G66" s="235">
        <f t="shared" si="15"/>
        <v>5</v>
      </c>
      <c r="H66" s="235">
        <f t="shared" si="20"/>
        <v>2725</v>
      </c>
      <c r="I66" s="235">
        <f>SUM(G66:G68)</f>
        <v>23</v>
      </c>
      <c r="J66" s="233">
        <f t="shared" si="17"/>
        <v>5.8992274647680016</v>
      </c>
      <c r="K66" s="233">
        <f t="shared" si="18"/>
        <v>78.948292572817707</v>
      </c>
      <c r="L66" s="236">
        <f t="shared" si="19"/>
        <v>90.746747502353713</v>
      </c>
      <c r="M66" s="220"/>
      <c r="N66" s="220"/>
    </row>
    <row r="67" spans="1:14">
      <c r="A67" s="280"/>
      <c r="B67" s="233">
        <v>95</v>
      </c>
      <c r="C67" s="234">
        <v>95</v>
      </c>
      <c r="D67" s="233">
        <v>0</v>
      </c>
      <c r="E67" s="233">
        <f>M7</f>
        <v>15.152479962414199</v>
      </c>
      <c r="F67" s="233">
        <f t="shared" si="16"/>
        <v>99.999999999999915</v>
      </c>
      <c r="G67" s="235">
        <f t="shared" si="15"/>
        <v>18</v>
      </c>
      <c r="H67" s="235">
        <f t="shared" si="20"/>
        <v>2730</v>
      </c>
      <c r="I67" s="235">
        <f>SUM(G67:G68)</f>
        <v>18</v>
      </c>
      <c r="J67" s="233">
        <f t="shared" si="17"/>
        <v>4.6025878087844052E-14</v>
      </c>
      <c r="K67" s="233">
        <f t="shared" si="18"/>
        <v>99.999999999999872</v>
      </c>
      <c r="L67" s="236">
        <f t="shared" si="19"/>
        <v>99.999999999999957</v>
      </c>
      <c r="M67" s="220"/>
      <c r="N67" s="220"/>
    </row>
    <row r="68" spans="1:14">
      <c r="A68" s="404"/>
      <c r="B68" s="241">
        <v>100</v>
      </c>
      <c r="C68" s="242">
        <v>100</v>
      </c>
      <c r="D68" s="241">
        <v>0</v>
      </c>
      <c r="E68" s="241">
        <f>N7</f>
        <v>0</v>
      </c>
      <c r="F68" s="241">
        <f t="shared" si="16"/>
        <v>99.999999999999915</v>
      </c>
      <c r="G68" s="243">
        <f t="shared" si="15"/>
        <v>0</v>
      </c>
      <c r="H68" s="243">
        <f t="shared" si="20"/>
        <v>2748</v>
      </c>
      <c r="I68" s="243">
        <f>SUM(G68)</f>
        <v>0</v>
      </c>
      <c r="J68" s="241">
        <v>1.7237524639101637E-14</v>
      </c>
      <c r="K68" s="241">
        <f t="shared" si="18"/>
        <v>99.999999999999901</v>
      </c>
      <c r="L68" s="244">
        <f t="shared" si="19"/>
        <v>99.999999999999929</v>
      </c>
      <c r="M68" s="220"/>
      <c r="N68" s="220"/>
    </row>
    <row r="69" spans="1:14">
      <c r="A69" s="403" t="s">
        <v>5</v>
      </c>
      <c r="B69" s="245">
        <v>0</v>
      </c>
      <c r="C69" s="246">
        <v>0</v>
      </c>
      <c r="D69" s="245">
        <v>100</v>
      </c>
      <c r="E69" s="245">
        <f>C8</f>
        <v>0</v>
      </c>
      <c r="F69" s="245">
        <f>E69</f>
        <v>0</v>
      </c>
      <c r="G69" s="247">
        <f>I14</f>
        <v>7495</v>
      </c>
      <c r="H69" s="247"/>
      <c r="I69" s="247"/>
      <c r="J69" s="245"/>
      <c r="K69" s="245">
        <v>0</v>
      </c>
      <c r="L69" s="248">
        <v>0</v>
      </c>
      <c r="M69" s="220"/>
      <c r="N69" s="220"/>
    </row>
    <row r="70" spans="1:14">
      <c r="A70" s="280"/>
      <c r="B70" s="233">
        <v>5</v>
      </c>
      <c r="C70" s="234">
        <v>10</v>
      </c>
      <c r="D70" s="233">
        <f t="shared" ref="D70:D80" si="21">100-F70</f>
        <v>93.828064668022066</v>
      </c>
      <c r="E70" s="233">
        <f>D8</f>
        <v>6.1719353319779398</v>
      </c>
      <c r="F70" s="233">
        <f>F69+E70</f>
        <v>6.1719353319779398</v>
      </c>
      <c r="G70" s="235">
        <f t="shared" ref="G70:G80" si="22">I15*$I$26</f>
        <v>2094</v>
      </c>
      <c r="H70" s="235">
        <f>G69</f>
        <v>7495</v>
      </c>
      <c r="I70" s="235">
        <f>SUM(G70:G80)</f>
        <v>3060</v>
      </c>
      <c r="J70" s="233">
        <f>(1.96*(((1.25*((F70/100)^2))*((1-(F70/100))^2)*((1/H70)+(1/I70)))^0.5))*100</f>
        <v>0.27223740122325074</v>
      </c>
      <c r="K70" s="233">
        <f>F70-J70</f>
        <v>5.8996979307546891</v>
      </c>
      <c r="L70" s="236">
        <f>F70+J70</f>
        <v>6.4441727332011904</v>
      </c>
      <c r="M70" s="220"/>
      <c r="N70" s="220"/>
    </row>
    <row r="71" spans="1:14">
      <c r="A71" s="280"/>
      <c r="B71" s="233">
        <v>15</v>
      </c>
      <c r="C71" s="234">
        <v>20</v>
      </c>
      <c r="D71" s="233">
        <f t="shared" si="21"/>
        <v>86.317201305646947</v>
      </c>
      <c r="E71" s="233">
        <f>E8</f>
        <v>7.51086336237511</v>
      </c>
      <c r="F71" s="233">
        <f t="shared" ref="F71:F80" si="23">F70+E71</f>
        <v>13.68279869435305</v>
      </c>
      <c r="G71" s="235">
        <f t="shared" si="22"/>
        <v>215</v>
      </c>
      <c r="H71" s="235">
        <f>G70+H70</f>
        <v>9589</v>
      </c>
      <c r="I71" s="235">
        <f>SUM(G71:G80)</f>
        <v>966</v>
      </c>
      <c r="J71" s="233">
        <f t="shared" ref="J71:J77" si="24">(1.96*(((1.25*((F71/100)^2))*((1-(F71/100))^2)*((1/H71)+(1/I71)))^0.5))*100</f>
        <v>0.87364955956274781</v>
      </c>
      <c r="K71" s="233">
        <f t="shared" ref="K71:K80" si="25">F71-J71</f>
        <v>12.809149134790301</v>
      </c>
      <c r="L71" s="236">
        <f t="shared" ref="L71:L80" si="26">F71+J71</f>
        <v>14.556448253915798</v>
      </c>
      <c r="M71" s="220"/>
      <c r="N71" s="220"/>
    </row>
    <row r="72" spans="1:14">
      <c r="A72" s="280"/>
      <c r="B72" s="233">
        <v>25</v>
      </c>
      <c r="C72" s="234">
        <v>30</v>
      </c>
      <c r="D72" s="233">
        <f t="shared" si="21"/>
        <v>80.517280270783175</v>
      </c>
      <c r="E72" s="233">
        <f>F8</f>
        <v>5.79992103486377</v>
      </c>
      <c r="F72" s="233">
        <f t="shared" si="23"/>
        <v>19.482719729216818</v>
      </c>
      <c r="G72" s="235">
        <f t="shared" si="22"/>
        <v>108</v>
      </c>
      <c r="H72" s="235">
        <f t="shared" ref="H72:H80" si="27">G71+H71</f>
        <v>9804</v>
      </c>
      <c r="I72" s="235">
        <f>SUM(G72:G80)</f>
        <v>751</v>
      </c>
      <c r="J72" s="233">
        <f t="shared" si="24"/>
        <v>1.3015392115181519</v>
      </c>
      <c r="K72" s="233">
        <f t="shared" si="25"/>
        <v>18.181180517698667</v>
      </c>
      <c r="L72" s="236">
        <f t="shared" si="26"/>
        <v>20.784258940734968</v>
      </c>
      <c r="M72" s="220"/>
      <c r="N72" s="220"/>
    </row>
    <row r="73" spans="1:14">
      <c r="A73" s="280"/>
      <c r="B73" s="233">
        <v>35</v>
      </c>
      <c r="C73" s="234">
        <v>40</v>
      </c>
      <c r="D73" s="233">
        <f t="shared" si="21"/>
        <v>76.109315592726844</v>
      </c>
      <c r="E73" s="233">
        <f>G8</f>
        <v>4.4079646780563397</v>
      </c>
      <c r="F73" s="233">
        <f t="shared" si="23"/>
        <v>23.890684407273156</v>
      </c>
      <c r="G73" s="235">
        <f t="shared" si="22"/>
        <v>73</v>
      </c>
      <c r="H73" s="235">
        <f t="shared" si="27"/>
        <v>9912</v>
      </c>
      <c r="I73" s="235">
        <f>SUM(G73:G80)</f>
        <v>643</v>
      </c>
      <c r="J73" s="233">
        <f t="shared" si="24"/>
        <v>1.6215131368155007</v>
      </c>
      <c r="K73" s="233">
        <f t="shared" si="25"/>
        <v>22.269171270457655</v>
      </c>
      <c r="L73" s="236">
        <f t="shared" si="26"/>
        <v>25.512197544088657</v>
      </c>
      <c r="M73" s="220"/>
      <c r="N73" s="220"/>
    </row>
    <row r="74" spans="1:14" ht="15" customHeight="1">
      <c r="A74" s="280"/>
      <c r="B74" s="233">
        <v>45</v>
      </c>
      <c r="C74" s="234">
        <v>50</v>
      </c>
      <c r="D74" s="233">
        <f t="shared" si="21"/>
        <v>71.094346323322128</v>
      </c>
      <c r="E74" s="233">
        <f>H8</f>
        <v>5.0149692694047099</v>
      </c>
      <c r="F74" s="233">
        <f t="shared" si="23"/>
        <v>28.905653676677865</v>
      </c>
      <c r="G74" s="235">
        <f t="shared" si="22"/>
        <v>57</v>
      </c>
      <c r="H74" s="235">
        <f t="shared" si="27"/>
        <v>9985</v>
      </c>
      <c r="I74" s="235">
        <f>SUM(G74:G80)</f>
        <v>570</v>
      </c>
      <c r="J74" s="233">
        <f t="shared" si="24"/>
        <v>1.939307132417865</v>
      </c>
      <c r="K74" s="233">
        <f t="shared" si="25"/>
        <v>26.966346544259999</v>
      </c>
      <c r="L74" s="236">
        <f t="shared" si="26"/>
        <v>30.844960809095731</v>
      </c>
      <c r="M74" s="220"/>
      <c r="N74" s="220"/>
    </row>
    <row r="75" spans="1:14">
      <c r="A75" s="280"/>
      <c r="B75" s="233">
        <v>55</v>
      </c>
      <c r="C75" s="234">
        <v>60</v>
      </c>
      <c r="D75" s="233">
        <f t="shared" si="21"/>
        <v>66.72571772660649</v>
      </c>
      <c r="E75" s="233">
        <f>I8</f>
        <v>4.3686285967156504</v>
      </c>
      <c r="F75" s="233">
        <f t="shared" si="23"/>
        <v>33.274282273393517</v>
      </c>
      <c r="G75" s="235">
        <f t="shared" si="22"/>
        <v>42</v>
      </c>
      <c r="H75" s="235">
        <f t="shared" si="27"/>
        <v>10042</v>
      </c>
      <c r="I75" s="235">
        <f>SUM(G75:G80)</f>
        <v>513</v>
      </c>
      <c r="J75" s="233">
        <f t="shared" si="24"/>
        <v>2.2022841646187299</v>
      </c>
      <c r="K75" s="233">
        <f t="shared" si="25"/>
        <v>31.071998108774785</v>
      </c>
      <c r="L75" s="236">
        <f t="shared" si="26"/>
        <v>35.476566438012249</v>
      </c>
      <c r="M75" s="220"/>
      <c r="N75" s="220"/>
    </row>
    <row r="76" spans="1:14">
      <c r="A76" s="280"/>
      <c r="B76" s="233">
        <v>65</v>
      </c>
      <c r="C76" s="234">
        <v>70</v>
      </c>
      <c r="D76" s="233">
        <f t="shared" si="21"/>
        <v>63.058976376021981</v>
      </c>
      <c r="E76" s="233">
        <f>J8</f>
        <v>3.6667413505845001</v>
      </c>
      <c r="F76" s="233">
        <f t="shared" si="23"/>
        <v>36.941023623978019</v>
      </c>
      <c r="G76" s="235">
        <f t="shared" si="22"/>
        <v>30</v>
      </c>
      <c r="H76" s="235">
        <f t="shared" si="27"/>
        <v>10084</v>
      </c>
      <c r="I76" s="235">
        <f>SUM(G76:G80)</f>
        <v>471</v>
      </c>
      <c r="J76" s="233">
        <f t="shared" si="24"/>
        <v>2.4064074680289624</v>
      </c>
      <c r="K76" s="233">
        <f t="shared" si="25"/>
        <v>34.53461615594906</v>
      </c>
      <c r="L76" s="236">
        <f t="shared" si="26"/>
        <v>39.347431092006978</v>
      </c>
      <c r="M76" s="220"/>
      <c r="N76" s="220"/>
    </row>
    <row r="77" spans="1:14">
      <c r="A77" s="280"/>
      <c r="B77" s="233">
        <v>75</v>
      </c>
      <c r="C77" s="234">
        <v>80</v>
      </c>
      <c r="D77" s="233">
        <f t="shared" si="21"/>
        <v>57.467618701469569</v>
      </c>
      <c r="E77" s="233">
        <f>K8</f>
        <v>5.5913576745524098</v>
      </c>
      <c r="F77" s="233">
        <f t="shared" si="23"/>
        <v>42.532381298530431</v>
      </c>
      <c r="G77" s="235">
        <f t="shared" si="22"/>
        <v>42</v>
      </c>
      <c r="H77" s="235">
        <f t="shared" si="27"/>
        <v>10114</v>
      </c>
      <c r="I77" s="235">
        <f>SUM(G77:G80)</f>
        <v>441</v>
      </c>
      <c r="J77" s="233">
        <f t="shared" si="24"/>
        <v>2.6055674938138558</v>
      </c>
      <c r="K77" s="233">
        <f t="shared" si="25"/>
        <v>39.926813804716573</v>
      </c>
      <c r="L77" s="236">
        <f t="shared" si="26"/>
        <v>45.137948792344289</v>
      </c>
      <c r="M77" s="220"/>
      <c r="N77" s="220"/>
    </row>
    <row r="78" spans="1:14">
      <c r="A78" s="280"/>
      <c r="B78" s="233">
        <v>85</v>
      </c>
      <c r="C78" s="234">
        <v>90</v>
      </c>
      <c r="D78" s="233">
        <f t="shared" si="21"/>
        <v>46.889188052686869</v>
      </c>
      <c r="E78" s="233">
        <f>L8</f>
        <v>10.5784306487827</v>
      </c>
      <c r="F78" s="233">
        <f t="shared" si="23"/>
        <v>53.110811947313131</v>
      </c>
      <c r="G78" s="235">
        <f t="shared" si="22"/>
        <v>68</v>
      </c>
      <c r="H78" s="235">
        <f t="shared" si="27"/>
        <v>10156</v>
      </c>
      <c r="I78" s="235">
        <f>SUM(G78:G80)</f>
        <v>399</v>
      </c>
      <c r="J78" s="233">
        <v>1.7237524639101637E-14</v>
      </c>
      <c r="K78" s="233">
        <f t="shared" si="25"/>
        <v>53.110811947313117</v>
      </c>
      <c r="L78" s="236">
        <f t="shared" si="26"/>
        <v>53.110811947313145</v>
      </c>
      <c r="M78" s="220"/>
      <c r="N78" s="220"/>
    </row>
    <row r="79" spans="1:14">
      <c r="A79" s="280"/>
      <c r="B79" s="233">
        <v>95</v>
      </c>
      <c r="C79" s="234">
        <v>95</v>
      </c>
      <c r="D79" s="233">
        <f t="shared" si="21"/>
        <v>2.0289860197609642</v>
      </c>
      <c r="E79" s="233">
        <f>M8</f>
        <v>44.860202032925898</v>
      </c>
      <c r="F79" s="233">
        <f t="shared" si="23"/>
        <v>97.971013980239036</v>
      </c>
      <c r="G79" s="235">
        <f t="shared" si="22"/>
        <v>331</v>
      </c>
      <c r="H79" s="235">
        <f t="shared" si="27"/>
        <v>10224</v>
      </c>
      <c r="I79" s="235">
        <f>SUM(G79:G80)</f>
        <v>331</v>
      </c>
      <c r="J79" s="233">
        <v>1.7237524639101637E-14</v>
      </c>
      <c r="K79" s="233">
        <f t="shared" si="25"/>
        <v>97.971013980239022</v>
      </c>
      <c r="L79" s="236">
        <f t="shared" si="26"/>
        <v>97.97101398023905</v>
      </c>
      <c r="M79" s="220"/>
      <c r="N79" s="220"/>
    </row>
    <row r="80" spans="1:14">
      <c r="A80" s="404"/>
      <c r="B80" s="241">
        <v>100</v>
      </c>
      <c r="C80" s="242">
        <v>100</v>
      </c>
      <c r="D80" s="241">
        <f t="shared" si="21"/>
        <v>-2.8421709430404007E-13</v>
      </c>
      <c r="E80" s="241">
        <f>N8</f>
        <v>2.0289860197612501</v>
      </c>
      <c r="F80" s="241">
        <f t="shared" si="23"/>
        <v>100.00000000000028</v>
      </c>
      <c r="G80" s="243">
        <f t="shared" si="22"/>
        <v>0</v>
      </c>
      <c r="H80" s="243">
        <f t="shared" si="27"/>
        <v>10555</v>
      </c>
      <c r="I80" s="243">
        <f>SUM(G80)</f>
        <v>0</v>
      </c>
      <c r="J80" s="241">
        <v>1.7237524639101637E-14</v>
      </c>
      <c r="K80" s="241">
        <f t="shared" si="25"/>
        <v>100.00000000000027</v>
      </c>
      <c r="L80" s="244">
        <f t="shared" si="26"/>
        <v>100.0000000000003</v>
      </c>
      <c r="M80" s="220"/>
      <c r="N80" s="220"/>
    </row>
    <row r="81" spans="1:14">
      <c r="A81" s="402" t="s">
        <v>4</v>
      </c>
      <c r="B81" s="233">
        <v>0</v>
      </c>
      <c r="C81" s="234">
        <v>0</v>
      </c>
      <c r="D81" s="233">
        <v>100</v>
      </c>
      <c r="E81" s="233">
        <f>C9</f>
        <v>0</v>
      </c>
      <c r="F81" s="233">
        <f>E81</f>
        <v>0</v>
      </c>
      <c r="G81" s="235">
        <f>K14</f>
        <v>620592</v>
      </c>
      <c r="H81" s="233"/>
      <c r="I81" s="233"/>
      <c r="J81" s="233"/>
      <c r="K81" s="233">
        <v>0</v>
      </c>
      <c r="L81" s="236">
        <v>0</v>
      </c>
      <c r="M81" s="220"/>
      <c r="N81" s="220"/>
    </row>
    <row r="82" spans="1:14">
      <c r="A82" s="280"/>
      <c r="B82" s="233">
        <v>5</v>
      </c>
      <c r="C82" s="234">
        <v>10</v>
      </c>
      <c r="D82" s="233">
        <f t="shared" ref="D82:D91" si="28">100-F82</f>
        <v>98.897865471843872</v>
      </c>
      <c r="E82" s="233">
        <f>D9</f>
        <v>1.1021345281561299</v>
      </c>
      <c r="F82" s="233">
        <f>F81+E82</f>
        <v>1.1021345281561299</v>
      </c>
      <c r="G82" s="235">
        <f t="shared" ref="G82:G92" si="29">K15*$K$26</f>
        <v>2124</v>
      </c>
      <c r="H82" s="235">
        <f>G81</f>
        <v>620592</v>
      </c>
      <c r="I82" s="235">
        <f>SUM(G82:G92)</f>
        <v>46326</v>
      </c>
      <c r="J82" s="233">
        <f>(1.96*(((1.25*((F82/100)^2))*((1-(F82/100))^2)*((1/H82)+(1/I82)))^0.5))*100</f>
        <v>1.1504118225159574E-2</v>
      </c>
      <c r="K82" s="233">
        <f>F82-J82</f>
        <v>1.0906304099309703</v>
      </c>
      <c r="L82" s="236">
        <f>F82+J82</f>
        <v>1.1136386463812895</v>
      </c>
      <c r="M82" s="220"/>
      <c r="N82" s="220"/>
    </row>
    <row r="83" spans="1:14">
      <c r="A83" s="280"/>
      <c r="B83" s="233">
        <v>15</v>
      </c>
      <c r="C83" s="234">
        <v>20</v>
      </c>
      <c r="D83" s="233">
        <f t="shared" si="28"/>
        <v>97.748991434189065</v>
      </c>
      <c r="E83" s="233">
        <f>E9</f>
        <v>1.1488740376548101</v>
      </c>
      <c r="F83" s="233">
        <f t="shared" ref="F83:F92" si="30">F82+E83</f>
        <v>2.25100856581094</v>
      </c>
      <c r="G83" s="235">
        <f t="shared" si="29"/>
        <v>1290</v>
      </c>
      <c r="H83" s="235">
        <f>G82+H82</f>
        <v>622716</v>
      </c>
      <c r="I83" s="235">
        <f>SUM(G83:G92)</f>
        <v>44202</v>
      </c>
      <c r="J83" s="233">
        <f>(1.96*(((1.25*((F83/100)^2))*((1-(F83/100))^2)*((1/H83)+(1/I83)))^0.5))*100</f>
        <v>2.3733990145961864E-2</v>
      </c>
      <c r="K83" s="233">
        <f t="shared" ref="K83:K92" si="31">F83-J83</f>
        <v>2.2272745756649783</v>
      </c>
      <c r="L83" s="236">
        <f t="shared" ref="L83:L92" si="32">F83+J83</f>
        <v>2.2747425559569017</v>
      </c>
      <c r="M83" s="220"/>
      <c r="N83" s="220"/>
    </row>
    <row r="84" spans="1:14">
      <c r="A84" s="280"/>
      <c r="B84" s="233">
        <v>25</v>
      </c>
      <c r="C84" s="234">
        <v>30</v>
      </c>
      <c r="D84" s="233">
        <f t="shared" si="28"/>
        <v>96.69715093441836</v>
      </c>
      <c r="E84" s="233">
        <f>F9</f>
        <v>1.0518404997707</v>
      </c>
      <c r="F84" s="233">
        <f t="shared" si="30"/>
        <v>3.3028490655816398</v>
      </c>
      <c r="G84" s="235">
        <f t="shared" si="29"/>
        <v>948.99999999999989</v>
      </c>
      <c r="H84" s="235">
        <f t="shared" ref="H84:H92" si="33">G83+H83</f>
        <v>624006</v>
      </c>
      <c r="I84" s="235">
        <f>SUM(G84:G92)</f>
        <v>42912</v>
      </c>
      <c r="J84" s="233">
        <f t="shared" ref="J84:J89" si="34">(1.96*(((1.25*((F84/100)^2))*((1-(F84/100))^2)*((1/H84)+(1/I84)))^0.5))*100</f>
        <v>3.4927374633786971E-2</v>
      </c>
      <c r="K84" s="233">
        <f t="shared" si="31"/>
        <v>3.267921690947853</v>
      </c>
      <c r="L84" s="236">
        <f t="shared" si="32"/>
        <v>3.3377764402154266</v>
      </c>
      <c r="M84" s="220"/>
      <c r="N84" s="220"/>
    </row>
    <row r="85" spans="1:14">
      <c r="A85" s="280"/>
      <c r="B85" s="233">
        <v>35</v>
      </c>
      <c r="C85" s="234">
        <v>40</v>
      </c>
      <c r="D85" s="233">
        <f t="shared" si="28"/>
        <v>95.554381253758706</v>
      </c>
      <c r="E85" s="233">
        <f>G9</f>
        <v>1.1427696806596499</v>
      </c>
      <c r="F85" s="233">
        <f t="shared" si="30"/>
        <v>4.4456187462412897</v>
      </c>
      <c r="G85" s="235">
        <f t="shared" si="29"/>
        <v>1315</v>
      </c>
      <c r="H85" s="235">
        <f t="shared" si="33"/>
        <v>624955</v>
      </c>
      <c r="I85" s="235">
        <f>SUM(G85:G92)</f>
        <v>41963</v>
      </c>
      <c r="J85" s="233">
        <f t="shared" si="34"/>
        <v>4.6943177096690311E-2</v>
      </c>
      <c r="K85" s="233">
        <f t="shared" si="31"/>
        <v>4.3986755691445998</v>
      </c>
      <c r="L85" s="236">
        <f t="shared" si="32"/>
        <v>4.4925619233379797</v>
      </c>
      <c r="M85" s="220"/>
      <c r="N85" s="220"/>
    </row>
    <row r="86" spans="1:14">
      <c r="A86" s="280"/>
      <c r="B86" s="233">
        <v>45</v>
      </c>
      <c r="C86" s="234">
        <v>50</v>
      </c>
      <c r="D86" s="233">
        <f t="shared" si="28"/>
        <v>93.753797047740193</v>
      </c>
      <c r="E86" s="233">
        <f>H9</f>
        <v>1.80058420601851</v>
      </c>
      <c r="F86" s="233">
        <f t="shared" si="30"/>
        <v>6.2462029522598002</v>
      </c>
      <c r="G86" s="235">
        <f t="shared" si="29"/>
        <v>234.00000000000003</v>
      </c>
      <c r="H86" s="235">
        <f t="shared" si="33"/>
        <v>626270</v>
      </c>
      <c r="I86" s="235">
        <f>SUM(G86:G92)</f>
        <v>40648</v>
      </c>
      <c r="J86" s="233">
        <f t="shared" si="34"/>
        <v>6.5682830434246012E-2</v>
      </c>
      <c r="K86" s="233">
        <f t="shared" si="31"/>
        <v>6.1805201218255545</v>
      </c>
      <c r="L86" s="236">
        <f t="shared" si="32"/>
        <v>6.3118857826940458</v>
      </c>
      <c r="M86" s="220"/>
      <c r="N86" s="220"/>
    </row>
    <row r="87" spans="1:14">
      <c r="A87" s="280"/>
      <c r="B87" s="233">
        <v>55</v>
      </c>
      <c r="C87" s="234">
        <v>60</v>
      </c>
      <c r="D87" s="233">
        <f t="shared" si="28"/>
        <v>92.809142875032563</v>
      </c>
      <c r="E87" s="233">
        <f>I9</f>
        <v>0.94465417270763596</v>
      </c>
      <c r="F87" s="233">
        <f t="shared" si="30"/>
        <v>7.1908571249674358</v>
      </c>
      <c r="G87" s="235">
        <f t="shared" si="29"/>
        <v>215</v>
      </c>
      <c r="H87" s="235">
        <f t="shared" si="33"/>
        <v>626504</v>
      </c>
      <c r="I87" s="235">
        <f>SUM(G87:G92)</f>
        <v>40414</v>
      </c>
      <c r="J87" s="233">
        <f t="shared" si="34"/>
        <v>7.5056943765352657E-2</v>
      </c>
      <c r="K87" s="233">
        <f t="shared" si="31"/>
        <v>7.1158001812020828</v>
      </c>
      <c r="L87" s="236">
        <f t="shared" si="32"/>
        <v>7.2659140687327888</v>
      </c>
      <c r="M87" s="220"/>
      <c r="N87" s="220"/>
    </row>
    <row r="88" spans="1:14" ht="15" customHeight="1">
      <c r="A88" s="280"/>
      <c r="B88" s="233">
        <v>65</v>
      </c>
      <c r="C88" s="234">
        <v>70</v>
      </c>
      <c r="D88" s="233">
        <f t="shared" si="28"/>
        <v>90.435697802075893</v>
      </c>
      <c r="E88" s="233">
        <f>J9</f>
        <v>2.3734450729566698</v>
      </c>
      <c r="F88" s="233">
        <f t="shared" si="30"/>
        <v>9.5643021979241052</v>
      </c>
      <c r="G88" s="235">
        <f t="shared" si="29"/>
        <v>1013</v>
      </c>
      <c r="H88" s="235">
        <f t="shared" si="33"/>
        <v>626719</v>
      </c>
      <c r="I88" s="235">
        <f>SUM(G88:G92)</f>
        <v>40199</v>
      </c>
      <c r="J88" s="233">
        <f t="shared" si="34"/>
        <v>9.7520613726708477E-2</v>
      </c>
      <c r="K88" s="233">
        <f t="shared" si="31"/>
        <v>9.4667815841973972</v>
      </c>
      <c r="L88" s="236">
        <f t="shared" si="32"/>
        <v>9.6618228116508131</v>
      </c>
      <c r="M88" s="220"/>
      <c r="N88" s="220"/>
    </row>
    <row r="89" spans="1:14">
      <c r="A89" s="280"/>
      <c r="B89" s="233">
        <v>75</v>
      </c>
      <c r="C89" s="234">
        <v>80</v>
      </c>
      <c r="D89" s="233">
        <f t="shared" si="28"/>
        <v>86.859389883099823</v>
      </c>
      <c r="E89" s="233">
        <f>K9</f>
        <v>3.57630791897608</v>
      </c>
      <c r="F89" s="233">
        <f t="shared" si="30"/>
        <v>13.140610116900184</v>
      </c>
      <c r="G89" s="235">
        <f t="shared" si="29"/>
        <v>841</v>
      </c>
      <c r="H89" s="235">
        <f t="shared" si="33"/>
        <v>627732</v>
      </c>
      <c r="I89" s="235">
        <f>SUM(G89:G92)</f>
        <v>39186</v>
      </c>
      <c r="J89" s="233">
        <f t="shared" si="34"/>
        <v>0.1302347859516105</v>
      </c>
      <c r="K89" s="233">
        <f t="shared" si="31"/>
        <v>13.010375330948573</v>
      </c>
      <c r="L89" s="236">
        <f t="shared" si="32"/>
        <v>13.270844902851795</v>
      </c>
      <c r="M89" s="220"/>
      <c r="N89" s="220"/>
    </row>
    <row r="90" spans="1:14">
      <c r="A90" s="280"/>
      <c r="B90" s="233">
        <v>85</v>
      </c>
      <c r="C90" s="234">
        <v>90</v>
      </c>
      <c r="D90" s="233">
        <f t="shared" si="28"/>
        <v>79.274336813557682</v>
      </c>
      <c r="E90" s="233">
        <f>L9</f>
        <v>7.5850530695421403</v>
      </c>
      <c r="F90" s="233">
        <f t="shared" si="30"/>
        <v>20.725663186442326</v>
      </c>
      <c r="G90" s="235">
        <f t="shared" si="29"/>
        <v>1044</v>
      </c>
      <c r="H90" s="235">
        <f t="shared" si="33"/>
        <v>628573</v>
      </c>
      <c r="I90" s="235">
        <f>SUM(G90:G92)</f>
        <v>38345</v>
      </c>
      <c r="J90" s="233">
        <v>1.7237524639101637E-14</v>
      </c>
      <c r="K90" s="233">
        <f t="shared" si="31"/>
        <v>20.725663186442308</v>
      </c>
      <c r="L90" s="236">
        <f t="shared" si="32"/>
        <v>20.725663186442343</v>
      </c>
      <c r="M90" s="220"/>
      <c r="N90" s="220"/>
    </row>
    <row r="91" spans="1:14">
      <c r="A91" s="280"/>
      <c r="B91" s="233">
        <v>95</v>
      </c>
      <c r="C91" s="234">
        <v>95</v>
      </c>
      <c r="D91" s="233">
        <f t="shared" si="28"/>
        <v>31.086433855716166</v>
      </c>
      <c r="E91" s="233">
        <f>M9</f>
        <v>48.187902957841501</v>
      </c>
      <c r="F91" s="233">
        <f t="shared" si="30"/>
        <v>68.913566144283834</v>
      </c>
      <c r="G91" s="235">
        <f t="shared" si="29"/>
        <v>37301</v>
      </c>
      <c r="H91" s="235">
        <f t="shared" si="33"/>
        <v>629617</v>
      </c>
      <c r="I91" s="235">
        <f>SUM(G91:G92)</f>
        <v>37301</v>
      </c>
      <c r="J91" s="233">
        <v>1.7237524639101637E-14</v>
      </c>
      <c r="K91" s="233">
        <f t="shared" si="31"/>
        <v>68.91356614428382</v>
      </c>
      <c r="L91" s="236">
        <f t="shared" si="32"/>
        <v>68.913566144283848</v>
      </c>
      <c r="M91" s="220"/>
      <c r="N91" s="220"/>
    </row>
    <row r="92" spans="1:14" ht="16" thickBot="1">
      <c r="A92" s="281"/>
      <c r="B92" s="237">
        <v>100</v>
      </c>
      <c r="C92" s="238">
        <v>100</v>
      </c>
      <c r="D92" s="237">
        <v>0</v>
      </c>
      <c r="E92" s="237">
        <f>N9</f>
        <v>31.086433855723801</v>
      </c>
      <c r="F92" s="237">
        <f t="shared" si="30"/>
        <v>100.00000000000763</v>
      </c>
      <c r="G92" s="239">
        <f t="shared" si="29"/>
        <v>0</v>
      </c>
      <c r="H92" s="239">
        <f t="shared" si="33"/>
        <v>666918</v>
      </c>
      <c r="I92" s="239">
        <f>SUM(G92)</f>
        <v>0</v>
      </c>
      <c r="J92" s="237">
        <v>1.7237524639101637E-14</v>
      </c>
      <c r="K92" s="237">
        <f t="shared" si="31"/>
        <v>100.00000000000762</v>
      </c>
      <c r="L92" s="240">
        <f t="shared" si="32"/>
        <v>100.00000000000765</v>
      </c>
      <c r="M92" s="220"/>
      <c r="N92" s="220"/>
    </row>
    <row r="93" spans="1:14">
      <c r="M93" s="220"/>
      <c r="N93" s="220"/>
    </row>
    <row r="94" spans="1:14">
      <c r="M94" s="220"/>
      <c r="N94" s="220"/>
    </row>
    <row r="95" spans="1:14">
      <c r="M95" s="220"/>
      <c r="N95" s="220"/>
    </row>
    <row r="96" spans="1:14">
      <c r="M96" s="220"/>
      <c r="N96" s="220"/>
    </row>
    <row r="97" spans="13:14">
      <c r="M97" s="220"/>
      <c r="N97" s="220"/>
    </row>
    <row r="98" spans="13:14">
      <c r="M98" s="220"/>
      <c r="N98" s="220"/>
    </row>
    <row r="99" spans="13:14">
      <c r="M99" s="220"/>
      <c r="N99" s="220"/>
    </row>
    <row r="100" spans="13:14">
      <c r="M100" s="220"/>
      <c r="N100" s="220"/>
    </row>
  </sheetData>
  <mergeCells count="25">
    <mergeCell ref="J31:J32"/>
    <mergeCell ref="K31:K32"/>
    <mergeCell ref="L31:L32"/>
    <mergeCell ref="D31:D32"/>
    <mergeCell ref="E31:E32"/>
    <mergeCell ref="G31:G32"/>
    <mergeCell ref="H31:H32"/>
    <mergeCell ref="I31:I32"/>
    <mergeCell ref="A2:N2"/>
    <mergeCell ref="B12:C12"/>
    <mergeCell ref="D12:E12"/>
    <mergeCell ref="F12:G12"/>
    <mergeCell ref="H12:I12"/>
    <mergeCell ref="J12:K12"/>
    <mergeCell ref="C3:N3"/>
    <mergeCell ref="A5:A10"/>
    <mergeCell ref="A12:A13"/>
    <mergeCell ref="A69:A80"/>
    <mergeCell ref="A81:A92"/>
    <mergeCell ref="A31:A32"/>
    <mergeCell ref="F31:F32"/>
    <mergeCell ref="A33:A44"/>
    <mergeCell ref="A45:A56"/>
    <mergeCell ref="A57:A68"/>
    <mergeCell ref="B31:C3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11</vt:i4>
      </vt:variant>
    </vt:vector>
  </HeadingPairs>
  <TitlesOfParts>
    <vt:vector size="11" baseType="lpstr">
      <vt:lpstr>Front Page</vt:lpstr>
      <vt:lpstr>1. Reference materials</vt:lpstr>
      <vt:lpstr>2. Error Calculation</vt:lpstr>
      <vt:lpstr>3. Troubleshooting the Error</vt:lpstr>
      <vt:lpstr>4. Mineralogy wt.%</vt:lpstr>
      <vt:lpstr>5. Roundness</vt:lpstr>
      <vt:lpstr>6. Grain Size Distribution</vt:lpstr>
      <vt:lpstr>7. Sample A Conf. Intervals</vt:lpstr>
      <vt:lpstr>8. Sample B Conf. Intervals</vt:lpstr>
      <vt:lpstr>9. Sample C Conf. Intervals</vt:lpstr>
      <vt:lpstr>10. Sample D Conf. Intervals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2019-03-22T09:45:16Z</dcterms:created>
  <dcterms:modified xsi:type="dcterms:W3CDTF">2020-04-22T12:09:27Z</dcterms:modified>
</cp:coreProperties>
</file>