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mc:AlternateContent xmlns:mc="http://schemas.openxmlformats.org/markup-compatibility/2006">
    <mc:Choice Requires="x15">
      <x15ac:absPath xmlns:x15ac="http://schemas.microsoft.com/office/spreadsheetml/2010/11/ac" url="https://uctcloud.sharepoint.com/sites/CeBERMineWaste-2013_Helene-Marie-Stander_S-Stream_Decision-Making/Shared Documents/2013_Helene-Marie-Stander_S-Stream_Decision-Making/Research Papers/Soil amelioration paper/"/>
    </mc:Choice>
  </mc:AlternateContent>
  <xr:revisionPtr revIDLastSave="4533" documentId="13_ncr:1_{A78A4495-AE7A-4957-A3C2-26D11C70F813}" xr6:coauthVersionLast="47" xr6:coauthVersionMax="47" xr10:uidLastSave="{D3DA4A2F-B483-4AE9-BD70-689CCCFE76DD}"/>
  <bookViews>
    <workbookView xWindow="-110" yWindow="-110" windowWidth="19420" windowHeight="10420" xr2:uid="{00000000-000D-0000-FFFF-FFFF00000000}"/>
  </bookViews>
  <sheets>
    <sheet name="Introduction to this worksheet" sheetId="12" r:id="rId1"/>
    <sheet name="2017 Detailed commodity stats" sheetId="7" r:id="rId2"/>
    <sheet name="Application rates" sheetId="8" r:id="rId3"/>
    <sheet name="Transport &amp; mass balance" sheetId="11" r:id="rId4"/>
    <sheet name="Number of farms" sheetId="6" r:id="rId5"/>
    <sheet name="Sensitivity analysis" sheetId="14" r:id="rId6"/>
    <sheet name="Sensitivity analysis (alt)" sheetId="13"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9" i="6" l="1"/>
  <c r="K9" i="6"/>
  <c r="O53" i="11"/>
  <c r="O52" i="11"/>
  <c r="O51" i="11"/>
  <c r="O50" i="11"/>
  <c r="O49" i="11"/>
  <c r="O48" i="11"/>
  <c r="O47" i="11"/>
  <c r="O46" i="11"/>
  <c r="O45" i="11"/>
  <c r="O44" i="11"/>
  <c r="O43" i="11"/>
  <c r="K3" i="6" l="1"/>
  <c r="K5" i="6" s="1"/>
  <c r="C13" i="6"/>
  <c r="C3" i="6"/>
  <c r="D36" i="8"/>
  <c r="D35" i="8"/>
  <c r="G22" i="14"/>
  <c r="G21" i="14"/>
  <c r="D22" i="14"/>
  <c r="E22" i="14"/>
  <c r="F22" i="14"/>
  <c r="C22" i="14"/>
  <c r="F21" i="14"/>
  <c r="D21" i="14"/>
  <c r="E21" i="14"/>
  <c r="H12" i="14"/>
  <c r="H11" i="14"/>
  <c r="D12" i="14"/>
  <c r="D11" i="14"/>
  <c r="G11" i="14"/>
  <c r="D7" i="14"/>
  <c r="C7" i="14"/>
  <c r="E7" i="14"/>
  <c r="C5" i="14"/>
  <c r="F12" i="14"/>
  <c r="E12" i="14"/>
  <c r="P5" i="8"/>
  <c r="G12" i="14" l="1"/>
  <c r="C12" i="14"/>
  <c r="F14" i="13"/>
  <c r="G14" i="13" s="1"/>
  <c r="D8" i="13"/>
  <c r="F4" i="13"/>
  <c r="G4" i="13" s="1"/>
  <c r="P21" i="7"/>
  <c r="P22" i="7"/>
  <c r="P30" i="7"/>
  <c r="P36" i="7"/>
  <c r="P42" i="7"/>
  <c r="O6" i="7"/>
  <c r="O7" i="7"/>
  <c r="O8" i="7"/>
  <c r="O9" i="7"/>
  <c r="O10" i="7"/>
  <c r="O11" i="7"/>
  <c r="O12" i="7"/>
  <c r="O13" i="7"/>
  <c r="O14" i="7"/>
  <c r="O15" i="7"/>
  <c r="O16" i="7"/>
  <c r="O17" i="7"/>
  <c r="O18" i="7"/>
  <c r="O19" i="7"/>
  <c r="P5" i="7" s="1"/>
  <c r="O20" i="7"/>
  <c r="O21" i="7"/>
  <c r="O22" i="7"/>
  <c r="O23" i="7"/>
  <c r="O24" i="7"/>
  <c r="O25" i="7"/>
  <c r="O26" i="7"/>
  <c r="O27" i="7"/>
  <c r="O28" i="7"/>
  <c r="O29" i="7"/>
  <c r="O30" i="7"/>
  <c r="O31" i="7"/>
  <c r="O32" i="7"/>
  <c r="O33" i="7"/>
  <c r="O34" i="7"/>
  <c r="O35" i="7"/>
  <c r="O36" i="7"/>
  <c r="O37" i="7"/>
  <c r="O38" i="7"/>
  <c r="O39" i="7"/>
  <c r="O40" i="7"/>
  <c r="O42" i="7"/>
  <c r="O43" i="7"/>
  <c r="O44" i="7"/>
  <c r="O45" i="7"/>
  <c r="O46" i="7"/>
  <c r="O47" i="7"/>
  <c r="O48" i="7"/>
  <c r="O49" i="7"/>
  <c r="O5" i="7"/>
  <c r="N45" i="7"/>
  <c r="L45" i="7"/>
  <c r="J45" i="7"/>
  <c r="D16" i="6"/>
  <c r="C6" i="6"/>
  <c r="O51" i="7" l="1"/>
  <c r="O50" i="7"/>
  <c r="D6" i="6"/>
  <c r="C16" i="6"/>
  <c r="C4" i="6" l="1"/>
  <c r="C14" i="6"/>
  <c r="D33" i="8"/>
  <c r="P14" i="13" l="1"/>
  <c r="M14" i="14"/>
  <c r="L53" i="11"/>
  <c r="L52" i="11"/>
  <c r="L51" i="11"/>
  <c r="L50" i="11"/>
  <c r="L47" i="11"/>
  <c r="L46" i="11"/>
  <c r="L45" i="11"/>
  <c r="L44" i="11"/>
  <c r="L49" i="11"/>
  <c r="L48" i="11"/>
  <c r="L43" i="11"/>
  <c r="K52" i="11"/>
  <c r="K53" i="11"/>
  <c r="K51" i="11"/>
  <c r="K50" i="11"/>
  <c r="K49" i="11"/>
  <c r="K48" i="11"/>
  <c r="K47" i="11"/>
  <c r="K46" i="11"/>
  <c r="K45" i="11"/>
  <c r="K44" i="11"/>
  <c r="K43" i="11"/>
  <c r="J49" i="7" l="1"/>
  <c r="L49" i="7"/>
  <c r="N49" i="7"/>
  <c r="N48" i="7"/>
  <c r="N47" i="7"/>
  <c r="N46" i="7"/>
  <c r="L48" i="7"/>
  <c r="L47" i="7"/>
  <c r="L46" i="7"/>
  <c r="N34" i="7"/>
  <c r="N35" i="7"/>
  <c r="L34" i="7"/>
  <c r="L35" i="7"/>
  <c r="J34" i="7"/>
  <c r="J35" i="7"/>
  <c r="J47" i="7"/>
  <c r="J48" i="7"/>
  <c r="J46" i="7"/>
  <c r="C8" i="11"/>
  <c r="V9" i="11" l="1"/>
  <c r="V14" i="11"/>
  <c r="V35" i="11"/>
  <c r="V22" i="11"/>
  <c r="V17" i="11"/>
  <c r="C6" i="11"/>
  <c r="V28" i="11"/>
  <c r="V19" i="11"/>
  <c r="V20" i="11"/>
  <c r="V34" i="11"/>
  <c r="V7" i="11"/>
  <c r="V29" i="11"/>
  <c r="V16" i="11"/>
  <c r="V21" i="11"/>
  <c r="V23" i="11"/>
  <c r="V36" i="11"/>
  <c r="V8" i="11"/>
  <c r="V11" i="11"/>
  <c r="V13" i="11"/>
  <c r="V27" i="11"/>
  <c r="V33" i="11"/>
  <c r="V24" i="11"/>
  <c r="V12" i="11"/>
  <c r="V26" i="11"/>
  <c r="V18" i="11"/>
  <c r="V31" i="11"/>
  <c r="C16" i="11"/>
  <c r="C9" i="11"/>
  <c r="AE32" i="11"/>
  <c r="AE31" i="11"/>
  <c r="AE30" i="11"/>
  <c r="AE29" i="11"/>
  <c r="AC18" i="11"/>
  <c r="AB18" i="11"/>
  <c r="AB6" i="11"/>
  <c r="AB11" i="11" s="1"/>
  <c r="N44" i="7"/>
  <c r="N43" i="7"/>
  <c r="N42" i="7"/>
  <c r="L44" i="7"/>
  <c r="L43" i="7"/>
  <c r="L42" i="7"/>
  <c r="J44" i="7"/>
  <c r="J43" i="7"/>
  <c r="J42" i="7"/>
  <c r="N21" i="7"/>
  <c r="N62" i="7"/>
  <c r="N65" i="7"/>
  <c r="N63" i="7"/>
  <c r="N64" i="7"/>
  <c r="N24" i="7"/>
  <c r="N25" i="7"/>
  <c r="N68" i="7"/>
  <c r="N69" i="7"/>
  <c r="N26" i="7"/>
  <c r="N27" i="7"/>
  <c r="N28" i="7"/>
  <c r="N29" i="7"/>
  <c r="N66" i="7"/>
  <c r="N67" i="7"/>
  <c r="N30" i="7"/>
  <c r="N31" i="7"/>
  <c r="N32" i="7"/>
  <c r="N33" i="7"/>
  <c r="N71" i="7"/>
  <c r="N36" i="7"/>
  <c r="N37" i="7"/>
  <c r="N38" i="7"/>
  <c r="N39" i="7"/>
  <c r="N72" i="7"/>
  <c r="N40" i="7"/>
  <c r="L21" i="7"/>
  <c r="L62" i="7"/>
  <c r="L65" i="7"/>
  <c r="L63" i="7"/>
  <c r="L64" i="7"/>
  <c r="L24" i="7"/>
  <c r="L25" i="7"/>
  <c r="L68" i="7"/>
  <c r="L69" i="7"/>
  <c r="L26" i="7"/>
  <c r="L27" i="7"/>
  <c r="L28" i="7"/>
  <c r="L29" i="7"/>
  <c r="L66" i="7"/>
  <c r="L67" i="7"/>
  <c r="L30" i="7"/>
  <c r="L31" i="7"/>
  <c r="L32" i="7"/>
  <c r="L33" i="7"/>
  <c r="L71" i="7"/>
  <c r="L36" i="7"/>
  <c r="L37" i="7"/>
  <c r="L38" i="7"/>
  <c r="L39" i="7"/>
  <c r="L72" i="7"/>
  <c r="L40" i="7"/>
  <c r="J21" i="7"/>
  <c r="J62" i="7"/>
  <c r="J65" i="7"/>
  <c r="J63" i="7"/>
  <c r="J64" i="7"/>
  <c r="J24" i="7"/>
  <c r="J25" i="7"/>
  <c r="J68" i="7"/>
  <c r="J69" i="7"/>
  <c r="J26" i="7"/>
  <c r="J27" i="7"/>
  <c r="J28" i="7"/>
  <c r="J29" i="7"/>
  <c r="J66" i="7"/>
  <c r="J67" i="7"/>
  <c r="J30" i="7"/>
  <c r="J31" i="7"/>
  <c r="J32" i="7"/>
  <c r="J33" i="7"/>
  <c r="J71" i="7"/>
  <c r="J36" i="7"/>
  <c r="J37" i="7"/>
  <c r="J38" i="7"/>
  <c r="J39" i="7"/>
  <c r="J72" i="7"/>
  <c r="J40" i="7"/>
  <c r="H23" i="7"/>
  <c r="N23" i="7" s="1"/>
  <c r="H22" i="7"/>
  <c r="L22" i="7" s="1"/>
  <c r="E4" i="13" l="1"/>
  <c r="E14" i="13"/>
  <c r="E5" i="14"/>
  <c r="D5" i="14" s="1"/>
  <c r="I14" i="13"/>
  <c r="J14" i="13" s="1"/>
  <c r="I4" i="13"/>
  <c r="J4" i="13" s="1"/>
  <c r="U9" i="11"/>
  <c r="P52" i="11" s="1"/>
  <c r="U14" i="11"/>
  <c r="U35" i="11"/>
  <c r="P49" i="11" s="1"/>
  <c r="C17" i="11"/>
  <c r="C18" i="11" s="1"/>
  <c r="C7" i="11"/>
  <c r="U27" i="11"/>
  <c r="P50" i="11" s="1"/>
  <c r="U31" i="11"/>
  <c r="P45" i="11" s="1"/>
  <c r="U12" i="11"/>
  <c r="P47" i="11" s="1"/>
  <c r="U17" i="11"/>
  <c r="U22" i="11"/>
  <c r="U11" i="11"/>
  <c r="P46" i="11" s="1"/>
  <c r="U24" i="11"/>
  <c r="U28" i="11"/>
  <c r="P51" i="11" s="1"/>
  <c r="U13" i="11"/>
  <c r="U18" i="11"/>
  <c r="U34" i="11"/>
  <c r="P48" i="11" s="1"/>
  <c r="U8" i="11"/>
  <c r="U16" i="11"/>
  <c r="P43" i="11" s="1"/>
  <c r="U21" i="11"/>
  <c r="U33" i="11"/>
  <c r="U19" i="11"/>
  <c r="U26" i="11"/>
  <c r="U23" i="11"/>
  <c r="U29" i="11"/>
  <c r="U20" i="11"/>
  <c r="P44" i="11" s="1"/>
  <c r="U36" i="11"/>
  <c r="U7" i="11"/>
  <c r="P53" i="11" s="1"/>
  <c r="J22" i="7"/>
  <c r="N22" i="7"/>
  <c r="J23" i="7"/>
  <c r="L23" i="7"/>
  <c r="K28" i="8" l="1"/>
  <c r="K31" i="8" s="1"/>
  <c r="G3" i="8"/>
  <c r="H3" i="8" s="1"/>
  <c r="C26" i="8" s="1"/>
  <c r="P2" i="8"/>
  <c r="N6" i="7"/>
  <c r="N7" i="7"/>
  <c r="N8" i="7"/>
  <c r="N9" i="7"/>
  <c r="N10" i="7"/>
  <c r="N11" i="7"/>
  <c r="N13" i="7"/>
  <c r="N14" i="7"/>
  <c r="N15" i="7"/>
  <c r="N16" i="7"/>
  <c r="N18" i="7"/>
  <c r="N19" i="7"/>
  <c r="L6" i="7"/>
  <c r="L7" i="7"/>
  <c r="L8" i="7"/>
  <c r="L9" i="7"/>
  <c r="L10" i="7"/>
  <c r="L11" i="7"/>
  <c r="L13" i="7"/>
  <c r="L14" i="7"/>
  <c r="L15" i="7"/>
  <c r="L16" i="7"/>
  <c r="L18" i="7"/>
  <c r="L19" i="7"/>
  <c r="J6" i="7"/>
  <c r="J7" i="7"/>
  <c r="J8" i="7"/>
  <c r="J9" i="7"/>
  <c r="J10" i="7"/>
  <c r="J11" i="7"/>
  <c r="J13" i="7"/>
  <c r="J14" i="7"/>
  <c r="J15" i="7"/>
  <c r="J16" i="7"/>
  <c r="J18" i="7"/>
  <c r="J19" i="7"/>
  <c r="H12" i="7"/>
  <c r="N12" i="7" s="1"/>
  <c r="H20" i="7"/>
  <c r="L20" i="7" s="1"/>
  <c r="H17" i="7"/>
  <c r="J17" i="7" s="1"/>
  <c r="H5" i="7"/>
  <c r="L5" i="7" s="1"/>
  <c r="H19" i="8" l="1"/>
  <c r="H18" i="8"/>
  <c r="G20" i="8"/>
  <c r="G16" i="8"/>
  <c r="H17" i="8"/>
  <c r="H16" i="8"/>
  <c r="H21" i="8"/>
  <c r="D17" i="13" s="1"/>
  <c r="H20" i="8"/>
  <c r="H14" i="8"/>
  <c r="H15" i="8"/>
  <c r="G14" i="8"/>
  <c r="H13" i="8"/>
  <c r="H12" i="8"/>
  <c r="G10" i="8"/>
  <c r="H11" i="8" s="1"/>
  <c r="H5" i="8"/>
  <c r="H4" i="8"/>
  <c r="G4" i="8"/>
  <c r="D30" i="8"/>
  <c r="C16" i="14" s="1"/>
  <c r="J20" i="7"/>
  <c r="J12" i="7"/>
  <c r="N20" i="7"/>
  <c r="N17" i="7"/>
  <c r="L17" i="7"/>
  <c r="L12" i="7"/>
  <c r="J5" i="7"/>
  <c r="N5" i="7"/>
  <c r="H22" i="8"/>
  <c r="G6" i="8"/>
  <c r="C18" i="14" l="1"/>
  <c r="H10" i="8"/>
  <c r="D37" i="8"/>
  <c r="R9" i="11" s="1"/>
  <c r="P11" i="13"/>
  <c r="H6" i="8"/>
  <c r="G8" i="8"/>
  <c r="H7" i="8"/>
  <c r="Q13" i="11"/>
  <c r="Q8" i="11"/>
  <c r="Q34" i="11" l="1"/>
  <c r="M48" i="11" s="1"/>
  <c r="R7" i="11"/>
  <c r="Q36" i="11"/>
  <c r="R27" i="11"/>
  <c r="Q7" i="11"/>
  <c r="M53" i="11" s="1"/>
  <c r="R34" i="11"/>
  <c r="Q17" i="11"/>
  <c r="Q18" i="11"/>
  <c r="R20" i="11"/>
  <c r="R22" i="11"/>
  <c r="R19" i="11"/>
  <c r="Q12" i="11"/>
  <c r="M47" i="11" s="1"/>
  <c r="Q29" i="11"/>
  <c r="Q22" i="11"/>
  <c r="Q35" i="11"/>
  <c r="M49" i="11" s="1"/>
  <c r="Q27" i="11"/>
  <c r="M50" i="11" s="1"/>
  <c r="Q20" i="11"/>
  <c r="M44" i="11" s="1"/>
  <c r="Q14" i="11"/>
  <c r="R33" i="11"/>
  <c r="R23" i="11"/>
  <c r="Q11" i="11"/>
  <c r="M46" i="11" s="1"/>
  <c r="R31" i="11"/>
  <c r="R17" i="11"/>
  <c r="R11" i="11"/>
  <c r="R29" i="11"/>
  <c r="Q23" i="11"/>
  <c r="R8" i="11"/>
  <c r="Q31" i="11"/>
  <c r="M45" i="11" s="1"/>
  <c r="R14" i="11"/>
  <c r="Q16" i="11"/>
  <c r="M43" i="11" s="1"/>
  <c r="R24" i="11"/>
  <c r="Q26" i="11"/>
  <c r="Q9" i="11"/>
  <c r="M52" i="11" s="1"/>
  <c r="R16" i="11"/>
  <c r="R18" i="11"/>
  <c r="Q24" i="11"/>
  <c r="R36" i="11"/>
  <c r="Q21" i="11"/>
  <c r="R26" i="11"/>
  <c r="Q28" i="11"/>
  <c r="M51" i="11" s="1"/>
  <c r="Q19" i="11"/>
  <c r="Q33" i="11"/>
  <c r="R13" i="11"/>
  <c r="R28" i="11"/>
  <c r="R21" i="11"/>
  <c r="R35" i="11"/>
  <c r="D15" i="13"/>
  <c r="P18" i="13"/>
  <c r="I8" i="13" s="1"/>
  <c r="R12" i="11"/>
  <c r="H9" i="8"/>
  <c r="H8" i="8"/>
  <c r="E8" i="13" l="1"/>
  <c r="J8" i="13"/>
  <c r="I7" i="13"/>
  <c r="G5" i="13"/>
  <c r="H7" i="13"/>
  <c r="H8" i="13"/>
  <c r="E6" i="13"/>
  <c r="F8" i="13"/>
  <c r="F7" i="13"/>
  <c r="E7" i="13"/>
  <c r="C27" i="8"/>
  <c r="D31" i="8" s="1"/>
  <c r="G7" i="13"/>
  <c r="F6" i="13"/>
  <c r="E5" i="13"/>
  <c r="F5" i="13"/>
  <c r="J7" i="13"/>
  <c r="J5" i="13"/>
  <c r="G6" i="13"/>
  <c r="J6" i="13"/>
  <c r="H6" i="13"/>
  <c r="G8" i="13"/>
  <c r="H5" i="13"/>
  <c r="D38" i="8"/>
  <c r="S21" i="11" s="1"/>
  <c r="P12" i="13"/>
  <c r="D16" i="13" s="1"/>
  <c r="D7" i="6"/>
  <c r="D8" i="6" s="1"/>
  <c r="C7" i="6"/>
  <c r="C8" i="6" s="1"/>
  <c r="I6" i="13"/>
  <c r="I5" i="13"/>
  <c r="T16" i="11" l="1"/>
  <c r="M12" i="14"/>
  <c r="D16" i="14"/>
  <c r="S35" i="11"/>
  <c r="N49" i="11" s="1"/>
  <c r="T13" i="11"/>
  <c r="S17" i="11"/>
  <c r="T18" i="11"/>
  <c r="S11" i="11"/>
  <c r="N46" i="11" s="1"/>
  <c r="S28" i="11"/>
  <c r="N51" i="11" s="1"/>
  <c r="S7" i="11"/>
  <c r="N53" i="11" s="1"/>
  <c r="S24" i="11"/>
  <c r="S20" i="11"/>
  <c r="N44" i="11" s="1"/>
  <c r="S16" i="11"/>
  <c r="N43" i="11" s="1"/>
  <c r="S33" i="11"/>
  <c r="S26" i="11"/>
  <c r="S34" i="11"/>
  <c r="N48" i="11" s="1"/>
  <c r="T20" i="11"/>
  <c r="T27" i="11"/>
  <c r="T7" i="11"/>
  <c r="S8" i="11"/>
  <c r="T31" i="11"/>
  <c r="S31" i="11"/>
  <c r="N45" i="11" s="1"/>
  <c r="S14" i="11"/>
  <c r="S9" i="11"/>
  <c r="N52" i="11" s="1"/>
  <c r="T9" i="11"/>
  <c r="S36" i="11"/>
  <c r="T34" i="11"/>
  <c r="T33" i="11"/>
  <c r="T8" i="11"/>
  <c r="T36" i="11"/>
  <c r="S19" i="11"/>
  <c r="S29" i="11"/>
  <c r="S23" i="11"/>
  <c r="T12" i="11"/>
  <c r="T23" i="11"/>
  <c r="T11" i="11"/>
  <c r="T26" i="11"/>
  <c r="S22" i="11"/>
  <c r="T28" i="11"/>
  <c r="T21" i="11"/>
  <c r="S13" i="11"/>
  <c r="S18" i="11"/>
  <c r="T17" i="11"/>
  <c r="T22" i="11"/>
  <c r="T35" i="11"/>
  <c r="T14" i="11"/>
  <c r="T24" i="11"/>
  <c r="T19" i="11"/>
  <c r="S12" i="11"/>
  <c r="N47" i="11" s="1"/>
  <c r="T29" i="11"/>
  <c r="P19" i="13"/>
  <c r="H16" i="13" s="1"/>
  <c r="S27" i="11"/>
  <c r="N50" i="11" s="1"/>
  <c r="E16" i="14" l="1"/>
  <c r="D17" i="14"/>
  <c r="D18" i="14"/>
  <c r="C17" i="14"/>
  <c r="E13" i="14"/>
  <c r="G23" i="14"/>
  <c r="F23" i="14"/>
  <c r="F24" i="14" s="1"/>
  <c r="D23" i="14"/>
  <c r="D24" i="14" s="1"/>
  <c r="H13" i="14"/>
  <c r="E23" i="14"/>
  <c r="E24" i="14" s="1"/>
  <c r="C23" i="14"/>
  <c r="C24" i="14" s="1"/>
  <c r="D13" i="14"/>
  <c r="C13" i="14"/>
  <c r="G13" i="14"/>
  <c r="C8" i="14"/>
  <c r="E8" i="14"/>
  <c r="E9" i="14" s="1"/>
  <c r="D8" i="14"/>
  <c r="F13" i="14"/>
  <c r="F14" i="14" s="1"/>
  <c r="J16" i="13"/>
  <c r="E16" i="13"/>
  <c r="F16" i="13"/>
  <c r="C17" i="6"/>
  <c r="C18" i="6" s="1"/>
  <c r="D17" i="6"/>
  <c r="D18" i="6" s="1"/>
  <c r="I17" i="13"/>
  <c r="F17" i="13"/>
  <c r="H17" i="13"/>
  <c r="J17" i="13"/>
  <c r="E17" i="13"/>
  <c r="G17" i="13"/>
  <c r="H15" i="13"/>
  <c r="I15" i="13"/>
  <c r="G15" i="13"/>
  <c r="F15" i="13"/>
  <c r="E15" i="13"/>
  <c r="J15" i="13"/>
  <c r="I16" i="13"/>
  <c r="G16" i="13"/>
  <c r="D14" i="14" l="1"/>
  <c r="C9" i="14"/>
  <c r="D19" i="14"/>
  <c r="C19" i="14"/>
  <c r="G14" i="14"/>
  <c r="G24" i="14"/>
  <c r="D9" i="14"/>
  <c r="C14" i="14"/>
  <c r="H14" i="14"/>
  <c r="E14" i="14"/>
  <c r="E18" i="14"/>
  <c r="E19" i="14" s="1"/>
  <c r="E17"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Helene-Marie</author>
  </authors>
  <commentList>
    <comment ref="I3" authorId="0" shapeId="0" xr:uid="{0B08748D-4F90-4C67-AE17-E0C6A11E9D62}">
      <text>
        <r>
          <rPr>
            <b/>
            <sz val="9"/>
            <color indexed="81"/>
            <rFont val="Tahoma"/>
            <family val="2"/>
          </rPr>
          <t>Helene-Marie:</t>
        </r>
        <r>
          <rPr>
            <sz val="9"/>
            <color indexed="81"/>
            <rFont val="Tahoma"/>
            <family val="2"/>
          </rPr>
          <t xml:space="preserve">
Table 2.3 in the province-specific Census of Commerial Agriculture reports</t>
        </r>
      </text>
    </comment>
    <comment ref="K3" authorId="0" shapeId="0" xr:uid="{94697651-325F-4907-B23C-680FC680C45D}">
      <text>
        <r>
          <rPr>
            <b/>
            <sz val="9"/>
            <color indexed="81"/>
            <rFont val="Tahoma"/>
            <family val="2"/>
          </rPr>
          <t>Helene-Marie:</t>
        </r>
        <r>
          <rPr>
            <sz val="9"/>
            <color indexed="81"/>
            <rFont val="Tahoma"/>
            <family val="2"/>
          </rPr>
          <t xml:space="preserve">
Table 3.1  in the province-specific Census of Commerial Agriculture reports</t>
        </r>
      </text>
    </comment>
    <comment ref="M3" authorId="0" shapeId="0" xr:uid="{4D7BCAB0-B4FE-478A-B1C3-EA78055A0D4F}">
      <text>
        <r>
          <rPr>
            <b/>
            <sz val="9"/>
            <color indexed="81"/>
            <rFont val="Tahoma"/>
            <family val="2"/>
          </rPr>
          <t>Helene-Marie:</t>
        </r>
        <r>
          <rPr>
            <sz val="9"/>
            <color indexed="81"/>
            <rFont val="Tahoma"/>
            <family val="2"/>
          </rPr>
          <t xml:space="preserve">
Table 4.1. in the province-specific Census of Commerial Agriculture reports</t>
        </r>
      </text>
    </comment>
    <comment ref="J4" authorId="0" shapeId="0" xr:uid="{CF950972-69C6-4737-B5E3-8A61C52BCD1D}">
      <text>
        <r>
          <rPr>
            <b/>
            <sz val="9"/>
            <color indexed="81"/>
            <rFont val="Tahoma"/>
            <family val="2"/>
          </rPr>
          <t>Helene-Marie:</t>
        </r>
        <r>
          <rPr>
            <sz val="9"/>
            <color indexed="81"/>
            <rFont val="Tahoma"/>
            <family val="2"/>
          </rPr>
          <t xml:space="preserve">
Colour rule:
0,4-0,6 light green
0.6-0,8 darker green
0,8&lt; darkest green
This colour rule was also used to colour the agricultural maps in the paper.</t>
        </r>
      </text>
    </comment>
    <comment ref="L4" authorId="0" shapeId="0" xr:uid="{70E8E6AF-266F-45EB-9165-9CC45D65484A}">
      <text>
        <r>
          <rPr>
            <b/>
            <sz val="9"/>
            <color indexed="81"/>
            <rFont val="Tahoma"/>
            <family val="2"/>
          </rPr>
          <t>Helene-Marie:</t>
        </r>
        <r>
          <rPr>
            <sz val="9"/>
            <color indexed="81"/>
            <rFont val="Tahoma"/>
            <family val="2"/>
          </rPr>
          <t xml:space="preserve">
Colour rule: 
0,02 - 0,1 lightest green
0,1 - 0,2 darker green
0,2&lt; darkest green
This colour rule was also used to colour the agricultural maps in the paper.</t>
        </r>
      </text>
    </comment>
    <comment ref="M4" authorId="0" shapeId="0" xr:uid="{F16FF5C7-F50B-4462-B1BA-4EEB5038AB13}">
      <text>
        <r>
          <rPr>
            <b/>
            <sz val="9"/>
            <color indexed="81"/>
            <rFont val="Tahoma"/>
            <family val="2"/>
          </rPr>
          <t xml:space="preserve">Helene-Marie:
</t>
        </r>
        <r>
          <rPr>
            <sz val="9"/>
            <color indexed="81"/>
            <rFont val="Tahoma"/>
            <family val="2"/>
          </rPr>
          <t>Colour rule:
1000-4000 lightest green
4000-7000 darker green
7000&lt; darkest green
This colour rule was also used to colour the agricultural maps in the paper.</t>
        </r>
      </text>
    </comment>
    <comment ref="I5" authorId="0" shapeId="0" xr:uid="{A2D9E4C9-A87A-49F1-BEE2-A7F703AF2A32}">
      <text>
        <r>
          <rPr>
            <b/>
            <sz val="9"/>
            <color indexed="81"/>
            <rFont val="Tahoma"/>
            <family val="2"/>
          </rPr>
          <t>Helene-Marie:</t>
        </r>
        <r>
          <rPr>
            <sz val="9"/>
            <color indexed="81"/>
            <rFont val="Tahoma"/>
            <family val="2"/>
          </rPr>
          <t xml:space="preserve">
Hantam more than half, Karoo Hoogland, folloewd by KaMMIESBERG</t>
        </r>
      </text>
    </comment>
    <comment ref="I17" authorId="0" shapeId="0" xr:uid="{45793146-E725-4C8E-8980-E7E964EECA2F}">
      <text>
        <r>
          <rPr>
            <b/>
            <sz val="9"/>
            <color indexed="81"/>
            <rFont val="Tahoma"/>
            <family val="2"/>
          </rPr>
          <t>Helene-Marie:</t>
        </r>
        <r>
          <rPr>
            <sz val="9"/>
            <color indexed="81"/>
            <rFont val="Tahoma"/>
            <family val="2"/>
          </rPr>
          <t xml:space="preserve">
Similar,
Enthajeni
Kareeberg
Ubuntu
Umsobosdho</t>
        </r>
      </text>
    </comment>
    <comment ref="C41" authorId="0" shapeId="0" xr:uid="{73572E66-6FE6-4323-B41F-622F5CF11732}">
      <text>
        <r>
          <rPr>
            <b/>
            <sz val="9"/>
            <color indexed="81"/>
            <rFont val="Tahoma"/>
            <family val="2"/>
          </rPr>
          <t>Helene-Marie:</t>
        </r>
        <r>
          <rPr>
            <sz val="9"/>
            <color indexed="81"/>
            <rFont val="Tahoma"/>
            <family val="2"/>
          </rPr>
          <t xml:space="preserve">
Not mentioned in the Census, presumably due to low agricultural acitivity. Municipalities.co.za characterises land use in the area as follows: "Land use is largely for residential purposes, with some pieces of land falling under the control of traditional leadership."</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Helene-Marie</author>
  </authors>
  <commentList>
    <comment ref="E2" authorId="0" shapeId="0" xr:uid="{D4DA6789-C7F6-41AB-BE64-148A426CFB33}">
      <text>
        <r>
          <rPr>
            <b/>
            <sz val="9"/>
            <color indexed="81"/>
            <rFont val="Tahoma"/>
            <charset val="1"/>
          </rPr>
          <t>Helene-Marie:</t>
        </r>
        <r>
          <rPr>
            <sz val="9"/>
            <color indexed="81"/>
            <rFont val="Tahoma"/>
            <charset val="1"/>
          </rPr>
          <t xml:space="preserve">
Only upper and lower boundaries mentioned.</t>
        </r>
      </text>
    </comment>
    <comment ref="G3" authorId="0" shapeId="0" xr:uid="{A3C6EBA0-3597-403D-A09B-A7EC3EEF35B2}">
      <text>
        <r>
          <rPr>
            <b/>
            <sz val="9"/>
            <color indexed="81"/>
            <rFont val="Tahoma"/>
            <family val="2"/>
          </rPr>
          <t>Helene-Marie:</t>
        </r>
        <r>
          <rPr>
            <sz val="9"/>
            <color indexed="81"/>
            <rFont val="Tahoma"/>
            <family val="2"/>
          </rPr>
          <t xml:space="preserve">
Remember these elements probably still have other anions associated with them, so the pyrite content is lower than this.</t>
        </r>
      </text>
    </comment>
    <comment ref="B4" authorId="0" shapeId="0" xr:uid="{4FF6DB4A-748D-4A53-B70D-254A68CE41DD}">
      <text>
        <r>
          <rPr>
            <b/>
            <sz val="9"/>
            <color indexed="81"/>
            <rFont val="Tahoma"/>
            <family val="2"/>
          </rPr>
          <t>Helene-Marie:</t>
        </r>
        <r>
          <rPr>
            <sz val="9"/>
            <color indexed="81"/>
            <rFont val="Tahoma"/>
            <family val="2"/>
          </rPr>
          <t xml:space="preserve">
Pyrite assumed in the material, but not tested for</t>
        </r>
      </text>
    </comment>
    <comment ref="E4" authorId="0" shapeId="0" xr:uid="{4AD4AE2B-63C7-4722-98D3-1617EE3BE377}">
      <text>
        <r>
          <rPr>
            <b/>
            <sz val="9"/>
            <color indexed="81"/>
            <rFont val="Tahoma"/>
            <family val="2"/>
          </rPr>
          <t>Helene-Marie:</t>
        </r>
        <r>
          <rPr>
            <sz val="9"/>
            <color indexed="81"/>
            <rFont val="Tahoma"/>
            <family val="2"/>
          </rPr>
          <t xml:space="preserve">
Application rates were 0 kgS/ha, 40 kgS/ha, 80 kgS/ha, 120kgS/ha and 160kgS/ha. The extremes of application rates are mentioned here.</t>
        </r>
      </text>
    </comment>
    <comment ref="G4" authorId="0" shapeId="0" xr:uid="{3829F637-E7D2-43D0-8720-D49D64A26B75}">
      <text>
        <r>
          <rPr>
            <b/>
            <sz val="9"/>
            <color indexed="81"/>
            <rFont val="Tahoma"/>
            <family val="2"/>
          </rPr>
          <t>Helene-Marie:</t>
        </r>
        <r>
          <rPr>
            <sz val="9"/>
            <color indexed="81"/>
            <rFont val="Tahoma"/>
            <family val="2"/>
          </rPr>
          <t xml:space="preserve">
Calculation based on the 165,6 cg/kg 'total S' figure minus the 24,4 cg/kg 'available S' - assumed to be sulfate S</t>
        </r>
      </text>
    </comment>
    <comment ref="H4" authorId="0" shapeId="0" xr:uid="{27E78E1A-6437-48ED-B934-B87281E9565E}">
      <text>
        <r>
          <rPr>
            <b/>
            <sz val="9"/>
            <color indexed="81"/>
            <rFont val="Tahoma"/>
            <family val="2"/>
          </rPr>
          <t>Helene-Marie:</t>
        </r>
        <r>
          <rPr>
            <sz val="9"/>
            <color indexed="81"/>
            <rFont val="Tahoma"/>
            <family val="2"/>
          </rPr>
          <t xml:space="preserve">
This calculation is based on the kg S/ha number from Shamim, Khan &amp; Akae 2010 and the data in Table 1 of Shamim, Khan &amp; Akae 2010, showing that of the total sulfur (165,6 cmol S/kg), 24,4 cmol S/kg was 'available', therefore presumably in sulfate, rather than sulfide form. The rest of the S is assumed to be pyrite.</t>
        </r>
      </text>
    </comment>
    <comment ref="H5" authorId="0" shapeId="0" xr:uid="{6A7BB94A-723B-4C2B-9C8E-8D61A65323D6}">
      <text>
        <r>
          <rPr>
            <b/>
            <sz val="9"/>
            <color indexed="81"/>
            <rFont val="Tahoma"/>
            <family val="2"/>
          </rPr>
          <t>Helene-Marie:</t>
        </r>
        <r>
          <rPr>
            <sz val="9"/>
            <color indexed="81"/>
            <rFont val="Tahoma"/>
            <family val="2"/>
          </rPr>
          <t xml:space="preserve">
This calculation is based on the kg S/ha number from Shamim, Khan &amp; Akae 2010 and the data in Table 1 of Shamim, Khan &amp; Akae 2010, showing that of the total sulfur (165,6 cmol S/kg), 24,4 cmol S/kg was 'available', therefore presumably in sulfate, rather than sulfide form. The rest of the S is assumed to be pyrite.</t>
        </r>
      </text>
    </comment>
    <comment ref="E6" authorId="0" shapeId="0" xr:uid="{9B7E49F9-CDC9-475A-AE4C-9E454941DF60}">
      <text>
        <r>
          <rPr>
            <b/>
            <sz val="9"/>
            <color indexed="81"/>
            <rFont val="Tahoma"/>
            <family val="2"/>
          </rPr>
          <t>Helene-Marie:</t>
        </r>
        <r>
          <rPr>
            <sz val="9"/>
            <color indexed="81"/>
            <rFont val="Tahoma"/>
            <family val="2"/>
          </rPr>
          <t xml:space="preserve">
Application rates were  3 g/kg, 5 g/kg, 7 g/kg, and 10 g/kg. The extremes of application rates are mentioned here.</t>
        </r>
      </text>
    </comment>
    <comment ref="G6" authorId="0" shapeId="0" xr:uid="{A56106FE-54E0-4B83-AF1C-E69DCD0BC980}">
      <text>
        <r>
          <rPr>
            <b/>
            <sz val="9"/>
            <color indexed="81"/>
            <rFont val="Tahoma"/>
            <family val="2"/>
          </rPr>
          <t>Helene-Marie:</t>
        </r>
        <r>
          <rPr>
            <sz val="9"/>
            <color indexed="81"/>
            <rFont val="Tahoma"/>
            <family val="2"/>
          </rPr>
          <t xml:space="preserve">
Based on data from Table 2 in Tozsin &amp; Arol 2015</t>
        </r>
      </text>
    </comment>
    <comment ref="H6" authorId="0" shapeId="0" xr:uid="{80688DC9-7919-45DF-A34B-6F601825B6D2}">
      <text>
        <r>
          <rPr>
            <b/>
            <sz val="9"/>
            <color indexed="81"/>
            <rFont val="Tahoma"/>
            <family val="2"/>
          </rPr>
          <t>Helene-Marie:</t>
        </r>
        <r>
          <rPr>
            <sz val="9"/>
            <color indexed="81"/>
            <rFont val="Tahoma"/>
            <family val="2"/>
          </rPr>
          <t xml:space="preserve">
Assuming that the pyrite application is calculated based on impacts on the top 20cm of soil.</t>
        </r>
      </text>
    </comment>
    <comment ref="H7" authorId="0" shapeId="0" xr:uid="{6AF1F29E-ED50-494D-934E-07606C011F38}">
      <text>
        <r>
          <rPr>
            <b/>
            <sz val="9"/>
            <color indexed="81"/>
            <rFont val="Tahoma"/>
            <family val="2"/>
          </rPr>
          <t>Helene-Marie:</t>
        </r>
        <r>
          <rPr>
            <sz val="9"/>
            <color indexed="81"/>
            <rFont val="Tahoma"/>
            <family val="2"/>
          </rPr>
          <t xml:space="preserve">
Assuming that the pyrite application is calculated based on impacts on the top 20cm of soil.</t>
        </r>
      </text>
    </comment>
    <comment ref="G10" authorId="0" shapeId="0" xr:uid="{03FD7830-42CF-4FA9-8642-3F85809C1865}">
      <text>
        <r>
          <rPr>
            <b/>
            <sz val="9"/>
            <color indexed="81"/>
            <rFont val="Tahoma"/>
            <charset val="1"/>
          </rPr>
          <t>Helene-Marie:</t>
        </r>
        <r>
          <rPr>
            <sz val="9"/>
            <color indexed="81"/>
            <rFont val="Tahoma"/>
            <charset val="1"/>
          </rPr>
          <t xml:space="preserve">
This is the average of 47.7kg/ha (relevant for particle size distribution 2) and 44.4kg/ha (relevant for particle size distribution 3)</t>
        </r>
      </text>
    </comment>
    <comment ref="L10" authorId="0" shapeId="0" xr:uid="{E29B5E53-CF50-4410-81A8-A33D5D3FDB76}">
      <text>
        <r>
          <rPr>
            <b/>
            <sz val="9"/>
            <color indexed="81"/>
            <rFont val="Tahoma"/>
            <family val="2"/>
          </rPr>
          <t>Helene-Marie:</t>
        </r>
        <r>
          <rPr>
            <sz val="9"/>
            <color indexed="81"/>
            <rFont val="Tahoma"/>
            <family val="2"/>
          </rPr>
          <t xml:space="preserve">
D80's read from a graph drawn from their particle size distribution numbers.</t>
        </r>
      </text>
    </comment>
    <comment ref="H14" authorId="0" shapeId="0" xr:uid="{8B7369FB-4D93-4603-88EC-12E37233B33F}">
      <text>
        <r>
          <rPr>
            <b/>
            <sz val="9"/>
            <color indexed="81"/>
            <rFont val="Tahoma"/>
            <family val="2"/>
          </rPr>
          <t>Helene-Marie:</t>
        </r>
        <r>
          <rPr>
            <sz val="9"/>
            <color indexed="81"/>
            <rFont val="Tahoma"/>
            <family val="2"/>
          </rPr>
          <t xml:space="preserve">
9% of the total S is water soluble.</t>
        </r>
      </text>
    </comment>
    <comment ref="G16" authorId="0" shapeId="0" xr:uid="{5F4BBA20-3D45-47AF-B558-9B9F81BC63A0}">
      <text>
        <r>
          <rPr>
            <b/>
            <sz val="9"/>
            <color indexed="81"/>
            <rFont val="Tahoma"/>
            <family val="2"/>
          </rPr>
          <t>Helene-Marie:</t>
        </r>
        <r>
          <rPr>
            <sz val="9"/>
            <color indexed="81"/>
            <rFont val="Tahoma"/>
            <family val="2"/>
          </rPr>
          <t xml:space="preserve">
They had three different pyritic materials, but all had similar sulfur content - I reported the one with the highest soluble sulfur, which yielded the best results.</t>
        </r>
      </text>
    </comment>
    <comment ref="H16" authorId="0" shapeId="0" xr:uid="{C31E65B1-CC6A-481F-82CE-1E41AA05B161}">
      <text>
        <r>
          <rPr>
            <b/>
            <sz val="9"/>
            <color indexed="81"/>
            <rFont val="Tahoma"/>
            <family val="2"/>
          </rPr>
          <t>Helene-Marie:</t>
        </r>
        <r>
          <rPr>
            <sz val="9"/>
            <color indexed="81"/>
            <rFont val="Tahoma"/>
            <family val="2"/>
          </rPr>
          <t xml:space="preserve">
This is for the one soil they used that had a on a GR of 30 t/ha.</t>
        </r>
      </text>
    </comment>
    <comment ref="H18" authorId="0" shapeId="0" xr:uid="{DDB581C7-2645-4BBF-A9F5-DF4460268D50}">
      <text>
        <r>
          <rPr>
            <b/>
            <sz val="9"/>
            <color indexed="81"/>
            <rFont val="Tahoma"/>
            <family val="2"/>
          </rPr>
          <t>Helene-Marie:</t>
        </r>
        <r>
          <rPr>
            <sz val="9"/>
            <color indexed="81"/>
            <rFont val="Tahoma"/>
            <family val="2"/>
          </rPr>
          <t xml:space="preserve">
This was for a soil they used with a GR of 40 t/ha</t>
        </r>
      </text>
    </comment>
    <comment ref="G22" authorId="0" shapeId="0" xr:uid="{706EA10B-80F5-44DF-826F-EEDC8B6F6C2B}">
      <text>
        <r>
          <rPr>
            <b/>
            <sz val="9"/>
            <color indexed="81"/>
            <rFont val="Tahoma"/>
            <family val="2"/>
          </rPr>
          <t>Helene-Marie:</t>
        </r>
        <r>
          <rPr>
            <sz val="9"/>
            <color indexed="81"/>
            <rFont val="Tahoma"/>
            <family val="2"/>
          </rPr>
          <t xml:space="preserve">
Almost pure presumably</t>
        </r>
      </text>
    </comment>
    <comment ref="H22" authorId="0" shapeId="0" xr:uid="{B748507A-1AE5-4C27-939D-2B47B817688A}">
      <text>
        <r>
          <rPr>
            <b/>
            <sz val="9"/>
            <color indexed="81"/>
            <rFont val="Tahoma"/>
            <family val="2"/>
          </rPr>
          <t>Helene-Marie:</t>
        </r>
        <r>
          <rPr>
            <sz val="9"/>
            <color indexed="81"/>
            <rFont val="Tahoma"/>
            <family val="2"/>
          </rPr>
          <t xml:space="preserve">
Assuming that the gunbarrel soil used in the experiments have a similar density to Tozsin &amp; Arol 2015</t>
        </r>
      </text>
    </comment>
    <comment ref="K26" authorId="0" shapeId="0" xr:uid="{4078EBCD-2E04-4BC1-AE29-436526CF482C}">
      <text>
        <r>
          <rPr>
            <b/>
            <sz val="9"/>
            <color indexed="81"/>
            <rFont val="Tahoma"/>
            <family val="2"/>
          </rPr>
          <t>Helene-Marie:</t>
        </r>
        <r>
          <rPr>
            <sz val="9"/>
            <color indexed="81"/>
            <rFont val="Tahoma"/>
            <family val="2"/>
          </rPr>
          <t xml:space="preserve">
soil density according to Tozsin &amp; Arol 2015</t>
        </r>
      </text>
    </comment>
    <comment ref="K27" authorId="0" shapeId="0" xr:uid="{010E0131-2838-4109-AC3C-EEF385509CFB}">
      <text>
        <r>
          <rPr>
            <b/>
            <sz val="9"/>
            <color indexed="81"/>
            <rFont val="Tahoma"/>
            <family val="2"/>
          </rPr>
          <t>Helene-Marie:</t>
        </r>
        <r>
          <rPr>
            <sz val="9"/>
            <color indexed="81"/>
            <rFont val="Tahoma"/>
            <family val="2"/>
          </rPr>
          <t xml:space="preserve">
The depth of Tozin &amp; Arol 2015's column experiments</t>
        </r>
      </text>
    </comment>
    <comment ref="D32" authorId="0" shapeId="0" xr:uid="{8B7854CA-8EEA-4298-B102-D89C2A198533}">
      <text>
        <r>
          <rPr>
            <b/>
            <sz val="9"/>
            <color indexed="81"/>
            <rFont val="Tahoma"/>
            <family val="2"/>
          </rPr>
          <t>Helene-Marie:</t>
        </r>
        <r>
          <rPr>
            <sz val="9"/>
            <color indexed="81"/>
            <rFont val="Tahoma"/>
            <family val="2"/>
          </rPr>
          <t xml:space="preserve">
From Characterisation of S-rich material data entry, flotation test results tab, max achieved pyrite content. (The separation process has not been optimised yet)</t>
        </r>
      </text>
    </comment>
    <comment ref="D33" authorId="0" shapeId="0" xr:uid="{990A098D-182B-4BA9-9CB7-0E60B46B379A}">
      <text>
        <r>
          <rPr>
            <b/>
            <sz val="9"/>
            <color indexed="81"/>
            <rFont val="Tahoma"/>
            <family val="2"/>
          </rPr>
          <t>Helene-Marie:</t>
        </r>
        <r>
          <rPr>
            <sz val="9"/>
            <color indexed="81"/>
            <rFont val="Tahoma"/>
            <family val="2"/>
          </rPr>
          <t xml:space="preserve">
Assumption based on Jera, 2013 and Fundikwa, Harrison and Broadhurst 2016</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Helene-Marie</author>
  </authors>
  <commentList>
    <comment ref="D5" authorId="0" shapeId="0" xr:uid="{26C6AF28-1E32-4FA3-8D89-0B57BC251456}">
      <text>
        <r>
          <rPr>
            <b/>
            <sz val="9"/>
            <color indexed="81"/>
            <rFont val="Tahoma"/>
            <family val="2"/>
          </rPr>
          <t>Helene-Marie:</t>
        </r>
        <r>
          <rPr>
            <sz val="9"/>
            <color indexed="81"/>
            <rFont val="Tahoma"/>
            <family val="2"/>
          </rPr>
          <t xml:space="preserve">
The first route between two town suggested by Google was taken</t>
        </r>
      </text>
    </comment>
    <comment ref="N5" authorId="0" shapeId="0" xr:uid="{02CB538F-9B32-47DA-BF3F-62584E59C05D}">
      <text>
        <r>
          <rPr>
            <b/>
            <sz val="9"/>
            <color indexed="81"/>
            <rFont val="Tahoma"/>
            <family val="2"/>
          </rPr>
          <t>Helene-Marie:</t>
        </r>
        <r>
          <rPr>
            <sz val="9"/>
            <color indexed="81"/>
            <rFont val="Tahoma"/>
            <family val="2"/>
          </rPr>
          <t xml:space="preserve">
As calculated by Google Maps</t>
        </r>
      </text>
    </comment>
    <comment ref="O5" authorId="0" shapeId="0" xr:uid="{26699398-A089-43B0-BFB5-B7BB901EDFF1}">
      <text>
        <r>
          <rPr>
            <b/>
            <sz val="9"/>
            <color indexed="81"/>
            <rFont val="Tahoma"/>
            <family val="2"/>
          </rPr>
          <t>Helene-Marie:</t>
        </r>
        <r>
          <rPr>
            <sz val="9"/>
            <color indexed="81"/>
            <rFont val="Tahoma"/>
            <family val="2"/>
          </rPr>
          <t xml:space="preserve">
As calculated by Google Maps</t>
        </r>
      </text>
    </comment>
    <comment ref="P5" authorId="0" shapeId="0" xr:uid="{DFA79478-3C9D-401E-92D8-577A155EA2C3}">
      <text>
        <r>
          <rPr>
            <b/>
            <sz val="9"/>
            <color indexed="81"/>
            <rFont val="Tahoma"/>
            <family val="2"/>
          </rPr>
          <t>Helene-Marie:</t>
        </r>
        <r>
          <rPr>
            <sz val="9"/>
            <color indexed="81"/>
            <rFont val="Tahoma"/>
            <family val="2"/>
          </rPr>
          <t xml:space="preserve">
As calculated by Google Maps</t>
        </r>
      </text>
    </comment>
    <comment ref="C8" authorId="0" shapeId="0" xr:uid="{66FFD17E-A5CB-40AC-99F8-D4C4AEE0C602}">
      <text>
        <r>
          <rPr>
            <b/>
            <sz val="9"/>
            <color indexed="81"/>
            <rFont val="Tahoma"/>
            <family val="2"/>
          </rPr>
          <t>Helene-Marie:</t>
        </r>
        <r>
          <rPr>
            <sz val="9"/>
            <color indexed="81"/>
            <rFont val="Tahoma"/>
            <family val="2"/>
          </rPr>
          <t xml:space="preserve">
According to Braun (2019) Truck operating indicators, shown in "Transport cost comparison calc" in the top right of this tab.</t>
        </r>
      </text>
    </comment>
    <comment ref="B13" authorId="0" shapeId="0" xr:uid="{6DEABE7D-AD74-45BB-8B95-9E9F8CEACBB0}">
      <text>
        <r>
          <rPr>
            <b/>
            <sz val="9"/>
            <color indexed="81"/>
            <rFont val="Tahoma"/>
            <family val="2"/>
          </rPr>
          <t>Helene-Marie:</t>
        </r>
        <r>
          <rPr>
            <sz val="9"/>
            <color indexed="81"/>
            <rFont val="Tahoma"/>
            <family val="2"/>
          </rPr>
          <t xml:space="preserve">
(Kalkor (Pty) Ltd 2019)</t>
        </r>
      </text>
    </comment>
    <comment ref="F13" authorId="0" shapeId="0" xr:uid="{54E3583C-58E0-4AB9-9FC0-0AA0F1FB8D89}">
      <text>
        <r>
          <rPr>
            <b/>
            <sz val="9"/>
            <color indexed="81"/>
            <rFont val="Tahoma"/>
            <family val="2"/>
          </rPr>
          <t>Helene-Marie:</t>
        </r>
        <r>
          <rPr>
            <sz val="9"/>
            <color indexed="81"/>
            <rFont val="Tahoma"/>
            <family val="2"/>
          </rPr>
          <t xml:space="preserve">
According to a farmer in Kakemas
</t>
        </r>
      </text>
    </comment>
    <comment ref="B14" authorId="0" shapeId="0" xr:uid="{7743EE81-B307-4110-9004-CA27D0EF7C8A}">
      <text>
        <r>
          <rPr>
            <b/>
            <sz val="9"/>
            <color indexed="81"/>
            <rFont val="Tahoma"/>
            <family val="2"/>
          </rPr>
          <t>Helene-Marie:</t>
        </r>
        <r>
          <rPr>
            <sz val="9"/>
            <color indexed="81"/>
            <rFont val="Tahoma"/>
            <family val="2"/>
          </rPr>
          <t xml:space="preserve">
(Kalkor (Pty) Ltd 2019)</t>
        </r>
      </text>
    </comment>
    <comment ref="B15" authorId="0" shapeId="0" xr:uid="{CD54201E-FE17-4C53-93B9-07AACB7EE9EF}">
      <text>
        <r>
          <rPr>
            <b/>
            <sz val="9"/>
            <color indexed="81"/>
            <rFont val="Tahoma"/>
            <family val="2"/>
          </rPr>
          <t>Helene-Marie:</t>
        </r>
        <r>
          <rPr>
            <sz val="9"/>
            <color indexed="81"/>
            <rFont val="Tahoma"/>
            <family val="2"/>
          </rPr>
          <t xml:space="preserve">
(Kalkor (Pty) Ltd 2019)</t>
        </r>
      </text>
    </comment>
    <comment ref="AB18" authorId="0" shapeId="0" xr:uid="{BD3D159B-B9FF-4A13-97FF-B5CA6DFBBB78}">
      <text>
        <r>
          <rPr>
            <b/>
            <sz val="9"/>
            <color indexed="81"/>
            <rFont val="Tahoma"/>
            <family val="2"/>
          </rPr>
          <t>Helene-Marie:</t>
        </r>
        <r>
          <rPr>
            <sz val="9"/>
            <color indexed="81"/>
            <rFont val="Tahoma"/>
            <family val="2"/>
          </rPr>
          <t xml:space="preserve">
This number seems quite low, but the petrol price increased substantially in April and May</t>
        </r>
      </text>
    </comment>
    <comment ref="AC18" authorId="0" shapeId="0" xr:uid="{6F5E6B28-9261-4E22-9389-80ABC75FE477}">
      <text>
        <r>
          <rPr>
            <b/>
            <sz val="9"/>
            <color indexed="81"/>
            <rFont val="Tahoma"/>
            <family val="2"/>
          </rPr>
          <t>Helene-Marie:</t>
        </r>
        <r>
          <rPr>
            <sz val="9"/>
            <color indexed="81"/>
            <rFont val="Tahoma"/>
            <family val="2"/>
          </rPr>
          <t xml:space="preserve">
This number is very similar to the SA CPI increase seen in block J3</t>
        </r>
      </text>
    </comment>
    <comment ref="U31" authorId="0" shapeId="0" xr:uid="{E56F0C70-B02F-4EDD-9A50-B697E4FEA3D6}">
      <text>
        <r>
          <rPr>
            <b/>
            <sz val="9"/>
            <color indexed="81"/>
            <rFont val="Tahoma"/>
            <family val="2"/>
          </rPr>
          <t>Helene-Marie:</t>
        </r>
        <r>
          <rPr>
            <sz val="9"/>
            <color indexed="81"/>
            <rFont val="Tahoma"/>
            <family val="2"/>
          </rPr>
          <t xml:space="preserve">
Assume same price as Middelburg</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Helene-Marie</author>
  </authors>
  <commentList>
    <comment ref="K3" authorId="0" shapeId="0" xr:uid="{FB4558CF-DB82-4A13-9332-50D306C98ACE}">
      <text>
        <r>
          <rPr>
            <b/>
            <sz val="9"/>
            <color indexed="81"/>
            <rFont val="Tahoma"/>
            <family val="2"/>
          </rPr>
          <t>Helene-Marie:</t>
        </r>
        <r>
          <rPr>
            <sz val="9"/>
            <color indexed="81"/>
            <rFont val="Tahoma"/>
            <family val="2"/>
          </rPr>
          <t xml:space="preserve">
From SACRSC (2011) Overview of the South African Coal Value Chain p. 126 - the coal waste production figures are between 60 Mtpa and 65 Mtpa, which were averaged to get this figure.</t>
        </r>
      </text>
    </comment>
    <comment ref="C4" authorId="0" shapeId="0" xr:uid="{6A73E8B0-1E73-48A9-931C-B823059725E8}">
      <text>
        <r>
          <rPr>
            <b/>
            <sz val="9"/>
            <color indexed="81"/>
            <rFont val="Tahoma"/>
            <family val="2"/>
          </rPr>
          <t>Helene-Marie:</t>
        </r>
        <r>
          <rPr>
            <sz val="9"/>
            <color indexed="81"/>
            <rFont val="Tahoma"/>
            <family val="2"/>
          </rPr>
          <t xml:space="preserve">
The average farm size in all the areas of interest - from the 2017 Detailed commodity stats tab. This figure is pulled up by the large areas used for grazing and down by the fact that small holder farms are included. </t>
        </r>
      </text>
    </comment>
    <comment ref="K4" authorId="0" shapeId="0" xr:uid="{FA22980E-D335-4ECF-8F8D-578135A1B912}">
      <text>
        <r>
          <rPr>
            <b/>
            <sz val="9"/>
            <color indexed="81"/>
            <rFont val="Tahoma"/>
            <family val="2"/>
          </rPr>
          <t>Helene-Marie:</t>
        </r>
        <r>
          <rPr>
            <sz val="9"/>
            <color indexed="81"/>
            <rFont val="Tahoma"/>
            <family val="2"/>
          </rPr>
          <t xml:space="preserve">
From SACRSC (2011) Overview of the South African Coal Value Chain p.46 Table 21.</t>
        </r>
      </text>
    </comment>
    <comment ref="K8" authorId="0" shapeId="0" xr:uid="{3F068141-257B-4B3D-B7D9-7120F1D11F14}">
      <text>
        <r>
          <rPr>
            <b/>
            <sz val="9"/>
            <color indexed="81"/>
            <rFont val="Tahoma"/>
            <charset val="1"/>
          </rPr>
          <t>Helene-Marie:</t>
        </r>
        <r>
          <rPr>
            <sz val="9"/>
            <color indexed="81"/>
            <rFont val="Tahoma"/>
            <charset val="1"/>
          </rPr>
          <t xml:space="preserve">
Minimum stream size achieved in UCT's flotation test results. Number can be found in Data for characterisation of s-rich excel sheet, in the Flotation Test Results tab.</t>
        </r>
      </text>
    </comment>
    <comment ref="L8" authorId="0" shapeId="0" xr:uid="{F1C5B958-C90B-4864-91A9-1E316D25EC19}">
      <text>
        <r>
          <rPr>
            <b/>
            <sz val="9"/>
            <color indexed="81"/>
            <rFont val="Tahoma"/>
            <charset val="1"/>
          </rPr>
          <t>Helene-Marie:</t>
        </r>
        <r>
          <rPr>
            <sz val="9"/>
            <color indexed="81"/>
            <rFont val="Tahoma"/>
            <charset val="1"/>
          </rPr>
          <t xml:space="preserve">
Maximum stream size achieved in UCT's flotation test results. Number can be found in Data for characterisation of s-rich excel sheet, in the Flotation Test Results tab.</t>
        </r>
      </text>
    </comment>
    <comment ref="C14" authorId="0" shapeId="0" xr:uid="{8C34FE02-81B7-4226-AAEB-1BD9668B55F0}">
      <text>
        <r>
          <rPr>
            <b/>
            <sz val="9"/>
            <color indexed="81"/>
            <rFont val="Tahoma"/>
            <family val="2"/>
          </rPr>
          <t>Helene-Marie:</t>
        </r>
        <r>
          <rPr>
            <sz val="9"/>
            <color indexed="81"/>
            <rFont val="Tahoma"/>
            <family val="2"/>
          </rPr>
          <t xml:space="preserve">
The average farm size in all the areas of interest - from the 2017 Detailed commodity stats tab. This figure is pulled up by the large areas used for grazing and down by the fact that small holder farms are included.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Helene-Marie</author>
  </authors>
  <commentList>
    <comment ref="C5" authorId="0" shapeId="0" xr:uid="{D44977A5-06DD-4462-AA31-DB9AA7159AD3}">
      <text>
        <r>
          <rPr>
            <b/>
            <sz val="9"/>
            <color indexed="81"/>
            <rFont val="Tahoma"/>
            <family val="2"/>
          </rPr>
          <t>Helene-Marie:</t>
        </r>
        <r>
          <rPr>
            <sz val="9"/>
            <color indexed="81"/>
            <rFont val="Tahoma"/>
            <family val="2"/>
          </rPr>
          <t xml:space="preserve">
Road transport cost in R/t.km for a fully utilised truck, from the Transport &amp; mass balance tab</t>
        </r>
      </text>
    </comment>
    <comment ref="D5" authorId="0" shapeId="0" xr:uid="{8F987E71-F5B0-447E-B623-61E1C46A9DBA}">
      <text>
        <r>
          <rPr>
            <b/>
            <sz val="9"/>
            <color indexed="81"/>
            <rFont val="Tahoma"/>
            <family val="2"/>
          </rPr>
          <t>Helene-Marie:</t>
        </r>
        <r>
          <rPr>
            <sz val="9"/>
            <color indexed="81"/>
            <rFont val="Tahoma"/>
            <family val="2"/>
          </rPr>
          <t xml:space="preserve">
Interpolated transport cost for 75% truck utilisation in R/t.km.</t>
        </r>
      </text>
    </comment>
    <comment ref="E5" authorId="0" shapeId="0" xr:uid="{8C18170E-0E15-457D-A650-72C315E23FBA}">
      <text>
        <r>
          <rPr>
            <b/>
            <sz val="9"/>
            <color indexed="81"/>
            <rFont val="Tahoma"/>
            <family val="2"/>
          </rPr>
          <t>Helene-Marie:</t>
        </r>
        <r>
          <rPr>
            <sz val="9"/>
            <color indexed="81"/>
            <rFont val="Tahoma"/>
            <family val="2"/>
          </rPr>
          <t xml:space="preserve">
Transport cost for a truck that is empty on its return leg, i.e. 50% utilisation rate, from the Transport &amp; mass balance tab.</t>
        </r>
      </text>
    </comment>
    <comment ref="C11" authorId="0" shapeId="0" xr:uid="{0DECED3F-A06A-4D44-A4B4-9709E42D0747}">
      <text>
        <r>
          <rPr>
            <b/>
            <sz val="9"/>
            <color indexed="81"/>
            <rFont val="Tahoma"/>
            <family val="2"/>
          </rPr>
          <t>Helene-Marie:</t>
        </r>
        <r>
          <rPr>
            <sz val="9"/>
            <color indexed="81"/>
            <rFont val="Tahoma"/>
            <family val="2"/>
          </rPr>
          <t xml:space="preserve">
Min achieved pyrite content from Data for characterisation of S-rich spreadsheet in the Flotation Test Results tab.</t>
        </r>
      </text>
    </comment>
    <comment ref="D11" authorId="0" shapeId="0" xr:uid="{5A429FB9-6583-4AE9-BBF5-763F73459AE7}">
      <text>
        <r>
          <rPr>
            <b/>
            <sz val="9"/>
            <color indexed="81"/>
            <rFont val="Tahoma"/>
            <charset val="1"/>
          </rPr>
          <t>Helene-Marie:</t>
        </r>
        <r>
          <rPr>
            <sz val="9"/>
            <color indexed="81"/>
            <rFont val="Tahoma"/>
            <charset val="1"/>
          </rPr>
          <t xml:space="preserve">
Interpolation between mininmum number and average number, done to make the curve more complete</t>
        </r>
      </text>
    </comment>
    <comment ref="E11" authorId="0" shapeId="0" xr:uid="{1CC7B467-7E56-49C7-9275-A79DD0112E85}">
      <text>
        <r>
          <rPr>
            <b/>
            <sz val="9"/>
            <color indexed="81"/>
            <rFont val="Tahoma"/>
            <family val="2"/>
          </rPr>
          <t>Helene-Marie:</t>
        </r>
        <r>
          <rPr>
            <sz val="9"/>
            <color indexed="81"/>
            <rFont val="Tahoma"/>
            <family val="2"/>
          </rPr>
          <t xml:space="preserve">
Average pyrite content from the Characterisation of S-rich spreadsheet in the Flotation Test Results tab.</t>
        </r>
      </text>
    </comment>
    <comment ref="F11" authorId="0" shapeId="0" xr:uid="{3770ECBE-02C0-4A35-B787-3D963CE4F8DC}">
      <text>
        <r>
          <rPr>
            <b/>
            <sz val="9"/>
            <color indexed="81"/>
            <rFont val="Tahoma"/>
            <family val="2"/>
          </rPr>
          <t>Helene-Marie:</t>
        </r>
        <r>
          <rPr>
            <sz val="9"/>
            <color indexed="81"/>
            <rFont val="Tahoma"/>
            <family val="2"/>
          </rPr>
          <t xml:space="preserve">
Max experimentally achieved pyrite from Charaterisation of S-rich spreadsheet, Flotation Test Results tab.</t>
        </r>
      </text>
    </comment>
    <comment ref="G11" authorId="0" shapeId="0" xr:uid="{C80CAE0F-F3C3-4DFB-9C7A-1EF9BE0DC59D}">
      <text>
        <r>
          <rPr>
            <b/>
            <sz val="9"/>
            <color indexed="81"/>
            <rFont val="Tahoma"/>
            <family val="2"/>
          </rPr>
          <t>Helene-Marie:</t>
        </r>
        <r>
          <rPr>
            <sz val="9"/>
            <color indexed="81"/>
            <rFont val="Tahoma"/>
            <family val="2"/>
          </rPr>
          <t xml:space="preserve">
Extrapolated high pyrite content</t>
        </r>
      </text>
    </comment>
    <comment ref="H11" authorId="0" shapeId="0" xr:uid="{A322FFDB-8C21-4ACB-9226-79EB931F1163}">
      <text>
        <r>
          <rPr>
            <b/>
            <sz val="9"/>
            <color indexed="81"/>
            <rFont val="Tahoma"/>
            <charset val="1"/>
          </rPr>
          <t>Helene-Marie:</t>
        </r>
        <r>
          <rPr>
            <sz val="9"/>
            <color indexed="81"/>
            <rFont val="Tahoma"/>
            <charset val="1"/>
          </rPr>
          <t xml:space="preserve">
Extrapolated very high pyrite content, just for the purposes of completing the graph</t>
        </r>
      </text>
    </comment>
    <comment ref="C16" authorId="0" shapeId="0" xr:uid="{7E4A5D98-D4A0-480D-BC46-1C136E1690A8}">
      <text>
        <r>
          <rPr>
            <b/>
            <sz val="9"/>
            <color indexed="81"/>
            <rFont val="Tahoma"/>
            <family val="2"/>
          </rPr>
          <t>Helene-Marie:</t>
        </r>
        <r>
          <rPr>
            <sz val="9"/>
            <color indexed="81"/>
            <rFont val="Tahoma"/>
            <family val="2"/>
          </rPr>
          <t xml:space="preserve">
Grazing application rates from the application rates tab.</t>
        </r>
      </text>
    </comment>
    <comment ref="D16" authorId="0" shapeId="0" xr:uid="{7B50BE77-8B08-4010-BE3C-ECE6D3CB2A4D}">
      <text>
        <r>
          <rPr>
            <b/>
            <sz val="9"/>
            <color indexed="81"/>
            <rFont val="Tahoma"/>
            <family val="2"/>
          </rPr>
          <t>Helene-Marie:</t>
        </r>
        <r>
          <rPr>
            <sz val="9"/>
            <color indexed="81"/>
            <rFont val="Tahoma"/>
            <family val="2"/>
          </rPr>
          <t xml:space="preserve">
Field crop application rates from the Application rates tab.</t>
        </r>
      </text>
    </comment>
    <comment ref="E16" authorId="0" shapeId="0" xr:uid="{884806F0-0CD5-41D4-9C38-ADC379B4A30F}">
      <text>
        <r>
          <rPr>
            <b/>
            <sz val="9"/>
            <color indexed="81"/>
            <rFont val="Tahoma"/>
            <family val="2"/>
          </rPr>
          <t xml:space="preserve">Helene-Marie
</t>
        </r>
        <r>
          <rPr>
            <sz val="9"/>
            <color indexed="81"/>
            <rFont val="Tahoma"/>
            <family val="2"/>
          </rPr>
          <t>An extrapolated number</t>
        </r>
      </text>
    </comment>
    <comment ref="C21" authorId="0" shapeId="0" xr:uid="{5B75E63F-75C4-4846-ADFA-D1DA05C4CCBC}">
      <text>
        <r>
          <rPr>
            <b/>
            <sz val="9"/>
            <color indexed="81"/>
            <rFont val="Tahoma"/>
            <charset val="1"/>
          </rPr>
          <t>Helene-Marie:</t>
        </r>
        <r>
          <rPr>
            <sz val="9"/>
            <color indexed="81"/>
            <rFont val="Tahoma"/>
            <charset val="1"/>
          </rPr>
          <t xml:space="preserve">
Actual road transport cost for 2017, according to Braun (2019)</t>
        </r>
      </text>
    </comment>
    <comment ref="D21" authorId="0" shapeId="0" xr:uid="{7757ACFA-25D5-4D3A-8F03-0EAACFE58CC7}">
      <text>
        <r>
          <rPr>
            <b/>
            <sz val="9"/>
            <color indexed="81"/>
            <rFont val="Tahoma"/>
            <charset val="1"/>
          </rPr>
          <t>Helene-Marie:</t>
        </r>
        <r>
          <rPr>
            <sz val="9"/>
            <color indexed="81"/>
            <rFont val="Tahoma"/>
            <charset val="1"/>
          </rPr>
          <t xml:space="preserve">
Road transport cost for 2018, calculated using CPI figures</t>
        </r>
      </text>
    </comment>
    <comment ref="E21" authorId="0" shapeId="0" xr:uid="{78477220-76AA-4D2B-B94D-36AC5CE7F23E}">
      <text>
        <r>
          <rPr>
            <b/>
            <sz val="9"/>
            <color indexed="81"/>
            <rFont val="Tahoma"/>
            <charset val="1"/>
          </rPr>
          <t>Helene-Marie:</t>
        </r>
        <r>
          <rPr>
            <sz val="9"/>
            <color indexed="81"/>
            <rFont val="Tahoma"/>
            <charset val="1"/>
          </rPr>
          <t xml:space="preserve">
Actual road transport cost for 2019, according to Braun (2019)</t>
        </r>
      </text>
    </comment>
    <comment ref="F21" authorId="0" shapeId="0" xr:uid="{C1B9BACC-7088-41A8-8BF7-F0BB3515AC38}">
      <text>
        <r>
          <rPr>
            <b/>
            <sz val="9"/>
            <color indexed="81"/>
            <rFont val="Tahoma"/>
            <charset val="1"/>
          </rPr>
          <t>Helene-Marie:</t>
        </r>
        <r>
          <rPr>
            <sz val="9"/>
            <color indexed="81"/>
            <rFont val="Tahoma"/>
            <charset val="1"/>
          </rPr>
          <t xml:space="preserve">
Road transport cost for 2021, calculated using CPI figures</t>
        </r>
      </text>
    </comment>
    <comment ref="G21" authorId="0" shapeId="0" xr:uid="{F58FB3E0-0867-4C2E-899C-692BF079B962}">
      <text>
        <r>
          <rPr>
            <b/>
            <sz val="9"/>
            <color indexed="81"/>
            <rFont val="Tahoma"/>
            <charset val="1"/>
          </rPr>
          <t>Helene-Marie:</t>
        </r>
        <r>
          <rPr>
            <sz val="9"/>
            <color indexed="81"/>
            <rFont val="Tahoma"/>
            <charset val="1"/>
          </rPr>
          <t xml:space="preserve">
Extrapolated number for 2023, based on the 2021 and 2019 numbers.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Helene-Marie</author>
  </authors>
  <commentList>
    <comment ref="D5" authorId="0" shapeId="0" xr:uid="{B21A775D-1A0E-48F4-AD16-14DDDFC3CF3E}">
      <text>
        <r>
          <rPr>
            <b/>
            <sz val="9"/>
            <color indexed="81"/>
            <rFont val="Tahoma"/>
            <family val="2"/>
          </rPr>
          <t>Helene-Marie:</t>
        </r>
        <r>
          <rPr>
            <sz val="9"/>
            <color indexed="81"/>
            <rFont val="Tahoma"/>
            <family val="2"/>
          </rPr>
          <t xml:space="preserve">
Min achieved pyrite content from Data for characterisation of S-rich spreadsheet in the Flotation Test Results tab.</t>
        </r>
      </text>
    </comment>
    <comment ref="D6" authorId="0" shapeId="0" xr:uid="{F9BCA9CC-B392-4B9D-AD32-CD467F34EC74}">
      <text>
        <r>
          <rPr>
            <b/>
            <sz val="9"/>
            <color indexed="81"/>
            <rFont val="Tahoma"/>
            <family val="2"/>
          </rPr>
          <t>Helene-Marie:</t>
        </r>
        <r>
          <rPr>
            <sz val="9"/>
            <color indexed="81"/>
            <rFont val="Tahoma"/>
            <family val="2"/>
          </rPr>
          <t xml:space="preserve">
Average pyrite content from the Characterisation of S-rich spreadsheet in the Flotation Test Results tab.</t>
        </r>
      </text>
    </comment>
    <comment ref="D7" authorId="0" shapeId="0" xr:uid="{FD7F20AC-9E62-4E9B-A029-E26C92395EA3}">
      <text>
        <r>
          <rPr>
            <b/>
            <sz val="9"/>
            <color indexed="81"/>
            <rFont val="Tahoma"/>
            <family val="2"/>
          </rPr>
          <t>Helene-Marie:</t>
        </r>
        <r>
          <rPr>
            <sz val="9"/>
            <color indexed="81"/>
            <rFont val="Tahoma"/>
            <family val="2"/>
          </rPr>
          <t xml:space="preserve">
Max experimentally achieved pyrite from Charaterisation of S-rich spreadsheet, Flotation Test Results tab.</t>
        </r>
      </text>
    </comment>
    <comment ref="D8" authorId="0" shapeId="0" xr:uid="{82CD368B-ADE8-416A-BDAD-4BF8A94B7550}">
      <text>
        <r>
          <rPr>
            <b/>
            <sz val="9"/>
            <color indexed="81"/>
            <rFont val="Tahoma"/>
            <family val="2"/>
          </rPr>
          <t>Helene-Marie:</t>
        </r>
        <r>
          <rPr>
            <sz val="9"/>
            <color indexed="81"/>
            <rFont val="Tahoma"/>
            <family val="2"/>
          </rPr>
          <t xml:space="preserve">
Extrapolated high pyrite content</t>
        </r>
      </text>
    </comment>
  </commentList>
</comments>
</file>

<file path=xl/sharedStrings.xml><?xml version="1.0" encoding="utf-8"?>
<sst xmlns="http://schemas.openxmlformats.org/spreadsheetml/2006/main" count="661" uniqueCount="452">
  <si>
    <t>Western Cape</t>
  </si>
  <si>
    <t>Northern Cape</t>
  </si>
  <si>
    <t>Freestate</t>
  </si>
  <si>
    <t>Limpopo</t>
  </si>
  <si>
    <t>Mpumalanga</t>
  </si>
  <si>
    <t>North West</t>
  </si>
  <si>
    <t>Total</t>
  </si>
  <si>
    <t>t</t>
  </si>
  <si>
    <t>FeS2</t>
  </si>
  <si>
    <t>Fe</t>
  </si>
  <si>
    <t>S</t>
  </si>
  <si>
    <t>Transport cost</t>
  </si>
  <si>
    <t>km</t>
  </si>
  <si>
    <t>Transport cost comparison calc</t>
  </si>
  <si>
    <t>CPI (April 2015 - March 2019)</t>
  </si>
  <si>
    <t>http://wwwrs.resbank.co.za/webindicators/SDDSDetail.aspx?DataItem=CPI1000A</t>
  </si>
  <si>
    <t>R/t-km</t>
  </si>
  <si>
    <t>Projected transport cost in March 2019, if transport cost only increased with CPI</t>
  </si>
  <si>
    <t>Transport cost according to Viljoen et al. (2015) - truck full both ways</t>
  </si>
  <si>
    <t>Transport cost according to Braun (2019) - truck full both ways</t>
  </si>
  <si>
    <t>Fuel price for comparison with CPI</t>
  </si>
  <si>
    <t>Fuel price increase (April 2015 - March 2019)</t>
  </si>
  <si>
    <t>2015/04 Fuel price</t>
  </si>
  <si>
    <t>2019/03 Fuel price</t>
  </si>
  <si>
    <t>2015/04 Reserve bank figure</t>
  </si>
  <si>
    <t>2019/03 Reserve bank figure</t>
  </si>
  <si>
    <t>Petrol 95 unleaded</t>
  </si>
  <si>
    <t>Diesel 0.005S</t>
  </si>
  <si>
    <t>c/litre</t>
  </si>
  <si>
    <t>http://www.energy.gov.za/files/esources/petroleum/May2019/Basic-Fuel-Price.pdf</t>
  </si>
  <si>
    <t>http://www.energy.gov.za/files/esources/petroleum/December2015/Basic-Fuel-Price.pdf</t>
  </si>
  <si>
    <t>Phokeng</t>
  </si>
  <si>
    <t>Middelburg</t>
  </si>
  <si>
    <t>Chloorkop</t>
  </si>
  <si>
    <t>R/ton</t>
  </si>
  <si>
    <t>Cost (empty return leg)</t>
  </si>
  <si>
    <t>Cost (full both ways)</t>
  </si>
  <si>
    <t xml:space="preserve">R/ton-km </t>
  </si>
  <si>
    <t>Cost  (full both ways)</t>
  </si>
  <si>
    <t>R/ton-km</t>
  </si>
  <si>
    <t>Distance between source and market - to be looked up on Google Maps</t>
  </si>
  <si>
    <t>Transport cost/ton (empty return)</t>
  </si>
  <si>
    <t>Full cost/ton (empty return) - gypsum price chosen from the appropriate gypsum source B21-B23</t>
  </si>
  <si>
    <t>Distance</t>
  </si>
  <si>
    <t>Gypsum costs in different areas</t>
  </si>
  <si>
    <t>Distance from Emalahleni</t>
  </si>
  <si>
    <t>Distance from Lephalale</t>
  </si>
  <si>
    <t>Free State</t>
  </si>
  <si>
    <t xml:space="preserve">Brits </t>
  </si>
  <si>
    <t>Vryburg</t>
  </si>
  <si>
    <t>Distances between locations</t>
  </si>
  <si>
    <t>Barkley-West</t>
  </si>
  <si>
    <t>Hopetown</t>
  </si>
  <si>
    <t>Kakamas</t>
  </si>
  <si>
    <t>Carnarvon</t>
  </si>
  <si>
    <t>De Aar</t>
  </si>
  <si>
    <t>Douglas</t>
  </si>
  <si>
    <t>Upington</t>
  </si>
  <si>
    <t>Balfour</t>
  </si>
  <si>
    <t>Distance from gypsum</t>
  </si>
  <si>
    <t>Trailer to payload comparison</t>
  </si>
  <si>
    <t>https://www.satruckbodies.co.za</t>
  </si>
  <si>
    <t>Truck (kg)</t>
  </si>
  <si>
    <t>Trailer (kg)</t>
  </si>
  <si>
    <t>Payload (kg)</t>
  </si>
  <si>
    <t>Payload/total</t>
  </si>
  <si>
    <t>6/12 tautliner interlink</t>
  </si>
  <si>
    <t>6/12 flatdeck interlink</t>
  </si>
  <si>
    <t>Light duty side tipper interlink</t>
  </si>
  <si>
    <t>Super light 25m3 side tipper interlink</t>
  </si>
  <si>
    <t>Bela-Bela</t>
  </si>
  <si>
    <t>Thabazimbi</t>
  </si>
  <si>
    <t>sulfide-enriched stream size</t>
  </si>
  <si>
    <t>application rate</t>
  </si>
  <si>
    <t>t/ha</t>
  </si>
  <si>
    <t>average farm size</t>
  </si>
  <si>
    <t>ha</t>
  </si>
  <si>
    <t>ha 'needed' to absorb stream</t>
  </si>
  <si>
    <t>number of farms needed to absorb annual production</t>
  </si>
  <si>
    <r>
      <rPr>
        <b/>
        <sz val="9"/>
        <rFont val="Arial"/>
        <family val="2"/>
      </rPr>
      <t>District/Local Municipality</t>
    </r>
  </si>
  <si>
    <r>
      <rPr>
        <sz val="9"/>
        <rFont val="Arial"/>
        <family val="2"/>
      </rPr>
      <t>Namakwa</t>
    </r>
  </si>
  <si>
    <r>
      <rPr>
        <sz val="9"/>
        <rFont val="Arial"/>
        <family val="2"/>
      </rPr>
      <t>Kh?ói-Ma</t>
    </r>
  </si>
  <si>
    <r>
      <rPr>
        <sz val="9"/>
        <rFont val="Arial"/>
        <family val="2"/>
      </rPr>
      <t>Nama Khoi</t>
    </r>
  </si>
  <si>
    <r>
      <rPr>
        <sz val="9"/>
        <rFont val="Arial"/>
        <family val="2"/>
      </rPr>
      <t>Frances Baard</t>
    </r>
  </si>
  <si>
    <r>
      <rPr>
        <sz val="9"/>
        <rFont val="Arial"/>
        <family val="2"/>
      </rPr>
      <t>Magareng</t>
    </r>
  </si>
  <si>
    <r>
      <rPr>
        <sz val="9"/>
        <rFont val="Arial"/>
        <family val="2"/>
      </rPr>
      <t>Phokwane</t>
    </r>
  </si>
  <si>
    <r>
      <rPr>
        <sz val="9"/>
        <rFont val="Arial"/>
        <family val="2"/>
      </rPr>
      <t>Sol Plaatjie</t>
    </r>
  </si>
  <si>
    <r>
      <rPr>
        <sz val="9"/>
        <rFont val="Arial"/>
        <family val="2"/>
      </rPr>
      <t xml:space="preserve">John Taolo
</t>
    </r>
    <r>
      <rPr>
        <sz val="9"/>
        <rFont val="Arial"/>
        <family val="2"/>
      </rPr>
      <t>Gaetsewe</t>
    </r>
  </si>
  <si>
    <r>
      <rPr>
        <sz val="9"/>
        <rFont val="Arial"/>
        <family val="2"/>
      </rPr>
      <t>Pixley ka Seme</t>
    </r>
  </si>
  <si>
    <r>
      <rPr>
        <sz val="9"/>
        <rFont val="Arial"/>
        <family val="2"/>
      </rPr>
      <t>Renosterberg</t>
    </r>
  </si>
  <si>
    <r>
      <rPr>
        <sz val="9"/>
        <rFont val="Arial"/>
        <family val="2"/>
      </rPr>
      <t>Other Pixley ka Seme</t>
    </r>
  </si>
  <si>
    <r>
      <rPr>
        <sz val="9"/>
        <rFont val="Arial"/>
        <family val="2"/>
      </rPr>
      <t>Z F Mgcawu</t>
    </r>
  </si>
  <si>
    <r>
      <rPr>
        <sz val="9"/>
        <rFont val="Arial"/>
        <family val="2"/>
      </rPr>
      <t>Dawid Kruiper</t>
    </r>
  </si>
  <si>
    <r>
      <rPr>
        <sz val="9"/>
        <rFont val="Arial"/>
        <family val="2"/>
      </rPr>
      <t>Other Z F Mgcawu</t>
    </r>
  </si>
  <si>
    <r>
      <rPr>
        <b/>
        <sz val="9"/>
        <rFont val="Arial"/>
        <family val="2"/>
      </rPr>
      <t>Farms/farming units</t>
    </r>
  </si>
  <si>
    <r>
      <rPr>
        <b/>
        <sz val="9"/>
        <rFont val="Arial"/>
        <family val="2"/>
      </rPr>
      <t>Number</t>
    </r>
  </si>
  <si>
    <r>
      <rPr>
        <b/>
        <sz val="9"/>
        <rFont val="Arial"/>
        <family val="2"/>
      </rPr>
      <t>R'000</t>
    </r>
  </si>
  <si>
    <r>
      <rPr>
        <b/>
        <sz val="9"/>
        <rFont val="Arial"/>
        <family val="2"/>
      </rPr>
      <t>Hectares</t>
    </r>
  </si>
  <si>
    <t>Field crops Income</t>
  </si>
  <si>
    <t>Horticultural products Income</t>
  </si>
  <si>
    <t>Animals and animal products Income</t>
  </si>
  <si>
    <t>Other Namaqua arable land stats</t>
  </si>
  <si>
    <t>Field crops</t>
  </si>
  <si>
    <t>Used for crop production</t>
  </si>
  <si>
    <t>Cultivated pastures</t>
  </si>
  <si>
    <t>Temporary fallow</t>
  </si>
  <si>
    <t>Adds up to 143025 - rounding error?</t>
  </si>
  <si>
    <t>Horticultural</t>
  </si>
  <si>
    <t>Hectares</t>
  </si>
  <si>
    <r>
      <rPr>
        <b/>
        <sz val="9"/>
        <rFont val="Arial"/>
        <family val="2"/>
      </rPr>
      <t>Planted hectares</t>
    </r>
  </si>
  <si>
    <t>km2</t>
  </si>
  <si>
    <t>Siyathemba</t>
  </si>
  <si>
    <t>total surface area (Dobra &amp; Mohammadi 2018)</t>
  </si>
  <si>
    <t>ha field crop/ha municipality</t>
  </si>
  <si>
    <t>ha grazing/ha municipality</t>
  </si>
  <si>
    <t>Other Namakwa</t>
  </si>
  <si>
    <t>Paper</t>
  </si>
  <si>
    <t>Application rate of material</t>
  </si>
  <si>
    <t>Other impurities</t>
  </si>
  <si>
    <t>Other amendments</t>
  </si>
  <si>
    <t>Castelo-Branco et al. 1999</t>
  </si>
  <si>
    <t>Effective pyrite application</t>
  </si>
  <si>
    <t>Unit</t>
  </si>
  <si>
    <t>P (63 kg/ha)</t>
  </si>
  <si>
    <t>Purpose of application</t>
  </si>
  <si>
    <t>kg S/ha</t>
  </si>
  <si>
    <t>NPK</t>
  </si>
  <si>
    <t>Tozsin &amp; Arol 2015</t>
  </si>
  <si>
    <t>Vlek &amp; Lindsay 1978</t>
  </si>
  <si>
    <t>Sodic, iron-deficient soil</t>
  </si>
  <si>
    <t>Matzikama</t>
  </si>
  <si>
    <t>g/kg soil</t>
  </si>
  <si>
    <t>cm depth</t>
  </si>
  <si>
    <t>cm2/ha</t>
  </si>
  <si>
    <t>g/kg</t>
  </si>
  <si>
    <t>kg soil/ha</t>
  </si>
  <si>
    <t>g soil/cm3</t>
  </si>
  <si>
    <t>g soil/cm2 area</t>
  </si>
  <si>
    <t>Cu (0,3%), Zn (0,8%), Pb (0,5%)</t>
  </si>
  <si>
    <t>Cu (0,7%) and others</t>
  </si>
  <si>
    <t>Na (3cmol/kg), etc.</t>
  </si>
  <si>
    <t>particle size</t>
  </si>
  <si>
    <t>not mentioned</t>
  </si>
  <si>
    <t>&gt;250micron to too small to mention</t>
  </si>
  <si>
    <t>Siyancuma</t>
  </si>
  <si>
    <t>Thembelihle</t>
  </si>
  <si>
    <t>Dikgatlong</t>
  </si>
  <si>
    <t>Kai !Garib</t>
  </si>
  <si>
    <t>Municipality</t>
  </si>
  <si>
    <t>Greater Taung</t>
  </si>
  <si>
    <t>Taung</t>
  </si>
  <si>
    <t>Dawid Kruiper</t>
  </si>
  <si>
    <t>Waterberg</t>
  </si>
  <si>
    <t>West Coast</t>
  </si>
  <si>
    <t>Bojanala Platinum District</t>
  </si>
  <si>
    <t>Kgetlengrivier</t>
  </si>
  <si>
    <t>Madibeng &amp; Morelete</t>
  </si>
  <si>
    <t>Rustenburg &amp; Moses Kotane</t>
  </si>
  <si>
    <t>Dr Kenneth Kaunda</t>
  </si>
  <si>
    <t>Matlosana</t>
  </si>
  <si>
    <t>JB Marks</t>
  </si>
  <si>
    <t>Maquassi Hills</t>
  </si>
  <si>
    <t>Dr Ruth Segomotsi Mompati</t>
  </si>
  <si>
    <t>Kagisano-Molopo</t>
  </si>
  <si>
    <t>Lekwa-Teemane</t>
  </si>
  <si>
    <t>Mamusa</t>
  </si>
  <si>
    <t>Naledi</t>
  </si>
  <si>
    <t>Ngaka Modiri Molema</t>
  </si>
  <si>
    <t>Ditsobotla</t>
  </si>
  <si>
    <t>Mafikeng</t>
  </si>
  <si>
    <t>Ramotshere Moiloa</t>
  </si>
  <si>
    <t>Ratlou</t>
  </si>
  <si>
    <t>Tswaing</t>
  </si>
  <si>
    <t>Fezile Dabi</t>
  </si>
  <si>
    <t>Mafube</t>
  </si>
  <si>
    <t>Metsimaholo</t>
  </si>
  <si>
    <t>Moqhaka</t>
  </si>
  <si>
    <t>Ngwathe</t>
  </si>
  <si>
    <t>Thabo Mofutsanyane</t>
  </si>
  <si>
    <t>Dihlabeng</t>
  </si>
  <si>
    <t>Maluti-a-phofung</t>
  </si>
  <si>
    <t>Mantsopa</t>
  </si>
  <si>
    <t>Nketoana</t>
  </si>
  <si>
    <t>Phumelela</t>
  </si>
  <si>
    <t>Setsoto</t>
  </si>
  <si>
    <t>Freestate not to be used</t>
  </si>
  <si>
    <t>Gert Sibande</t>
  </si>
  <si>
    <t>Chief Albert Luthuli</t>
  </si>
  <si>
    <t>Dipaleseng</t>
  </si>
  <si>
    <t>Dr. Pixley Ka Isaka Seme</t>
  </si>
  <si>
    <t>Govan Mbeki</t>
  </si>
  <si>
    <t>Lekwa</t>
  </si>
  <si>
    <t>Mkhondo</t>
  </si>
  <si>
    <t>Msukaligwa</t>
  </si>
  <si>
    <t>Modimolle-Mookgophong</t>
  </si>
  <si>
    <t>Therefore the assumed application rates are:</t>
  </si>
  <si>
    <t>Grazing</t>
  </si>
  <si>
    <t>Pyrite per ha:</t>
  </si>
  <si>
    <t>Therefore size of sulfide-enriched stream applied</t>
  </si>
  <si>
    <t>Field crop</t>
  </si>
  <si>
    <t>t pyrite/t dry material</t>
  </si>
  <si>
    <t>t water/t material</t>
  </si>
  <si>
    <t>Calc for the application rates of the sulfide-enriched stream</t>
  </si>
  <si>
    <t>Transport cost per ha</t>
  </si>
  <si>
    <t>Grazing - empty return</t>
  </si>
  <si>
    <t>Grazing - full return</t>
  </si>
  <si>
    <t>Field crops - empty return</t>
  </si>
  <si>
    <t>Field crops - full return</t>
  </si>
  <si>
    <t>Gypsum - empty return</t>
  </si>
  <si>
    <t>All-in cost per ha</t>
  </si>
  <si>
    <t>Gypsum application rate</t>
  </si>
  <si>
    <t>5-6 t/ha once or twice a season</t>
  </si>
  <si>
    <t>Mogalakwena</t>
  </si>
  <si>
    <t>Fetakgomo-Greater Tubatse</t>
  </si>
  <si>
    <t>Elias motsoaledi</t>
  </si>
  <si>
    <t>Dr JS Moroka</t>
  </si>
  <si>
    <t>Lephalale</t>
  </si>
  <si>
    <t>Blouberg</t>
  </si>
  <si>
    <t>Capital city</t>
  </si>
  <si>
    <t>Silicic soils; Calcic soils</t>
  </si>
  <si>
    <t>Grazing, field crops</t>
  </si>
  <si>
    <t>Emthanjeni</t>
  </si>
  <si>
    <t>Horticulture</t>
  </si>
  <si>
    <t>Calcic soils</t>
  </si>
  <si>
    <t>Horticulture, grazing</t>
  </si>
  <si>
    <t>!Kheis</t>
  </si>
  <si>
    <t>Kareeberg</t>
  </si>
  <si>
    <t>Tsantsabane</t>
  </si>
  <si>
    <t>Grazing, field crops, horticulture</t>
  </si>
  <si>
    <t>Mahikeng</t>
  </si>
  <si>
    <t>Madibeng &amp; Moretele</t>
  </si>
  <si>
    <t>Vertic soils</t>
  </si>
  <si>
    <t>Grazing, horticulture</t>
  </si>
  <si>
    <t>Horticulture, Field crops</t>
  </si>
  <si>
    <t>Field crops, grazing</t>
  </si>
  <si>
    <t>Frankfort</t>
  </si>
  <si>
    <t xml:space="preserve">Mafube </t>
  </si>
  <si>
    <t xml:space="preserve">Standerton </t>
  </si>
  <si>
    <t>Diplaseng</t>
  </si>
  <si>
    <t xml:space="preserve">Lephalale </t>
  </si>
  <si>
    <t xml:space="preserve">Blouberg </t>
  </si>
  <si>
    <t>Senwabarwana</t>
  </si>
  <si>
    <t xml:space="preserve">Matzikama </t>
  </si>
  <si>
    <t>Vredendal</t>
  </si>
  <si>
    <t>Silicic soils, Calcic soils</t>
  </si>
  <si>
    <t>Groblershoop</t>
  </si>
  <si>
    <t>Postmasburg</t>
  </si>
  <si>
    <t>Sasolburg</t>
  </si>
  <si>
    <t>Parys</t>
  </si>
  <si>
    <t>Secunda</t>
  </si>
  <si>
    <t>Volksrust</t>
  </si>
  <si>
    <t>Soil type</t>
  </si>
  <si>
    <t>Agricultural activities</t>
  </si>
  <si>
    <t>Distances</t>
  </si>
  <si>
    <t>Grazing cost/ha</t>
  </si>
  <si>
    <t>Field crop cost/ha</t>
  </si>
  <si>
    <t>Gypsum cost/ha</t>
  </si>
  <si>
    <t>Povince</t>
  </si>
  <si>
    <t>Municipal seat</t>
  </si>
  <si>
    <t>Data that I painstakingly copied, but that turned out to be irrelevant</t>
  </si>
  <si>
    <t>Agricultural data for the areas of interest</t>
  </si>
  <si>
    <t>This table shows the data for grazing, field crops and horticultural crops planted in areas in South Africa where alkaline/calcareous soils are found. These areas were identified by comparison of municipal maps with soil maps. The data is from the Census of Commercial Agriculture, which was conductred by statistics South Africa in 2017 and published in 2020.</t>
  </si>
  <si>
    <t>Field crop land use</t>
  </si>
  <si>
    <t>Grazing land use</t>
  </si>
  <si>
    <t>Horticultural planted area</t>
  </si>
  <si>
    <t xml:space="preserve">Pyrite application rates in literature </t>
  </si>
  <si>
    <t>Elemental mass</t>
  </si>
  <si>
    <t>Transport distances</t>
  </si>
  <si>
    <t>This table shows the transport cost calculation used in the main table and was used to informally calculate transport costs to certain areas for comparison.</t>
  </si>
  <si>
    <t>This table shows the all-in gypsum cost calculation used in the main table and was used to informally calculate transport costs to certain areas for comparison.</t>
  </si>
  <si>
    <t>This table compares the different trucks that might be used to transport the material. The side-tipper is the most likely mode of transport to be used.</t>
  </si>
  <si>
    <t>This table tries to understand how prices may have increased in order to try and understand the much-higher cost per t-km quoted in Braun (2019)</t>
  </si>
  <si>
    <t>This table compares the different costs per t-km obtained from literature. The Braun figure was used, despite being much higher than projected cost, since it was an actual figure used for comparison by industry.</t>
  </si>
  <si>
    <r>
      <t>G</t>
    </r>
    <r>
      <rPr>
        <i/>
        <sz val="9"/>
        <color theme="1"/>
        <rFont val="Calibri"/>
        <family val="2"/>
        <scheme val="minor"/>
      </rPr>
      <t>ypsum -</t>
    </r>
    <r>
      <rPr>
        <i/>
        <sz val="11"/>
        <color theme="1"/>
        <rFont val="Calibri"/>
        <family val="2"/>
        <scheme val="minor"/>
      </rPr>
      <t xml:space="preserve"> full return</t>
    </r>
  </si>
  <si>
    <t>Municipality in each province that is closes and farthes from the nearest coal fields</t>
  </si>
  <si>
    <t>This table was replicated in the paper. It gives an indication of the range of the transport cost within each province and compares with the all-in gypsum cost</t>
  </si>
  <si>
    <t>ameliorating calcareous soil for growing wheat</t>
  </si>
  <si>
    <t>ameliorating sulfur-deficient soil for growing rice</t>
  </si>
  <si>
    <t>ameliorating calcareous soil for grazing</t>
  </si>
  <si>
    <t>Contents</t>
  </si>
  <si>
    <t>Introduction to this workbook</t>
  </si>
  <si>
    <t>2017 Detailed commodity stats</t>
  </si>
  <si>
    <t>Application rates</t>
  </si>
  <si>
    <t>Transport &amp; mass balance</t>
  </si>
  <si>
    <t>Number of farms</t>
  </si>
  <si>
    <t>This sheet documents statistics from the 2017 Census of Commercial Agriculture by Statistics South Africa. It only takes into consideration the provinces and areas that have already been identified by comparison of soil maps with municipal maps.</t>
  </si>
  <si>
    <t>Application rates from literature are compared in this sheet to get estimates of how much material may be used in South African agricultural settings.</t>
  </si>
  <si>
    <t>The costs of transporting sulfide-enriched coal waste from mines to agricultural regions of interest are calculated in this sheet.</t>
  </si>
  <si>
    <t>The number of farms needed to absorb all the material is calculated in this sheet.</t>
  </si>
  <si>
    <t>These rates are derived from the data in the table above - grazing from Castelo-branco et al. 1999 and field crops from Tozsin &amp; Arol 2015</t>
  </si>
  <si>
    <t xml:space="preserve">This table calculates the application rates of sulfide-enriched material, given the pyrite application rates from literature, the pyrite content and the waster content of the sulfide-enriched material. </t>
  </si>
  <si>
    <t>Calculation of t/ha application rates given g/kg soil experimental rates in Tozsin &amp; Arol 2015</t>
  </si>
  <si>
    <t>Numbers flagged in green indicate colour scales used in agricultural maps</t>
  </si>
  <si>
    <t>Numbers flagged in light yellow are the essence of a table</t>
  </si>
  <si>
    <t>Numbers flagged in bright yellow are important to the argument</t>
  </si>
  <si>
    <t>pyrite content %</t>
  </si>
  <si>
    <t>References</t>
  </si>
  <si>
    <r>
      <t xml:space="preserve">Braun, M. (2015) ‘Truck operating benchmarks’, </t>
    </r>
    <r>
      <rPr>
        <i/>
        <sz val="11"/>
        <color theme="1"/>
        <rFont val="Calibri"/>
        <family val="2"/>
        <scheme val="minor"/>
      </rPr>
      <t>Fleetwatch</t>
    </r>
    <r>
      <rPr>
        <sz val="11"/>
        <color theme="1"/>
        <rFont val="Calibri"/>
        <family val="2"/>
        <scheme val="minor"/>
      </rPr>
      <t>, pp. 59–65. Available at: https://fleetwatch.co.za/wp-content/uploads/2015/11/Truck-Operating-Benchmarks-2015.pdf.</t>
    </r>
  </si>
  <si>
    <r>
      <t xml:space="preserve">Braun, M. (2019) ‘Truck Operating Benchmarks’, </t>
    </r>
    <r>
      <rPr>
        <i/>
        <sz val="11"/>
        <color theme="1"/>
        <rFont val="Calibri"/>
        <family val="2"/>
        <scheme val="minor"/>
      </rPr>
      <t>Fleetwatch</t>
    </r>
    <r>
      <rPr>
        <sz val="11"/>
        <color theme="1"/>
        <rFont val="Calibri"/>
        <family val="2"/>
        <scheme val="minor"/>
      </rPr>
      <t>, 2, pp. 48–53. Available at: www.ctrack.co.za.</t>
    </r>
  </si>
  <si>
    <r>
      <t xml:space="preserve">Castelo-Branco, M. A. </t>
    </r>
    <r>
      <rPr>
        <i/>
        <sz val="11"/>
        <color theme="1"/>
        <rFont val="Calibri"/>
        <family val="2"/>
        <scheme val="minor"/>
      </rPr>
      <t>et al.</t>
    </r>
    <r>
      <rPr>
        <sz val="11"/>
        <color theme="1"/>
        <rFont val="Calibri"/>
        <family val="2"/>
        <scheme val="minor"/>
      </rPr>
      <t xml:space="preserve"> (1999) ‘Potential use of pyrite as an amendment for calcareous soil’, </t>
    </r>
    <r>
      <rPr>
        <i/>
        <sz val="11"/>
        <color theme="1"/>
        <rFont val="Calibri"/>
        <family val="2"/>
        <scheme val="minor"/>
      </rPr>
      <t>Journal of Geochemical Exploration</t>
    </r>
    <r>
      <rPr>
        <sz val="11"/>
        <color theme="1"/>
        <rFont val="Calibri"/>
        <family val="2"/>
        <scheme val="minor"/>
      </rPr>
      <t>, 66(1–2), pp. 363–367.</t>
    </r>
  </si>
  <si>
    <r>
      <t xml:space="preserve">Dobra, A. and Mohammadi, R. (2018) ‘Loglinear model selection and human mobility’, </t>
    </r>
    <r>
      <rPr>
        <i/>
        <sz val="11"/>
        <color theme="1"/>
        <rFont val="Calibri"/>
        <family val="2"/>
        <scheme val="minor"/>
      </rPr>
      <t>Annals of Applied Statistics</t>
    </r>
    <r>
      <rPr>
        <sz val="11"/>
        <color theme="1"/>
        <rFont val="Calibri"/>
        <family val="2"/>
        <scheme val="minor"/>
      </rPr>
      <t>, 12(2), pp. 815–845. doi: 10.1214/18-AOAS1164.</t>
    </r>
  </si>
  <si>
    <r>
      <t xml:space="preserve">ECTA and CEFIC (2011) ‘Guidelines for Measuring and Managing CO2 Emission from Freight Transport Operations’, </t>
    </r>
    <r>
      <rPr>
        <i/>
        <sz val="11"/>
        <color theme="1"/>
        <rFont val="Calibri"/>
        <family val="2"/>
        <scheme val="minor"/>
      </rPr>
      <t>Ecta Rc</t>
    </r>
    <r>
      <rPr>
        <sz val="11"/>
        <color theme="1"/>
        <rFont val="Calibri"/>
        <family val="2"/>
        <scheme val="minor"/>
      </rPr>
      <t>, march(1), p. 19. Available at: https://www.ecta.com/resources/Documents/Best Practices Guidelines/guideline_for_measuring_and_managing_co2.pdf.</t>
    </r>
  </si>
  <si>
    <t>Fundikwa, B., Broadhurst, J. L. and Harrison, S. T. L. (2016) ‘An environmental assessment of the use of froth flotation for coal recovery and sulfur removal from ultrafine coal waste in South Africa’.</t>
  </si>
  <si>
    <t>Google and AfriGIS (Pty) Ltd (2019) ‘Distances from various coal mining areas to different South African towns of interest’. Mountain View, CA: Google Maps.</t>
  </si>
  <si>
    <r>
      <t xml:space="preserve">Jera, M. K. (2013) </t>
    </r>
    <r>
      <rPr>
        <i/>
        <sz val="11"/>
        <color theme="1"/>
        <rFont val="Calibri"/>
        <family val="2"/>
        <scheme val="minor"/>
      </rPr>
      <t>An Economic Analysis of Coal Desulphurisation by Froth Flotation to Prevent Acid Rock Drainage (ARD) and an Economic Review of Capping Covers and ARD Treatment Processes</t>
    </r>
    <r>
      <rPr>
        <sz val="11"/>
        <color theme="1"/>
        <rFont val="Calibri"/>
        <family val="2"/>
        <scheme val="minor"/>
      </rPr>
      <t>. University of Cape Town.</t>
    </r>
  </si>
  <si>
    <t>Kalkor (Pty) Ltd (2019) ‘Price list’.</t>
  </si>
  <si>
    <r>
      <t xml:space="preserve">Shamim, A. H. M., Khan, H. R. and Akae, T. (2010) ‘The effectiveness of sulfidic materials as a source of sulfur fertilizer for the production of rice in two sulfur deficient soils’, </t>
    </r>
    <r>
      <rPr>
        <i/>
        <sz val="11"/>
        <color theme="1"/>
        <rFont val="Calibri"/>
        <family val="2"/>
        <scheme val="minor"/>
      </rPr>
      <t>Songklanakarin Journal of Science and Technology</t>
    </r>
    <r>
      <rPr>
        <sz val="11"/>
        <color theme="1"/>
        <rFont val="Calibri"/>
        <family val="2"/>
        <scheme val="minor"/>
      </rPr>
      <t>, 32(6), pp. 643–652.</t>
    </r>
  </si>
  <si>
    <r>
      <t xml:space="preserve">South African Reserve Bank (2019) </t>
    </r>
    <r>
      <rPr>
        <i/>
        <sz val="11"/>
        <color theme="1"/>
        <rFont val="Calibri"/>
        <family val="2"/>
        <scheme val="minor"/>
      </rPr>
      <t>Consumer Prices (nsa)</t>
    </r>
    <r>
      <rPr>
        <sz val="11"/>
        <color theme="1"/>
        <rFont val="Calibri"/>
        <family val="2"/>
        <scheme val="minor"/>
      </rPr>
      <t xml:space="preserve">, </t>
    </r>
    <r>
      <rPr>
        <i/>
        <sz val="11"/>
        <color theme="1"/>
        <rFont val="Calibri"/>
        <family val="2"/>
        <scheme val="minor"/>
      </rPr>
      <t>Online Statistical Query</t>
    </r>
    <r>
      <rPr>
        <sz val="11"/>
        <color theme="1"/>
        <rFont val="Calibri"/>
        <family val="2"/>
        <scheme val="minor"/>
      </rPr>
      <t>. Available at: http://wwwrs.resbank.co.za/webindicators/SDDSDetail.aspx?DataItem=CPI1000A (Accessed: 13 May 2019).</t>
    </r>
  </si>
  <si>
    <r>
      <t xml:space="preserve">Statistics South Africa (2020a) </t>
    </r>
    <r>
      <rPr>
        <i/>
        <sz val="11"/>
        <color theme="1"/>
        <rFont val="Calibri"/>
        <family val="2"/>
        <scheme val="minor"/>
      </rPr>
      <t>Census of commercial agriculture, 2017</t>
    </r>
    <r>
      <rPr>
        <sz val="11"/>
        <color theme="1"/>
        <rFont val="Calibri"/>
        <family val="2"/>
        <scheme val="minor"/>
      </rPr>
      <t>. Pretoria.</t>
    </r>
  </si>
  <si>
    <r>
      <t xml:space="preserve">Statistics South Africa (2020b) </t>
    </r>
    <r>
      <rPr>
        <i/>
        <sz val="11"/>
        <color theme="1"/>
        <rFont val="Calibri"/>
        <family val="2"/>
        <scheme val="minor"/>
      </rPr>
      <t>Census of commercial agriculture, 2017 Free State: Financial and production statistics</t>
    </r>
    <r>
      <rPr>
        <sz val="11"/>
        <color theme="1"/>
        <rFont val="Calibri"/>
        <family val="2"/>
        <scheme val="minor"/>
      </rPr>
      <t>. Pretoria.</t>
    </r>
  </si>
  <si>
    <r>
      <t xml:space="preserve">Statistics South Africa (2020c) </t>
    </r>
    <r>
      <rPr>
        <i/>
        <sz val="11"/>
        <color theme="1"/>
        <rFont val="Calibri"/>
        <family val="2"/>
        <scheme val="minor"/>
      </rPr>
      <t>Census of commercial agriculture, 2017 Limpopo: Financial and production statistics</t>
    </r>
    <r>
      <rPr>
        <sz val="11"/>
        <color theme="1"/>
        <rFont val="Calibri"/>
        <family val="2"/>
        <scheme val="minor"/>
      </rPr>
      <t>. Pretoria.</t>
    </r>
  </si>
  <si>
    <r>
      <t xml:space="preserve">Statistics South Africa (2020d) </t>
    </r>
    <r>
      <rPr>
        <i/>
        <sz val="11"/>
        <color theme="1"/>
        <rFont val="Calibri"/>
        <family val="2"/>
        <scheme val="minor"/>
      </rPr>
      <t>Census of commercial agriculture, 2017 Mpumalanga: Financial, production and related statistics</t>
    </r>
    <r>
      <rPr>
        <sz val="11"/>
        <color theme="1"/>
        <rFont val="Calibri"/>
        <family val="2"/>
        <scheme val="minor"/>
      </rPr>
      <t>. Pretoria.</t>
    </r>
  </si>
  <si>
    <r>
      <t xml:space="preserve">Statistics South Africa (2020e) </t>
    </r>
    <r>
      <rPr>
        <i/>
        <sz val="11"/>
        <color theme="1"/>
        <rFont val="Calibri"/>
        <family val="2"/>
        <scheme val="minor"/>
      </rPr>
      <t>Census of commercial agriculture, 2017 North West: Financial and production statistics</t>
    </r>
    <r>
      <rPr>
        <sz val="11"/>
        <color theme="1"/>
        <rFont val="Calibri"/>
        <family val="2"/>
        <scheme val="minor"/>
      </rPr>
      <t>. Pretoria.</t>
    </r>
  </si>
  <si>
    <r>
      <t xml:space="preserve">Statistics South Africa (2020f) </t>
    </r>
    <r>
      <rPr>
        <i/>
        <sz val="11"/>
        <color theme="1"/>
        <rFont val="Calibri"/>
        <family val="2"/>
        <scheme val="minor"/>
      </rPr>
      <t>Census of commercial agriculture, 2017 Northern Cape: Financial and production statistics</t>
    </r>
    <r>
      <rPr>
        <sz val="11"/>
        <color theme="1"/>
        <rFont val="Calibri"/>
        <family val="2"/>
        <scheme val="minor"/>
      </rPr>
      <t>. Pretoria.</t>
    </r>
  </si>
  <si>
    <r>
      <t xml:space="preserve">Statistics South Africa (2020g) </t>
    </r>
    <r>
      <rPr>
        <i/>
        <sz val="11"/>
        <color theme="1"/>
        <rFont val="Calibri"/>
        <family val="2"/>
        <scheme val="minor"/>
      </rPr>
      <t>Census of commercial agriculture, 2017 Western Cape: Financial and production statistics</t>
    </r>
    <r>
      <rPr>
        <sz val="11"/>
        <color theme="1"/>
        <rFont val="Calibri"/>
        <family val="2"/>
        <scheme val="minor"/>
      </rPr>
      <t>. Pretoria.</t>
    </r>
  </si>
  <si>
    <r>
      <t xml:space="preserve">Tozsin, G. and Arol, A. I. (2015) ‘Pyritic Tailings as a Source of Plant Micronutrients in Calcareous Soils’, </t>
    </r>
    <r>
      <rPr>
        <i/>
        <sz val="11"/>
        <color theme="1"/>
        <rFont val="Calibri"/>
        <family val="2"/>
        <scheme val="minor"/>
      </rPr>
      <t>Communications in Soil Science and Plant Analysis</t>
    </r>
    <r>
      <rPr>
        <sz val="11"/>
        <color theme="1"/>
        <rFont val="Calibri"/>
        <family val="2"/>
        <scheme val="minor"/>
      </rPr>
      <t>. Taylor &amp; Francis, 46(12), pp. 1473–1481. doi: 10.1080/00103624.2015.1043446.</t>
    </r>
  </si>
  <si>
    <r>
      <t xml:space="preserve">Viljoen, N. </t>
    </r>
    <r>
      <rPr>
        <i/>
        <sz val="11"/>
        <color theme="1"/>
        <rFont val="Calibri"/>
        <family val="2"/>
        <scheme val="minor"/>
      </rPr>
      <t>et al.</t>
    </r>
    <r>
      <rPr>
        <sz val="11"/>
        <color theme="1"/>
        <rFont val="Calibri"/>
        <family val="2"/>
        <scheme val="minor"/>
      </rPr>
      <t xml:space="preserve"> (2015) </t>
    </r>
    <r>
      <rPr>
        <i/>
        <sz val="11"/>
        <color theme="1"/>
        <rFont val="Calibri"/>
        <family val="2"/>
        <scheme val="minor"/>
      </rPr>
      <t>Logistics Barometer 2015: South Africa</t>
    </r>
    <r>
      <rPr>
        <sz val="11"/>
        <color theme="1"/>
        <rFont val="Calibri"/>
        <family val="2"/>
        <scheme val="minor"/>
      </rPr>
      <t>. Stellenbosch. Available at: http://www.sun.ac.za/english/faculty/economy/logistics/Pages/logisticsbarometer.aspx.</t>
    </r>
  </si>
  <si>
    <r>
      <t xml:space="preserve">Vlek, P. L. G. and Lindsay, W. L. (1978) ‘Potential use of finely disintegrated iron pyrite in sodic iron-deficient soils’, </t>
    </r>
    <r>
      <rPr>
        <i/>
        <sz val="11"/>
        <color theme="1"/>
        <rFont val="Calibri"/>
        <family val="2"/>
        <scheme val="minor"/>
      </rPr>
      <t>Journal of Environmental Quality</t>
    </r>
    <r>
      <rPr>
        <sz val="11"/>
        <color theme="1"/>
        <rFont val="Calibri"/>
        <family val="2"/>
        <scheme val="minor"/>
      </rPr>
      <t>, 7(1), pp. 111–114.</t>
    </r>
  </si>
  <si>
    <t>Banath &amp; Holland 1976</t>
  </si>
  <si>
    <t>kg/ha</t>
  </si>
  <si>
    <t>Metson 1972</t>
  </si>
  <si>
    <t>Tiwari, Dwivedi &amp; Pathak 1985</t>
  </si>
  <si>
    <t>ameliorating alkaline clayey sulfur-deficient soil for growing maize</t>
  </si>
  <si>
    <t>sodium dihydrogen phosphate, ammonium nitrate, zinc chloride</t>
  </si>
  <si>
    <t>None mentioned, presumably Cu</t>
  </si>
  <si>
    <t>Effective?</t>
  </si>
  <si>
    <t>Source</t>
  </si>
  <si>
    <t>Mt Lyle copper and iron mine, Tasmania</t>
  </si>
  <si>
    <r>
      <t>ps 2 D80≈43</t>
    </r>
    <r>
      <rPr>
        <sz val="11"/>
        <color theme="1"/>
        <rFont val="Calibri"/>
        <family val="2"/>
      </rPr>
      <t>μm; ps 3 D80≈</t>
    </r>
    <r>
      <rPr>
        <sz val="11"/>
        <color theme="1"/>
        <rFont val="Calibri"/>
        <family val="2"/>
        <scheme val="minor"/>
      </rPr>
      <t>18μm</t>
    </r>
  </si>
  <si>
    <t>Yes, ps 3 much more effective than ps 2, which required larger application rates</t>
  </si>
  <si>
    <t>Yes</t>
  </si>
  <si>
    <t>Sulfur fertiliser for grass-clover pasture on fine sand</t>
  </si>
  <si>
    <t xml:space="preserve">Flotation concentrates from a mining sources,  but the nature of those sources not made clear. </t>
  </si>
  <si>
    <t>not mentioned, assume 85%</t>
  </si>
  <si>
    <t>None mentioned</t>
  </si>
  <si>
    <t>Yes, at higher application rates than 45kg/ha, but less effective than marcasite or elemental sulfur</t>
  </si>
  <si>
    <t>N (15kg/ha) P (60kg/ha) K (40kg/ha) Zn (2,5kg/ha) as urea, triple super phoshpate, muriate and zinc sulphate</t>
  </si>
  <si>
    <t>&lt;5mm</t>
  </si>
  <si>
    <t>Sulfur fertiliser for legumes on alkaline sandy-loam</t>
  </si>
  <si>
    <t>Not mentioned</t>
  </si>
  <si>
    <t>Pyrite application appeared to have a positive result</t>
  </si>
  <si>
    <t>Molybdenum mine</t>
  </si>
  <si>
    <t>n.a.</t>
  </si>
  <si>
    <t>Small particle sizes lead to clay flocculation</t>
  </si>
  <si>
    <t>Sulfide-bearing waste from copper mine</t>
  </si>
  <si>
    <t>Acid sulfate soils</t>
  </si>
  <si>
    <t>yes</t>
  </si>
  <si>
    <t>Copper tailings</t>
  </si>
  <si>
    <t>Yes, but at highest aplication rates, Ni and Cr were enriched above 'limit values'</t>
  </si>
  <si>
    <t>Tozsin, Arol &amp; Cayci 2015</t>
  </si>
  <si>
    <t>Shamim, Khan and Akae 2010</t>
  </si>
  <si>
    <t>assessing pyrite vs gypsum for ameliorating calcareous sodic soil</t>
  </si>
  <si>
    <t xml:space="preserve">Yes, pyrite application was more effective than gypsum, presumably due to micronutrient addition, because pH change between the experiments didn't differ much  and there was less Na left in the gypsum pot than in the pyrite pots. </t>
  </si>
  <si>
    <t>Sharma &amp; Swarup 1997</t>
  </si>
  <si>
    <t>Coal mining</t>
  </si>
  <si>
    <t>&gt;3mm</t>
  </si>
  <si>
    <t>Max</t>
  </si>
  <si>
    <t>Min</t>
  </si>
  <si>
    <t>S-enriched stream size</t>
  </si>
  <si>
    <t>Recovery</t>
  </si>
  <si>
    <t>t s-rich stream/t tailings</t>
  </si>
  <si>
    <t>t s-rich stream</t>
  </si>
  <si>
    <t>Calculation for sulfide-enriched stream size</t>
  </si>
  <si>
    <t>This calculation is used to assess whether the entire sulfide-enriched stream is likely to be absorbed by farm land used for grazing</t>
  </si>
  <si>
    <t>This calculation is used to assess whether the entire sulfide-enriched stream is likely to be absorbed by farm land used for producing field crops</t>
  </si>
  <si>
    <t>Sekhukhune</t>
  </si>
  <si>
    <t>Capricorn</t>
  </si>
  <si>
    <t>Average farm size per municipality</t>
  </si>
  <si>
    <t>Average farm size per province</t>
  </si>
  <si>
    <t>Calculation of potential for pyrite absorption at grazing application rates</t>
  </si>
  <si>
    <t>Calculation of potential for pyrite absorption at field crop application rates</t>
  </si>
  <si>
    <t>Pyrite content</t>
  </si>
  <si>
    <t>Average:</t>
  </si>
  <si>
    <t>Median:</t>
  </si>
  <si>
    <t>Viljoen*CPI</t>
  </si>
  <si>
    <t>Braun (2019)</t>
  </si>
  <si>
    <t>Full both ways</t>
  </si>
  <si>
    <t>Empty on return trip</t>
  </si>
  <si>
    <t>Braun 2019</t>
  </si>
  <si>
    <t>2017 (Braun 2019)</t>
  </si>
  <si>
    <t>CPI headline</t>
  </si>
  <si>
    <t>Projected 2021</t>
  </si>
  <si>
    <t>Projected Feb 2021</t>
  </si>
  <si>
    <t>(Statistics South Africa, 2021)</t>
  </si>
  <si>
    <r>
      <t xml:space="preserve">Statistics South Africa (2021) </t>
    </r>
    <r>
      <rPr>
        <i/>
        <sz val="11"/>
        <color theme="1"/>
        <rFont val="Calibri"/>
        <family val="2"/>
        <scheme val="minor"/>
      </rPr>
      <t>Consumer price index</t>
    </r>
    <r>
      <rPr>
        <sz val="11"/>
        <color theme="1"/>
        <rFont val="Calibri"/>
        <family val="2"/>
        <scheme val="minor"/>
      </rPr>
      <t xml:space="preserve">, </t>
    </r>
    <r>
      <rPr>
        <i/>
        <sz val="11"/>
        <color theme="1"/>
        <rFont val="Calibri"/>
        <family val="2"/>
        <scheme val="minor"/>
      </rPr>
      <t>Statistical Release P0141</t>
    </r>
    <r>
      <rPr>
        <sz val="11"/>
        <color theme="1"/>
        <rFont val="Calibri"/>
        <family val="2"/>
        <scheme val="minor"/>
      </rPr>
      <t>. Pretorai. Available at: http://www.statssa.gov.za/publications/P0141/P0141February2021.pdf</t>
    </r>
  </si>
  <si>
    <t>Min achieved pyrite</t>
  </si>
  <si>
    <t>Average achieved pyrite</t>
  </si>
  <si>
    <t>Max achieved pyrite</t>
  </si>
  <si>
    <t>High extrapolated pyrite</t>
  </si>
  <si>
    <t>Pyrite applied</t>
  </si>
  <si>
    <t>t pyrite/ha</t>
  </si>
  <si>
    <t>Water content</t>
  </si>
  <si>
    <t xml:space="preserve">Data from Application rates tab for calculating </t>
  </si>
  <si>
    <t>Base case numbers for comparing in sensitivity tables</t>
  </si>
  <si>
    <t>Viljoen*CPI (2019)</t>
  </si>
  <si>
    <t>Sensitivity analysis pyrite content vs transport costs</t>
  </si>
  <si>
    <t>Sensitivity analysis for application rates vs transport costs</t>
  </si>
  <si>
    <t>Base case transport pyrite content</t>
  </si>
  <si>
    <t>Base case transport cost application rates</t>
  </si>
  <si>
    <t>Highest application rate</t>
  </si>
  <si>
    <t>Field crop application rate</t>
  </si>
  <si>
    <t>Grazing application rate</t>
  </si>
  <si>
    <t>Wallace et al. 1976</t>
  </si>
  <si>
    <t>Ameliorating calcareous soil for growing soy beans</t>
  </si>
  <si>
    <t>Mining waste - presumably zinc mining, since it is called a Fe-Zn pyrite waste</t>
  </si>
  <si>
    <t>NH4NO3</t>
  </si>
  <si>
    <t>Zn</t>
  </si>
  <si>
    <t>Yes, above 40t/ha. At 20t/ha it did not work, but they said nothing of particle size. They claim banding reduced pyrite requirement</t>
  </si>
  <si>
    <t>Amelioration of alkaline soils</t>
  </si>
  <si>
    <t>Only acidity that was present in the material before application seemed to have an impact, which is unsurprising given the large pyrite particle size.</t>
  </si>
  <si>
    <t>% gypsum requirement</t>
  </si>
  <si>
    <t>CaSO4</t>
  </si>
  <si>
    <t>Ca</t>
  </si>
  <si>
    <t>O</t>
  </si>
  <si>
    <t>Mn</t>
  </si>
  <si>
    <t xml:space="preserve">This table shows what pyrite application rates from literature were used to ameliorate soils </t>
  </si>
  <si>
    <t>Background consumper price index data for extrapolating transport cost</t>
  </si>
  <si>
    <t>Min stream size</t>
  </si>
  <si>
    <t>Max stream size</t>
  </si>
  <si>
    <t>Sensitivity analysis</t>
  </si>
  <si>
    <t>The sensitivity of the transport cost to truck utilisation, inflationary transport cost increases, pyrite content of the material and application rate of the material is tested.</t>
  </si>
  <si>
    <t>This workbook explores the locations of potential markets for sulfide-enriched coal waste as well as how much might be applied on soils for amelioration, based on literature values. This then placed me in a position to estimate the transport costs for the material from their source coal mines to destination regions. The ability of farmland to absorb the entire stream was considered as well as the senstivity of transport costs to certain key factors.</t>
  </si>
  <si>
    <t>This sensitivity analysis is done to compare the impact that truck utilisation rate, inflationary transport cost increases and the pyrite content of the material have on the transport cost.</t>
  </si>
  <si>
    <t>This sensitivity analysis is done to compare the impact that truck utilisation rate, inflationary transport cost increases and application rate have on the transport cost.</t>
  </si>
  <si>
    <t>This table calculates the total sulfide-enriched stream likely to be produced given max and min experimental recovery rates and the last available national slurry waste mass datum. The max and min numbers indicate the range within which the real number is likely to fall</t>
  </si>
  <si>
    <t>All distances are from the first suggested route from Google Maps without tolls. The distance to and from a location isn't always the same, depending on road closures and off-ramps. They do tend to be within 10km of each other, however, so I assumed that they were the same in each case. This was considered acceptible, since the locations are rough indications in any case - the mines are not located inside emalahleni or lephalale and the farms are not located within the towns either.</t>
  </si>
  <si>
    <t xml:space="preserve">This table calculates the transport costs per hectare for different application rates for sulfide-enriched coal waste material and compares that with the all-in (i.e. selling price added to transport cost) price of gypsum at typical application rates in Kakamas. This gives an idea of whether the transport cost of the material will be cheaper or more expensive than a comparable soil conditioner in a certain area.
</t>
  </si>
  <si>
    <t>The distances between coal fields and agricultural areas and the resulting costs of transport for sulfide-enriched material at different application rates as well as gypsum</t>
  </si>
  <si>
    <t>Pyrite in fine coal waste</t>
  </si>
  <si>
    <t>Water in fine coal waste</t>
  </si>
  <si>
    <t>Road transport cost</t>
  </si>
  <si>
    <t>Actual numbers</t>
  </si>
  <si>
    <t>%change</t>
  </si>
  <si>
    <t>% change</t>
  </si>
  <si>
    <t>Cost % change</t>
  </si>
  <si>
    <t>Based on max pyrite achieved, field crop application rate and an empty return leg for the truck</t>
  </si>
  <si>
    <t>Truck utilisation rate</t>
  </si>
  <si>
    <t>Pyrite content achieved</t>
  </si>
  <si>
    <t>Cost</t>
  </si>
  <si>
    <t>R/t.km</t>
  </si>
  <si>
    <t>% pyrite in sulfide-enriched fine coal waste</t>
  </si>
  <si>
    <t>This sensitivity analysis is done to compare the impact that a percentage change in truck utilisation rate, the pyrite content of the material and application rates have on the transport cost.</t>
  </si>
  <si>
    <t>Road transport cost at the specified utilisation rate</t>
  </si>
  <si>
    <t>Pyrite application rates</t>
  </si>
  <si>
    <t>Dry</t>
  </si>
  <si>
    <t>Wet</t>
  </si>
  <si>
    <t>Mt</t>
  </si>
  <si>
    <t>Annual dry coal slurry mass</t>
  </si>
  <si>
    <t>Coal waste produced per year (dry basis)</t>
  </si>
  <si>
    <t>Gypsum distance</t>
  </si>
  <si>
    <t>Annual dry coal slurry fraction</t>
  </si>
  <si>
    <t>Kolkiesrivier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</si>
</sst>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R&quot;#,##0.00"/>
    <numFmt numFmtId="165" formatCode="#,##0.000"/>
    <numFmt numFmtId="166" formatCode="0.000"/>
    <numFmt numFmtId="167" formatCode="0.0"/>
  </numFmts>
  <fonts count="21" x14ac:knownFonts="1">
    <font>
      <sz val="11"/>
      <color theme="1"/>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u/>
      <sz val="11"/>
      <color theme="10"/>
      <name val="Calibri"/>
      <family val="2"/>
      <scheme val="minor"/>
    </font>
    <font>
      <i/>
      <sz val="11"/>
      <color theme="1"/>
      <name val="Calibri"/>
      <family val="2"/>
      <scheme val="minor"/>
    </font>
    <font>
      <sz val="9"/>
      <color rgb="FF000000"/>
      <name val="Arial"/>
      <family val="2"/>
    </font>
    <font>
      <sz val="10"/>
      <color rgb="FF000000"/>
      <name val="Times New Roman"/>
      <family val="1"/>
    </font>
    <font>
      <sz val="9"/>
      <name val="Arial"/>
      <family val="2"/>
    </font>
    <font>
      <b/>
      <sz val="9"/>
      <name val="Arial"/>
      <family val="2"/>
    </font>
    <font>
      <b/>
      <sz val="11"/>
      <name val="Calibri"/>
      <family val="2"/>
      <scheme val="minor"/>
    </font>
    <font>
      <sz val="9"/>
      <color rgb="FF222222"/>
      <name val="Arial"/>
      <family val="2"/>
    </font>
    <font>
      <b/>
      <sz val="16"/>
      <color theme="1"/>
      <name val="Calibri"/>
      <family val="2"/>
      <scheme val="minor"/>
    </font>
    <font>
      <b/>
      <sz val="12"/>
      <color theme="1"/>
      <name val="Calibri"/>
      <family val="2"/>
      <scheme val="minor"/>
    </font>
    <font>
      <sz val="9"/>
      <color theme="1"/>
      <name val="Arial"/>
      <family val="2"/>
    </font>
    <font>
      <i/>
      <sz val="9"/>
      <color theme="1"/>
      <name val="Calibri"/>
      <family val="2"/>
      <scheme val="minor"/>
    </font>
    <font>
      <sz val="9"/>
      <color indexed="81"/>
      <name val="Tahoma"/>
      <charset val="1"/>
    </font>
    <font>
      <b/>
      <sz val="9"/>
      <color indexed="81"/>
      <name val="Tahoma"/>
      <charset val="1"/>
    </font>
    <font>
      <sz val="11"/>
      <color theme="1"/>
      <name val="Calibri"/>
      <family val="2"/>
    </font>
    <font>
      <b/>
      <sz val="14"/>
      <color theme="1"/>
      <name val="Calibri"/>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7" tint="0.39997558519241921"/>
        <bgColor indexed="64"/>
      </patternFill>
    </fill>
    <fill>
      <patternFill patternType="solid">
        <fgColor theme="0"/>
        <bgColor indexed="64"/>
      </patternFill>
    </fill>
    <fill>
      <patternFill patternType="solid">
        <fgColor theme="7" tint="0.59999389629810485"/>
        <bgColor indexed="64"/>
      </patternFill>
    </fill>
    <fill>
      <patternFill patternType="solid">
        <fgColor theme="2"/>
        <bgColor indexed="64"/>
      </patternFill>
    </fill>
  </fills>
  <borders count="6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rgb="FF000000"/>
      </left>
      <right style="medium">
        <color indexed="64"/>
      </right>
      <top style="thin">
        <color rgb="FF000000"/>
      </top>
      <bottom style="thin">
        <color rgb="FF000000"/>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rgb="FF000000"/>
      </left>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rgb="FF000000"/>
      </bottom>
      <diagonal/>
    </border>
    <border>
      <left style="thin">
        <color indexed="64"/>
      </left>
      <right style="medium">
        <color indexed="64"/>
      </right>
      <top/>
      <bottom style="thin">
        <color indexed="64"/>
      </bottom>
      <diagonal/>
    </border>
    <border>
      <left style="medium">
        <color indexed="64"/>
      </left>
      <right/>
      <top style="thin">
        <color rgb="FF000000"/>
      </top>
      <bottom/>
      <diagonal/>
    </border>
    <border>
      <left style="thin">
        <color indexed="64"/>
      </left>
      <right style="medium">
        <color indexed="64"/>
      </right>
      <top style="thin">
        <color indexed="64"/>
      </top>
      <bottom style="thin">
        <color indexed="64"/>
      </bottom>
      <diagonal/>
    </border>
    <border>
      <left style="medium">
        <color indexed="64"/>
      </left>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3">
    <xf numFmtId="0" fontId="0" fillId="0" borderId="0"/>
    <xf numFmtId="0" fontId="5" fillId="0" borderId="0" applyNumberFormat="0" applyFill="0" applyBorder="0" applyAlignment="0" applyProtection="0"/>
    <xf numFmtId="0" fontId="8" fillId="0" borderId="0"/>
  </cellStyleXfs>
  <cellXfs count="455">
    <xf numFmtId="0" fontId="0" fillId="0" borderId="0" xfId="0"/>
    <xf numFmtId="0" fontId="3" fillId="0" borderId="0" xfId="0" applyFont="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0" xfId="0" applyBorder="1"/>
    <xf numFmtId="17" fontId="0" fillId="0" borderId="4" xfId="0" applyNumberFormat="1" applyBorder="1" applyAlignment="1">
      <alignment horizontal="left"/>
    </xf>
    <xf numFmtId="0" fontId="5" fillId="0" borderId="4" xfId="1" applyBorder="1"/>
    <xf numFmtId="0" fontId="0" fillId="0" borderId="0" xfId="0" applyFill="1" applyBorder="1"/>
    <xf numFmtId="2" fontId="0" fillId="0" borderId="0" xfId="0" applyNumberFormat="1" applyBorder="1"/>
    <xf numFmtId="0" fontId="3" fillId="0" borderId="1" xfId="0" applyFont="1" applyBorder="1"/>
    <xf numFmtId="0" fontId="3" fillId="0" borderId="0" xfId="0" applyFont="1" applyBorder="1"/>
    <xf numFmtId="0" fontId="3" fillId="0" borderId="7" xfId="0" applyFont="1" applyBorder="1"/>
    <xf numFmtId="0" fontId="6" fillId="0" borderId="0" xfId="0" applyFont="1" applyBorder="1"/>
    <xf numFmtId="0" fontId="6" fillId="0" borderId="5" xfId="0" applyFont="1" applyBorder="1"/>
    <xf numFmtId="0" fontId="0" fillId="0" borderId="4" xfId="0" applyFill="1" applyBorder="1"/>
    <xf numFmtId="0" fontId="0" fillId="0" borderId="6" xfId="0" applyFill="1" applyBorder="1"/>
    <xf numFmtId="0" fontId="5" fillId="0" borderId="6" xfId="1" applyBorder="1"/>
    <xf numFmtId="0" fontId="0" fillId="0" borderId="0" xfId="0" applyFill="1"/>
    <xf numFmtId="0" fontId="4" fillId="0" borderId="5" xfId="0" applyFont="1" applyBorder="1"/>
    <xf numFmtId="0" fontId="9" fillId="0" borderId="13" xfId="2" applyFont="1" applyFill="1" applyBorder="1" applyAlignment="1">
      <alignment horizontal="left" vertical="top" wrapText="1"/>
    </xf>
    <xf numFmtId="0" fontId="8" fillId="0" borderId="13" xfId="2" applyFill="1" applyBorder="1" applyAlignment="1">
      <alignment horizontal="left" vertical="top" wrapText="1"/>
    </xf>
    <xf numFmtId="1" fontId="7" fillId="0" borderId="13" xfId="2" applyNumberFormat="1" applyFont="1" applyFill="1" applyBorder="1" applyAlignment="1">
      <alignment horizontal="right" vertical="top" shrinkToFit="1"/>
    </xf>
    <xf numFmtId="0" fontId="10" fillId="0" borderId="13" xfId="2" applyFont="1" applyFill="1" applyBorder="1" applyAlignment="1">
      <alignment horizontal="center" vertical="top" wrapText="1"/>
    </xf>
    <xf numFmtId="0" fontId="8" fillId="0" borderId="13" xfId="2" applyFill="1" applyBorder="1" applyAlignment="1">
      <alignment horizontal="left" wrapText="1"/>
    </xf>
    <xf numFmtId="0" fontId="8" fillId="0" borderId="13" xfId="2" applyFill="1" applyBorder="1" applyAlignment="1">
      <alignment horizontal="left" vertical="center" wrapText="1"/>
    </xf>
    <xf numFmtId="2" fontId="8" fillId="0" borderId="13" xfId="2" applyNumberFormat="1" applyFill="1" applyBorder="1" applyAlignment="1">
      <alignment horizontal="left" vertical="center" wrapText="1"/>
    </xf>
    <xf numFmtId="3" fontId="9" fillId="0" borderId="13" xfId="2" applyNumberFormat="1" applyFont="1" applyFill="1" applyBorder="1" applyAlignment="1">
      <alignment horizontal="left" vertical="top" wrapText="1" indent="9"/>
    </xf>
    <xf numFmtId="3" fontId="9" fillId="0" borderId="13" xfId="2" applyNumberFormat="1" applyFont="1" applyFill="1" applyBorder="1" applyAlignment="1">
      <alignment horizontal="right" vertical="top" wrapText="1"/>
    </xf>
    <xf numFmtId="3" fontId="9" fillId="0" borderId="13" xfId="2" applyNumberFormat="1" applyFont="1" applyFill="1" applyBorder="1" applyAlignment="1">
      <alignment horizontal="left" vertical="top" wrapText="1" indent="8"/>
    </xf>
    <xf numFmtId="4" fontId="9" fillId="0" borderId="14" xfId="2" applyNumberFormat="1" applyFont="1" applyFill="1" applyBorder="1" applyAlignment="1">
      <alignment horizontal="left" vertical="top" wrapText="1" indent="6"/>
    </xf>
    <xf numFmtId="0" fontId="9" fillId="0" borderId="0" xfId="2" applyFont="1" applyFill="1" applyBorder="1" applyAlignment="1">
      <alignment horizontal="left" vertical="top" wrapText="1"/>
    </xf>
    <xf numFmtId="2" fontId="0" fillId="0" borderId="0" xfId="0" applyNumberFormat="1"/>
    <xf numFmtId="0" fontId="13" fillId="0" borderId="0" xfId="0" applyFont="1"/>
    <xf numFmtId="1" fontId="0" fillId="0" borderId="0" xfId="0" applyNumberFormat="1"/>
    <xf numFmtId="1" fontId="7" fillId="0" borderId="0" xfId="0" applyNumberFormat="1" applyFont="1" applyFill="1" applyBorder="1" applyAlignment="1">
      <alignment horizontal="right" vertical="top" shrinkToFit="1"/>
    </xf>
    <xf numFmtId="0" fontId="0" fillId="0" borderId="18" xfId="0" applyBorder="1"/>
    <xf numFmtId="0" fontId="0" fillId="0" borderId="17" xfId="0" applyBorder="1"/>
    <xf numFmtId="0" fontId="0" fillId="0" borderId="20" xfId="0" applyBorder="1"/>
    <xf numFmtId="3" fontId="0" fillId="0" borderId="19" xfId="0" applyNumberFormat="1" applyBorder="1"/>
    <xf numFmtId="3" fontId="9" fillId="0" borderId="23" xfId="0" applyNumberFormat="1" applyFont="1" applyBorder="1" applyAlignment="1">
      <alignment horizontal="left" vertical="top" wrapText="1"/>
    </xf>
    <xf numFmtId="0" fontId="0" fillId="0" borderId="22" xfId="0" applyBorder="1"/>
    <xf numFmtId="3" fontId="0" fillId="0" borderId="21" xfId="0" applyNumberFormat="1" applyFill="1" applyBorder="1"/>
    <xf numFmtId="4" fontId="9" fillId="0" borderId="0" xfId="2" applyNumberFormat="1" applyFont="1" applyFill="1" applyBorder="1" applyAlignment="1">
      <alignment horizontal="left" vertical="top" wrapText="1" indent="6"/>
    </xf>
    <xf numFmtId="0" fontId="0" fillId="0" borderId="24" xfId="0" applyBorder="1"/>
    <xf numFmtId="0" fontId="0" fillId="0" borderId="19" xfId="0" applyBorder="1"/>
    <xf numFmtId="0" fontId="0" fillId="0" borderId="25" xfId="0" applyBorder="1"/>
    <xf numFmtId="0" fontId="0" fillId="0" borderId="21" xfId="0" applyBorder="1"/>
    <xf numFmtId="0" fontId="3" fillId="0" borderId="18" xfId="0" applyFont="1" applyBorder="1"/>
    <xf numFmtId="0" fontId="3" fillId="0" borderId="24" xfId="0" applyFont="1" applyBorder="1"/>
    <xf numFmtId="0" fontId="3" fillId="0" borderId="17" xfId="0" applyFont="1" applyBorder="1"/>
    <xf numFmtId="1" fontId="7" fillId="0" borderId="0" xfId="2" applyNumberFormat="1" applyFont="1" applyFill="1" applyBorder="1" applyAlignment="1">
      <alignment horizontal="right" vertical="top" shrinkToFit="1"/>
    </xf>
    <xf numFmtId="0" fontId="6" fillId="0" borderId="0" xfId="0" applyFont="1"/>
    <xf numFmtId="0" fontId="0" fillId="4" borderId="0" xfId="0" applyFill="1" applyBorder="1"/>
    <xf numFmtId="0" fontId="3" fillId="0" borderId="7" xfId="0" applyFont="1" applyFill="1" applyBorder="1"/>
    <xf numFmtId="165" fontId="9" fillId="0" borderId="0" xfId="0" applyNumberFormat="1" applyFont="1" applyBorder="1" applyAlignment="1">
      <alignment horizontal="right" vertical="top" wrapText="1"/>
    </xf>
    <xf numFmtId="0" fontId="4" fillId="0" borderId="0" xfId="0" applyFont="1" applyBorder="1"/>
    <xf numFmtId="0" fontId="0" fillId="0" borderId="0" xfId="0" applyBorder="1" applyAlignment="1">
      <alignment vertical="center" wrapText="1"/>
    </xf>
    <xf numFmtId="0" fontId="0" fillId="0" borderId="28" xfId="0" applyBorder="1"/>
    <xf numFmtId="0" fontId="0" fillId="0" borderId="29" xfId="0" applyBorder="1"/>
    <xf numFmtId="0" fontId="0" fillId="2" borderId="0" xfId="0" applyFill="1" applyBorder="1"/>
    <xf numFmtId="0" fontId="0" fillId="0" borderId="0" xfId="0" applyAlignment="1">
      <alignment wrapText="1"/>
    </xf>
    <xf numFmtId="0" fontId="9" fillId="0" borderId="0" xfId="0" applyFont="1" applyBorder="1" applyAlignment="1">
      <alignment horizontal="left" vertical="top" wrapText="1"/>
    </xf>
    <xf numFmtId="4" fontId="9" fillId="0" borderId="24" xfId="2" applyNumberFormat="1" applyFont="1" applyFill="1" applyBorder="1" applyAlignment="1">
      <alignment horizontal="left" vertical="top" wrapText="1" indent="6"/>
    </xf>
    <xf numFmtId="1" fontId="7" fillId="0" borderId="24" xfId="0" applyNumberFormat="1" applyFont="1" applyFill="1" applyBorder="1" applyAlignment="1">
      <alignment horizontal="right" vertical="top" shrinkToFit="1"/>
    </xf>
    <xf numFmtId="166" fontId="0" fillId="0" borderId="19" xfId="0" applyNumberFormat="1" applyBorder="1"/>
    <xf numFmtId="0" fontId="9" fillId="0" borderId="25" xfId="2" applyFont="1" applyFill="1" applyBorder="1" applyAlignment="1">
      <alignment horizontal="left" vertical="top" wrapText="1"/>
    </xf>
    <xf numFmtId="1" fontId="7" fillId="0" borderId="25" xfId="2" applyNumberFormat="1" applyFont="1" applyFill="1" applyBorder="1" applyAlignment="1">
      <alignment horizontal="right" vertical="top" shrinkToFit="1"/>
    </xf>
    <xf numFmtId="4" fontId="9" fillId="0" borderId="25" xfId="2" applyNumberFormat="1" applyFont="1" applyFill="1" applyBorder="1" applyAlignment="1">
      <alignment horizontal="left" vertical="top" wrapText="1" indent="6"/>
    </xf>
    <xf numFmtId="1" fontId="7" fillId="0" borderId="25" xfId="0" applyNumberFormat="1" applyFont="1" applyFill="1" applyBorder="1" applyAlignment="1">
      <alignment horizontal="right" vertical="top" shrinkToFit="1"/>
    </xf>
    <xf numFmtId="165" fontId="9" fillId="0" borderId="25" xfId="0" applyNumberFormat="1" applyFont="1" applyBorder="1" applyAlignment="1">
      <alignment horizontal="right" vertical="top" wrapText="1"/>
    </xf>
    <xf numFmtId="166" fontId="0" fillId="0" borderId="21" xfId="0" applyNumberFormat="1" applyBorder="1"/>
    <xf numFmtId="3" fontId="9" fillId="0" borderId="26" xfId="0" applyNumberFormat="1" applyFont="1" applyBorder="1" applyAlignment="1">
      <alignment horizontal="right" vertical="top" wrapText="1"/>
    </xf>
    <xf numFmtId="1" fontId="7" fillId="0" borderId="26" xfId="0" applyNumberFormat="1" applyFont="1" applyBorder="1" applyAlignment="1">
      <alignment horizontal="right" vertical="top" shrinkToFit="1"/>
    </xf>
    <xf numFmtId="0" fontId="9" fillId="0" borderId="26" xfId="0" applyFont="1" applyBorder="1" applyAlignment="1">
      <alignment horizontal="right" vertical="top" wrapText="1"/>
    </xf>
    <xf numFmtId="0" fontId="15" fillId="0" borderId="0" xfId="0" applyFont="1"/>
    <xf numFmtId="0" fontId="9" fillId="0" borderId="9" xfId="2" applyFont="1" applyFill="1" applyBorder="1" applyAlignment="1">
      <alignment horizontal="left" vertical="top" wrapText="1"/>
    </xf>
    <xf numFmtId="1" fontId="7" fillId="0" borderId="9" xfId="2" applyNumberFormat="1" applyFont="1" applyFill="1" applyBorder="1" applyAlignment="1">
      <alignment horizontal="right" vertical="top" shrinkToFit="1"/>
    </xf>
    <xf numFmtId="3" fontId="9" fillId="0" borderId="9" xfId="2" applyNumberFormat="1" applyFont="1" applyFill="1" applyBorder="1" applyAlignment="1">
      <alignment horizontal="right" vertical="top" wrapText="1"/>
    </xf>
    <xf numFmtId="3" fontId="9" fillId="0" borderId="9" xfId="2" applyNumberFormat="1" applyFont="1" applyFill="1" applyBorder="1" applyAlignment="1">
      <alignment horizontal="left" vertical="top" wrapText="1" indent="9"/>
    </xf>
    <xf numFmtId="4" fontId="9" fillId="0" borderId="10" xfId="2" applyNumberFormat="1" applyFont="1" applyFill="1" applyBorder="1" applyAlignment="1">
      <alignment horizontal="left" vertical="top" wrapText="1" indent="6"/>
    </xf>
    <xf numFmtId="1" fontId="7" fillId="0" borderId="15" xfId="0" applyNumberFormat="1" applyFont="1" applyBorder="1" applyAlignment="1">
      <alignment horizontal="right" vertical="top" shrinkToFit="1"/>
    </xf>
    <xf numFmtId="0" fontId="15" fillId="0" borderId="26" xfId="0" applyFont="1" applyBorder="1"/>
    <xf numFmtId="0" fontId="9" fillId="0" borderId="26" xfId="2" applyFont="1" applyFill="1" applyBorder="1" applyAlignment="1">
      <alignment horizontal="left" vertical="top" wrapText="1"/>
    </xf>
    <xf numFmtId="1" fontId="7" fillId="0" borderId="26" xfId="2" applyNumberFormat="1" applyFont="1" applyFill="1" applyBorder="1" applyAlignment="1">
      <alignment horizontal="right" vertical="top" shrinkToFit="1"/>
    </xf>
    <xf numFmtId="0" fontId="0" fillId="0" borderId="26" xfId="0" applyBorder="1"/>
    <xf numFmtId="4" fontId="9" fillId="0" borderId="26" xfId="2" applyNumberFormat="1" applyFont="1" applyFill="1" applyBorder="1" applyAlignment="1">
      <alignment horizontal="left" vertical="top" wrapText="1" indent="6"/>
    </xf>
    <xf numFmtId="1" fontId="7" fillId="0" borderId="26" xfId="0" applyNumberFormat="1" applyFont="1" applyFill="1" applyBorder="1" applyAlignment="1">
      <alignment horizontal="right" vertical="top" shrinkToFit="1"/>
    </xf>
    <xf numFmtId="3" fontId="9" fillId="0" borderId="26" xfId="0" applyNumberFormat="1" applyFont="1" applyBorder="1" applyAlignment="1">
      <alignment horizontal="left" vertical="top" wrapText="1" indent="8"/>
    </xf>
    <xf numFmtId="0" fontId="10" fillId="0" borderId="11" xfId="2" applyFont="1" applyFill="1" applyBorder="1" applyAlignment="1">
      <alignment horizontal="left" vertical="top" wrapText="1" indent="4"/>
    </xf>
    <xf numFmtId="0" fontId="10" fillId="0" borderId="12" xfId="2" applyFont="1" applyFill="1" applyBorder="1" applyAlignment="1">
      <alignment horizontal="left" vertical="top" wrapText="1" indent="1"/>
    </xf>
    <xf numFmtId="0" fontId="10" fillId="0" borderId="16" xfId="0" applyFont="1" applyBorder="1" applyAlignment="1">
      <alignment horizontal="left" vertical="top" wrapText="1" indent="4"/>
    </xf>
    <xf numFmtId="0" fontId="10" fillId="0" borderId="12" xfId="0" applyFont="1" applyBorder="1" applyAlignment="1">
      <alignment horizontal="left" vertical="top" wrapText="1" indent="1"/>
    </xf>
    <xf numFmtId="0" fontId="10" fillId="0" borderId="16" xfId="0" applyFont="1" applyBorder="1" applyAlignment="1">
      <alignment horizontal="left" vertical="top" wrapText="1" indent="1"/>
    </xf>
    <xf numFmtId="0" fontId="0" fillId="0" borderId="20" xfId="0" applyFill="1" applyBorder="1"/>
    <xf numFmtId="164" fontId="0" fillId="0" borderId="0" xfId="0" applyNumberFormat="1" applyBorder="1"/>
    <xf numFmtId="0" fontId="0" fillId="5" borderId="7" xfId="0" applyFill="1" applyBorder="1"/>
    <xf numFmtId="0" fontId="0" fillId="5" borderId="0" xfId="0" applyFill="1"/>
    <xf numFmtId="1" fontId="0" fillId="0" borderId="0" xfId="0" applyNumberFormat="1" applyBorder="1"/>
    <xf numFmtId="1" fontId="0" fillId="0" borderId="19" xfId="0" applyNumberFormat="1" applyBorder="1"/>
    <xf numFmtId="1" fontId="0" fillId="0" borderId="25" xfId="0" applyNumberFormat="1" applyBorder="1"/>
    <xf numFmtId="1" fontId="0" fillId="0" borderId="21" xfId="0" applyNumberFormat="1" applyBorder="1"/>
    <xf numFmtId="0" fontId="0" fillId="0" borderId="0" xfId="0" applyBorder="1" applyAlignment="1">
      <alignment wrapText="1"/>
    </xf>
    <xf numFmtId="0" fontId="0" fillId="0" borderId="22" xfId="0" applyFill="1" applyBorder="1"/>
    <xf numFmtId="0" fontId="11" fillId="0" borderId="32" xfId="0" applyFont="1" applyBorder="1"/>
    <xf numFmtId="1" fontId="0" fillId="5" borderId="0" xfId="0" applyNumberFormat="1" applyFill="1"/>
    <xf numFmtId="0" fontId="0" fillId="0" borderId="0" xfId="0" applyAlignment="1">
      <alignment vertical="top" wrapText="1"/>
    </xf>
    <xf numFmtId="0" fontId="4" fillId="0" borderId="20" xfId="0" applyFont="1" applyFill="1" applyBorder="1"/>
    <xf numFmtId="0" fontId="3" fillId="0" borderId="0" xfId="0" applyFont="1" applyFill="1" applyBorder="1" applyAlignment="1">
      <alignment horizontal="center"/>
    </xf>
    <xf numFmtId="0" fontId="3" fillId="0" borderId="37" xfId="0" applyFont="1" applyBorder="1"/>
    <xf numFmtId="0" fontId="6" fillId="0" borderId="38" xfId="0" applyFont="1" applyBorder="1"/>
    <xf numFmtId="0" fontId="3" fillId="0" borderId="38" xfId="0" applyFont="1" applyBorder="1"/>
    <xf numFmtId="0" fontId="0" fillId="0" borderId="38" xfId="0" applyBorder="1"/>
    <xf numFmtId="0" fontId="4" fillId="0" borderId="38" xfId="0" applyFont="1" applyBorder="1"/>
    <xf numFmtId="0" fontId="0" fillId="0" borderId="38" xfId="0" applyBorder="1" applyAlignment="1">
      <alignment vertical="center" wrapText="1"/>
    </xf>
    <xf numFmtId="0" fontId="0" fillId="0" borderId="39" xfId="0" applyBorder="1"/>
    <xf numFmtId="0" fontId="0" fillId="6" borderId="0" xfId="0" applyFill="1" applyBorder="1"/>
    <xf numFmtId="0" fontId="0" fillId="6" borderId="25" xfId="0" applyFill="1" applyBorder="1"/>
    <xf numFmtId="0" fontId="3" fillId="0" borderId="0" xfId="0" applyFont="1" applyBorder="1" applyAlignment="1">
      <alignment horizontal="center" wrapText="1"/>
    </xf>
    <xf numFmtId="0" fontId="0" fillId="6" borderId="5" xfId="0" applyFill="1" applyBorder="1"/>
    <xf numFmtId="0" fontId="0" fillId="6" borderId="4" xfId="0" applyFill="1" applyBorder="1"/>
    <xf numFmtId="0" fontId="0" fillId="6" borderId="0" xfId="0" applyFont="1" applyFill="1" applyBorder="1"/>
    <xf numFmtId="0" fontId="0" fillId="6" borderId="0" xfId="0" applyFill="1"/>
    <xf numFmtId="0" fontId="13" fillId="0" borderId="0" xfId="0" applyFont="1" applyAlignment="1">
      <alignment vertical="top"/>
    </xf>
    <xf numFmtId="0" fontId="0" fillId="0" borderId="0" xfId="0" applyAlignment="1">
      <alignment vertical="center"/>
    </xf>
    <xf numFmtId="0" fontId="0" fillId="0" borderId="24" xfId="0" applyBorder="1" applyAlignment="1">
      <alignment horizontal="center" wrapText="1"/>
    </xf>
    <xf numFmtId="0" fontId="0" fillId="0" borderId="0" xfId="0" applyBorder="1" applyAlignment="1">
      <alignment horizontal="center" wrapText="1"/>
    </xf>
    <xf numFmtId="0" fontId="0" fillId="0" borderId="25" xfId="0" applyBorder="1" applyAlignment="1">
      <alignment horizontal="center" wrapText="1"/>
    </xf>
    <xf numFmtId="0" fontId="0" fillId="0" borderId="0" xfId="0" applyBorder="1" applyAlignment="1">
      <alignment vertical="center"/>
    </xf>
    <xf numFmtId="0" fontId="14" fillId="0" borderId="0" xfId="0" applyFont="1" applyBorder="1" applyAlignment="1">
      <alignment horizontal="center" wrapText="1"/>
    </xf>
    <xf numFmtId="0" fontId="0" fillId="0" borderId="20" xfId="0" applyBorder="1" applyAlignment="1">
      <alignment vertical="center"/>
    </xf>
    <xf numFmtId="0" fontId="0" fillId="0" borderId="0" xfId="0" applyBorder="1" applyAlignment="1">
      <alignment horizontal="left" vertical="center"/>
    </xf>
    <xf numFmtId="0" fontId="0" fillId="0" borderId="0" xfId="0" applyAlignment="1">
      <alignment horizontal="center"/>
    </xf>
    <xf numFmtId="0" fontId="3" fillId="0" borderId="0" xfId="0" applyFont="1" applyFill="1" applyBorder="1"/>
    <xf numFmtId="0" fontId="15" fillId="0" borderId="16" xfId="0" applyFont="1" applyBorder="1"/>
    <xf numFmtId="1" fontId="7" fillId="0" borderId="16" xfId="2" applyNumberFormat="1" applyFont="1" applyFill="1" applyBorder="1" applyAlignment="1">
      <alignment horizontal="right" vertical="top" shrinkToFit="1"/>
    </xf>
    <xf numFmtId="0" fontId="0" fillId="0" borderId="16" xfId="0" applyBorder="1"/>
    <xf numFmtId="4" fontId="9" fillId="0" borderId="16" xfId="2" applyNumberFormat="1" applyFont="1" applyFill="1" applyBorder="1" applyAlignment="1">
      <alignment horizontal="left" vertical="top" wrapText="1" indent="6"/>
    </xf>
    <xf numFmtId="1" fontId="7" fillId="0" borderId="16" xfId="0" applyNumberFormat="1" applyFont="1" applyFill="1" applyBorder="1" applyAlignment="1">
      <alignment horizontal="right" vertical="top" shrinkToFit="1"/>
    </xf>
    <xf numFmtId="0" fontId="15" fillId="0" borderId="0" xfId="0" applyFont="1" applyBorder="1"/>
    <xf numFmtId="0" fontId="15" fillId="0" borderId="7" xfId="0" applyFont="1" applyBorder="1"/>
    <xf numFmtId="0" fontId="3" fillId="0" borderId="20" xfId="0" applyFont="1" applyBorder="1"/>
    <xf numFmtId="0" fontId="3" fillId="0" borderId="19" xfId="0" applyFont="1" applyBorder="1"/>
    <xf numFmtId="0" fontId="13" fillId="0" borderId="0" xfId="0" applyFont="1" applyBorder="1"/>
    <xf numFmtId="0" fontId="15" fillId="0" borderId="0" xfId="0" applyFont="1" applyFill="1" applyBorder="1"/>
    <xf numFmtId="1" fontId="0" fillId="6" borderId="0" xfId="0" applyNumberFormat="1" applyFill="1"/>
    <xf numFmtId="1" fontId="0" fillId="0" borderId="0" xfId="0" applyNumberFormat="1" applyFill="1" applyBorder="1"/>
    <xf numFmtId="0" fontId="0" fillId="8" borderId="25" xfId="0" applyFill="1" applyBorder="1"/>
    <xf numFmtId="0" fontId="0" fillId="0" borderId="0" xfId="0" applyBorder="1" applyAlignment="1">
      <alignment horizontal="center" vertical="top" wrapText="1"/>
    </xf>
    <xf numFmtId="17" fontId="0" fillId="0" borderId="20" xfId="0" applyNumberFormat="1" applyBorder="1"/>
    <xf numFmtId="17" fontId="0" fillId="0" borderId="22" xfId="0" applyNumberFormat="1" applyBorder="1"/>
    <xf numFmtId="0" fontId="3" fillId="0" borderId="17" xfId="0" applyFont="1" applyBorder="1" applyAlignment="1">
      <alignment vertical="center"/>
    </xf>
    <xf numFmtId="0" fontId="3" fillId="8" borderId="0" xfId="0" applyFont="1" applyFill="1" applyBorder="1"/>
    <xf numFmtId="2" fontId="3" fillId="0" borderId="20" xfId="0" applyNumberFormat="1" applyFont="1" applyBorder="1"/>
    <xf numFmtId="0" fontId="0" fillId="0" borderId="0" xfId="0" applyBorder="1" applyAlignment="1">
      <alignment horizontal="left" vertical="top" textRotation="1"/>
    </xf>
    <xf numFmtId="2" fontId="3" fillId="0" borderId="19" xfId="0" applyNumberFormat="1" applyFont="1" applyBorder="1"/>
    <xf numFmtId="167" fontId="0" fillId="0" borderId="20" xfId="0" applyNumberFormat="1" applyBorder="1"/>
    <xf numFmtId="167" fontId="0" fillId="0" borderId="0" xfId="0" applyNumberFormat="1" applyBorder="1"/>
    <xf numFmtId="167" fontId="0" fillId="0" borderId="19" xfId="0" applyNumberFormat="1" applyBorder="1"/>
    <xf numFmtId="167" fontId="0" fillId="0" borderId="22" xfId="0" applyNumberFormat="1" applyBorder="1"/>
    <xf numFmtId="167" fontId="0" fillId="0" borderId="25" xfId="0" applyNumberFormat="1" applyBorder="1"/>
    <xf numFmtId="167" fontId="0" fillId="0" borderId="21" xfId="0" applyNumberFormat="1" applyBorder="1"/>
    <xf numFmtId="0" fontId="0" fillId="0" borderId="0" xfId="0" applyFill="1" applyBorder="1" applyAlignment="1">
      <alignment horizontal="left" vertical="center" wrapText="1"/>
    </xf>
    <xf numFmtId="0" fontId="0" fillId="0" borderId="0" xfId="0" applyAlignment="1">
      <alignment textRotation="90" wrapText="1"/>
    </xf>
    <xf numFmtId="2" fontId="0" fillId="0" borderId="0" xfId="0" applyNumberFormat="1" applyFill="1" applyBorder="1"/>
    <xf numFmtId="0" fontId="3" fillId="0" borderId="0" xfId="0" applyFont="1" applyFill="1" applyBorder="1" applyAlignment="1">
      <alignment wrapText="1"/>
    </xf>
    <xf numFmtId="0" fontId="0" fillId="9" borderId="0" xfId="0" applyFill="1" applyBorder="1"/>
    <xf numFmtId="0" fontId="10" fillId="0" borderId="40" xfId="2" applyFont="1" applyFill="1" applyBorder="1" applyAlignment="1">
      <alignment horizontal="left" vertical="center" wrapText="1" indent="2"/>
    </xf>
    <xf numFmtId="0" fontId="10" fillId="0" borderId="40" xfId="2" applyFont="1" applyFill="1" applyBorder="1" applyAlignment="1">
      <alignment horizontal="left" vertical="top" wrapText="1" indent="4"/>
    </xf>
    <xf numFmtId="0" fontId="10" fillId="0" borderId="40" xfId="2" applyFont="1" applyFill="1" applyBorder="1" applyAlignment="1">
      <alignment horizontal="left" vertical="top" wrapText="1" indent="2"/>
    </xf>
    <xf numFmtId="0" fontId="10" fillId="0" borderId="40" xfId="2" applyFont="1" applyFill="1" applyBorder="1" applyAlignment="1">
      <alignment horizontal="left" vertical="top" wrapText="1" indent="1"/>
    </xf>
    <xf numFmtId="0" fontId="3" fillId="0" borderId="44" xfId="0" applyFont="1" applyBorder="1" applyAlignment="1">
      <alignment horizontal="left" vertical="top" wrapText="1"/>
    </xf>
    <xf numFmtId="0" fontId="8" fillId="0" borderId="47" xfId="2" applyFill="1" applyBorder="1" applyAlignment="1">
      <alignment horizontal="left" vertical="top" wrapText="1"/>
    </xf>
    <xf numFmtId="0" fontId="12" fillId="0" borderId="0" xfId="0" applyFont="1" applyBorder="1"/>
    <xf numFmtId="0" fontId="15" fillId="0" borderId="48" xfId="0" applyFont="1" applyBorder="1"/>
    <xf numFmtId="0" fontId="15" fillId="0" borderId="51" xfId="0" applyFont="1" applyBorder="1" applyAlignment="1">
      <alignment vertical="center" wrapText="1"/>
    </xf>
    <xf numFmtId="0" fontId="9" fillId="0" borderId="52" xfId="2" applyFont="1" applyFill="1" applyBorder="1" applyAlignment="1">
      <alignment horizontal="left" vertical="top" wrapText="1"/>
    </xf>
    <xf numFmtId="0" fontId="0" fillId="0" borderId="52" xfId="0" applyBorder="1"/>
    <xf numFmtId="0" fontId="15" fillId="0" borderId="52" xfId="0" applyFont="1" applyBorder="1"/>
    <xf numFmtId="4" fontId="9" fillId="0" borderId="52" xfId="2" applyNumberFormat="1" applyFont="1" applyFill="1" applyBorder="1" applyAlignment="1">
      <alignment horizontal="left" vertical="top" wrapText="1" indent="6"/>
    </xf>
    <xf numFmtId="1" fontId="7" fillId="0" borderId="52" xfId="0" applyNumberFormat="1" applyFont="1" applyFill="1" applyBorder="1" applyAlignment="1">
      <alignment horizontal="right" vertical="top" shrinkToFit="1"/>
    </xf>
    <xf numFmtId="0" fontId="3" fillId="0" borderId="18" xfId="0" applyFont="1" applyBorder="1" applyAlignment="1">
      <alignment horizontal="center" vertical="top" wrapText="1"/>
    </xf>
    <xf numFmtId="0" fontId="3" fillId="0" borderId="17" xfId="0" applyFont="1" applyBorder="1" applyAlignment="1">
      <alignment horizontal="center" wrapText="1"/>
    </xf>
    <xf numFmtId="0" fontId="10" fillId="0" borderId="38" xfId="0" applyFont="1" applyFill="1" applyBorder="1" applyAlignment="1">
      <alignment horizontal="left" vertical="top" wrapText="1" indent="1"/>
    </xf>
    <xf numFmtId="0" fontId="10" fillId="0" borderId="19" xfId="0" applyFont="1" applyFill="1" applyBorder="1" applyAlignment="1">
      <alignment horizontal="left" vertical="top" wrapText="1" indent="1"/>
    </xf>
    <xf numFmtId="1" fontId="0" fillId="0" borderId="20" xfId="0" applyNumberFormat="1" applyBorder="1"/>
    <xf numFmtId="1" fontId="0" fillId="0" borderId="54" xfId="0" applyNumberFormat="1" applyBorder="1"/>
    <xf numFmtId="0" fontId="0" fillId="0" borderId="55" xfId="0" applyBorder="1"/>
    <xf numFmtId="1" fontId="0" fillId="0" borderId="34" xfId="0" applyNumberFormat="1" applyBorder="1"/>
    <xf numFmtId="0" fontId="0" fillId="0" borderId="44" xfId="0" applyBorder="1"/>
    <xf numFmtId="1" fontId="0" fillId="0" borderId="46" xfId="0" applyNumberFormat="1" applyBorder="1"/>
    <xf numFmtId="1" fontId="0" fillId="0" borderId="32" xfId="0" applyNumberFormat="1" applyBorder="1"/>
    <xf numFmtId="1" fontId="0" fillId="0" borderId="22" xfId="0" applyNumberFormat="1" applyBorder="1"/>
    <xf numFmtId="0" fontId="0" fillId="0" borderId="56" xfId="0" applyBorder="1"/>
    <xf numFmtId="167" fontId="0" fillId="0" borderId="18" xfId="0" applyNumberFormat="1" applyBorder="1"/>
    <xf numFmtId="167" fontId="0" fillId="0" borderId="24" xfId="0" applyNumberFormat="1" applyBorder="1"/>
    <xf numFmtId="167" fontId="0" fillId="0" borderId="17" xfId="0" applyNumberFormat="1" applyBorder="1"/>
    <xf numFmtId="0" fontId="3" fillId="0" borderId="0" xfId="0" applyFont="1" applyFill="1" applyAlignment="1">
      <alignment horizontal="center"/>
    </xf>
    <xf numFmtId="167" fontId="0" fillId="0" borderId="0" xfId="0" applyNumberFormat="1" applyFill="1" applyBorder="1"/>
    <xf numFmtId="167" fontId="0" fillId="0" borderId="0" xfId="0" applyNumberFormat="1"/>
    <xf numFmtId="0" fontId="13" fillId="0" borderId="0" xfId="0" applyFont="1" applyBorder="1" applyAlignment="1">
      <alignment wrapText="1"/>
    </xf>
    <xf numFmtId="9" fontId="0" fillId="0" borderId="0" xfId="0" applyNumberFormat="1" applyBorder="1"/>
    <xf numFmtId="0" fontId="0" fillId="0" borderId="24" xfId="0" applyFill="1" applyBorder="1"/>
    <xf numFmtId="167" fontId="0" fillId="0" borderId="25" xfId="0" applyNumberFormat="1" applyFill="1" applyBorder="1"/>
    <xf numFmtId="0" fontId="0" fillId="0" borderId="0" xfId="0" applyFont="1" applyBorder="1" applyAlignment="1">
      <alignment horizontal="center" vertical="top" wrapText="1"/>
    </xf>
    <xf numFmtId="0" fontId="0" fillId="0" borderId="19" xfId="0" applyFont="1" applyBorder="1" applyAlignment="1">
      <alignment horizontal="center" vertical="top" wrapText="1"/>
    </xf>
    <xf numFmtId="0" fontId="0" fillId="0" borderId="20" xfId="0" applyFont="1" applyBorder="1" applyAlignment="1">
      <alignment horizontal="left" vertical="top" wrapText="1"/>
    </xf>
    <xf numFmtId="0" fontId="0" fillId="0" borderId="0" xfId="0" applyFont="1" applyBorder="1" applyAlignment="1">
      <alignment horizontal="left" vertical="top" wrapText="1"/>
    </xf>
    <xf numFmtId="0" fontId="13" fillId="0" borderId="30" xfId="0" applyFont="1" applyBorder="1" applyAlignment="1">
      <alignment horizontal="center"/>
    </xf>
    <xf numFmtId="0" fontId="13" fillId="0" borderId="31" xfId="0" applyFont="1" applyBorder="1" applyAlignment="1">
      <alignment horizontal="center"/>
    </xf>
    <xf numFmtId="0" fontId="13" fillId="0" borderId="27" xfId="0" applyFont="1" applyBorder="1" applyAlignment="1">
      <alignment horizontal="center"/>
    </xf>
    <xf numFmtId="0" fontId="3" fillId="0" borderId="0" xfId="0" applyFont="1" applyAlignment="1">
      <alignment horizontal="center" vertical="center"/>
    </xf>
    <xf numFmtId="0" fontId="0" fillId="0" borderId="0" xfId="0" applyAlignment="1">
      <alignment horizontal="center" vertical="top" wrapText="1"/>
    </xf>
    <xf numFmtId="0" fontId="0" fillId="0" borderId="0" xfId="0" applyFill="1" applyAlignment="1">
      <alignment horizontal="center" vertical="top" wrapText="1"/>
    </xf>
    <xf numFmtId="0" fontId="0" fillId="3" borderId="0" xfId="0" applyFill="1" applyAlignment="1">
      <alignment horizontal="center" vertical="top"/>
    </xf>
    <xf numFmtId="0" fontId="0" fillId="2" borderId="0" xfId="0" applyFill="1" applyAlignment="1">
      <alignment horizontal="left" vertical="top"/>
    </xf>
    <xf numFmtId="0" fontId="0" fillId="0" borderId="20" xfId="0" applyBorder="1" applyAlignment="1">
      <alignment horizontal="center" vertical="top" wrapText="1"/>
    </xf>
    <xf numFmtId="0" fontId="0" fillId="0" borderId="0" xfId="0" applyBorder="1" applyAlignment="1">
      <alignment horizontal="center" vertical="top" wrapText="1"/>
    </xf>
    <xf numFmtId="0" fontId="0" fillId="0" borderId="19" xfId="0" applyBorder="1" applyAlignment="1">
      <alignment horizontal="center" vertical="top" wrapText="1"/>
    </xf>
    <xf numFmtId="0" fontId="0" fillId="0" borderId="22" xfId="0" applyBorder="1" applyAlignment="1">
      <alignment horizontal="center" vertical="top" wrapText="1"/>
    </xf>
    <xf numFmtId="0" fontId="0" fillId="0" borderId="25" xfId="0" applyBorder="1" applyAlignment="1">
      <alignment horizontal="center" vertical="top" wrapText="1"/>
    </xf>
    <xf numFmtId="0" fontId="0" fillId="0" borderId="21" xfId="0" applyBorder="1" applyAlignment="1">
      <alignment horizontal="center" vertical="top" wrapText="1"/>
    </xf>
    <xf numFmtId="0" fontId="0" fillId="6" borderId="0" xfId="0" applyFill="1" applyAlignment="1">
      <alignment horizontal="left" vertical="top"/>
    </xf>
    <xf numFmtId="0" fontId="3" fillId="0" borderId="0" xfId="0" applyFont="1" applyFill="1" applyAlignment="1">
      <alignment horizontal="center" vertical="center"/>
    </xf>
    <xf numFmtId="0" fontId="15" fillId="0" borderId="50" xfId="0" applyFont="1" applyBorder="1" applyAlignment="1">
      <alignment horizontal="center" vertical="center" wrapText="1"/>
    </xf>
    <xf numFmtId="0" fontId="15" fillId="0" borderId="38" xfId="0" applyFont="1" applyBorder="1" applyAlignment="1">
      <alignment horizontal="center" vertical="center" wrapText="1"/>
    </xf>
    <xf numFmtId="0" fontId="15" fillId="0" borderId="49" xfId="0" applyFont="1" applyBorder="1" applyAlignment="1">
      <alignment horizontal="center" vertical="center" wrapText="1"/>
    </xf>
    <xf numFmtId="0" fontId="9" fillId="0" borderId="45" xfId="2" applyFont="1" applyFill="1" applyBorder="1" applyAlignment="1">
      <alignment horizontal="left" vertical="center" wrapText="1"/>
    </xf>
    <xf numFmtId="0" fontId="9" fillId="0" borderId="20" xfId="2" applyFont="1" applyFill="1" applyBorder="1" applyAlignment="1">
      <alignment horizontal="left" vertical="center" wrapText="1"/>
    </xf>
    <xf numFmtId="0" fontId="9" fillId="0" borderId="43" xfId="2" applyFont="1" applyFill="1" applyBorder="1" applyAlignment="1">
      <alignment horizontal="left" vertical="center" wrapText="1"/>
    </xf>
    <xf numFmtId="0" fontId="15" fillId="0" borderId="48" xfId="0" applyFont="1" applyBorder="1" applyAlignment="1">
      <alignment horizontal="left" wrapText="1"/>
    </xf>
    <xf numFmtId="0" fontId="15" fillId="0" borderId="48" xfId="0" applyFont="1" applyBorder="1" applyAlignment="1">
      <alignment horizontal="left" vertical="center" wrapText="1"/>
    </xf>
    <xf numFmtId="0" fontId="15" fillId="0" borderId="49" xfId="0" applyFont="1" applyBorder="1" applyAlignment="1">
      <alignment horizontal="left" vertical="center" wrapText="1"/>
    </xf>
    <xf numFmtId="0" fontId="10" fillId="0" borderId="18" xfId="2" applyFont="1" applyFill="1" applyBorder="1" applyAlignment="1">
      <alignment horizontal="left" vertical="center" wrapText="1" indent="4"/>
    </xf>
    <xf numFmtId="0" fontId="10" fillId="0" borderId="24" xfId="2" applyFont="1" applyFill="1" applyBorder="1" applyAlignment="1">
      <alignment horizontal="left" vertical="center" wrapText="1" indent="4"/>
    </xf>
    <xf numFmtId="0" fontId="10" fillId="0" borderId="43" xfId="2" applyFont="1" applyFill="1" applyBorder="1" applyAlignment="1">
      <alignment horizontal="left" vertical="center" wrapText="1" indent="4"/>
    </xf>
    <xf numFmtId="0" fontId="10" fillId="0" borderId="12" xfId="2" applyFont="1" applyFill="1" applyBorder="1" applyAlignment="1">
      <alignment horizontal="left" vertical="center" wrapText="1" indent="4"/>
    </xf>
    <xf numFmtId="0" fontId="13" fillId="0" borderId="18" xfId="0" applyFont="1" applyBorder="1" applyAlignment="1">
      <alignment horizontal="center" wrapText="1"/>
    </xf>
    <xf numFmtId="0" fontId="13" fillId="0" borderId="24" xfId="0" applyFont="1" applyBorder="1" applyAlignment="1">
      <alignment horizontal="center" wrapText="1"/>
    </xf>
    <xf numFmtId="0" fontId="13" fillId="0" borderId="17" xfId="0" applyFont="1" applyBorder="1" applyAlignment="1">
      <alignment horizontal="center" wrapText="1"/>
    </xf>
    <xf numFmtId="0" fontId="13" fillId="0" borderId="22" xfId="0" applyFont="1" applyBorder="1" applyAlignment="1">
      <alignment horizontal="center" wrapText="1"/>
    </xf>
    <xf numFmtId="0" fontId="13" fillId="0" borderId="25" xfId="0" applyFont="1" applyBorder="1" applyAlignment="1">
      <alignment horizontal="center" wrapText="1"/>
    </xf>
    <xf numFmtId="0" fontId="13" fillId="0" borderId="21" xfId="0" applyFont="1" applyBorder="1" applyAlignment="1">
      <alignment horizontal="center" wrapText="1"/>
    </xf>
    <xf numFmtId="0" fontId="0" fillId="0" borderId="24" xfId="0" applyBorder="1" applyAlignment="1">
      <alignment horizontal="center" wrapText="1"/>
    </xf>
    <xf numFmtId="0" fontId="0" fillId="0" borderId="17" xfId="0" applyBorder="1" applyAlignment="1">
      <alignment horizontal="center" wrapText="1"/>
    </xf>
    <xf numFmtId="0" fontId="0" fillId="0" borderId="25" xfId="0" applyBorder="1" applyAlignment="1">
      <alignment horizontal="center" wrapText="1"/>
    </xf>
    <xf numFmtId="0" fontId="0" fillId="0" borderId="21" xfId="0" applyBorder="1" applyAlignment="1">
      <alignment horizontal="center" wrapText="1"/>
    </xf>
    <xf numFmtId="0" fontId="10" fillId="0" borderId="41" xfId="2" applyFont="1" applyFill="1" applyBorder="1" applyAlignment="1">
      <alignment horizontal="center" vertical="top" wrapText="1"/>
    </xf>
    <xf numFmtId="0" fontId="10" fillId="0" borderId="41" xfId="0" applyFont="1" applyBorder="1" applyAlignment="1">
      <alignment horizontal="center" vertical="top" wrapText="1"/>
    </xf>
    <xf numFmtId="0" fontId="10" fillId="0" borderId="42" xfId="0" applyFont="1" applyBorder="1" applyAlignment="1">
      <alignment horizontal="center" vertical="top" wrapText="1"/>
    </xf>
    <xf numFmtId="0" fontId="0" fillId="0" borderId="18" xfId="0" applyBorder="1" applyAlignment="1">
      <alignment horizontal="center" wrapText="1"/>
    </xf>
    <xf numFmtId="0" fontId="0" fillId="0" borderId="20" xfId="0" applyBorder="1" applyAlignment="1">
      <alignment horizontal="center" wrapText="1"/>
    </xf>
    <xf numFmtId="0" fontId="0" fillId="0" borderId="0" xfId="0" applyBorder="1" applyAlignment="1">
      <alignment horizontal="center" wrapText="1"/>
    </xf>
    <xf numFmtId="0" fontId="0" fillId="0" borderId="19" xfId="0" applyBorder="1" applyAlignment="1">
      <alignment horizontal="center" wrapText="1"/>
    </xf>
    <xf numFmtId="0" fontId="0" fillId="0" borderId="22" xfId="0" applyBorder="1" applyAlignment="1">
      <alignment horizontal="center" wrapText="1"/>
    </xf>
    <xf numFmtId="0" fontId="13" fillId="0" borderId="18" xfId="0" applyFont="1" applyFill="1" applyBorder="1" applyAlignment="1">
      <alignment horizontal="center" vertical="center" wrapText="1"/>
    </xf>
    <xf numFmtId="0" fontId="13" fillId="0" borderId="24" xfId="0" applyFont="1" applyFill="1" applyBorder="1" applyAlignment="1">
      <alignment horizontal="center" vertical="center" wrapText="1"/>
    </xf>
    <xf numFmtId="0" fontId="13" fillId="0" borderId="17"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25" xfId="0" applyFont="1" applyFill="1" applyBorder="1" applyAlignment="1">
      <alignment horizontal="center" vertical="center" wrapText="1"/>
    </xf>
    <xf numFmtId="0" fontId="13" fillId="0" borderId="21" xfId="0" applyFont="1" applyFill="1" applyBorder="1" applyAlignment="1">
      <alignment horizontal="center" vertical="center" wrapText="1"/>
    </xf>
    <xf numFmtId="0" fontId="0" fillId="0" borderId="18" xfId="0" applyFont="1" applyFill="1" applyBorder="1" applyAlignment="1">
      <alignment horizontal="center" wrapText="1"/>
    </xf>
    <xf numFmtId="0" fontId="0" fillId="0" borderId="17" xfId="0" applyFont="1" applyFill="1" applyBorder="1" applyAlignment="1">
      <alignment horizontal="center" wrapText="1"/>
    </xf>
    <xf numFmtId="0" fontId="0" fillId="0" borderId="20" xfId="0" applyFont="1" applyFill="1" applyBorder="1" applyAlignment="1">
      <alignment horizontal="center" wrapText="1"/>
    </xf>
    <xf numFmtId="0" fontId="0" fillId="0" borderId="19" xfId="0" applyFont="1" applyFill="1" applyBorder="1" applyAlignment="1">
      <alignment horizontal="center" wrapText="1"/>
    </xf>
    <xf numFmtId="0" fontId="0" fillId="0" borderId="22" xfId="0" applyFont="1" applyFill="1" applyBorder="1" applyAlignment="1">
      <alignment horizontal="center" wrapText="1"/>
    </xf>
    <xf numFmtId="0" fontId="0" fillId="0" borderId="21" xfId="0" applyFont="1" applyFill="1" applyBorder="1" applyAlignment="1">
      <alignment horizontal="center" wrapText="1"/>
    </xf>
    <xf numFmtId="0" fontId="13" fillId="0" borderId="30" xfId="0" applyFont="1" applyFill="1" applyBorder="1" applyAlignment="1">
      <alignment horizontal="center"/>
    </xf>
    <xf numFmtId="0" fontId="13" fillId="0" borderId="31" xfId="0" applyFont="1" applyFill="1" applyBorder="1" applyAlignment="1">
      <alignment horizontal="center"/>
    </xf>
    <xf numFmtId="0" fontId="13" fillId="0" borderId="27" xfId="0" applyFont="1" applyFill="1" applyBorder="1" applyAlignment="1">
      <alignment horizontal="center"/>
    </xf>
    <xf numFmtId="0" fontId="0" fillId="0" borderId="20" xfId="0" applyBorder="1" applyAlignment="1">
      <alignment horizontal="left" vertical="center" wrapText="1"/>
    </xf>
    <xf numFmtId="0" fontId="0" fillId="6" borderId="20" xfId="0" applyFill="1" applyBorder="1" applyAlignment="1">
      <alignment horizontal="left" vertical="center"/>
    </xf>
    <xf numFmtId="0" fontId="0" fillId="6" borderId="22" xfId="0" applyFill="1" applyBorder="1" applyAlignment="1">
      <alignment horizontal="left" vertical="center"/>
    </xf>
    <xf numFmtId="0" fontId="0" fillId="0" borderId="0" xfId="0" applyBorder="1" applyAlignment="1">
      <alignment horizontal="left" vertical="center" wrapText="1"/>
    </xf>
    <xf numFmtId="0" fontId="0" fillId="0" borderId="0" xfId="0" applyBorder="1" applyAlignment="1">
      <alignment horizontal="left" vertical="center"/>
    </xf>
    <xf numFmtId="0" fontId="0" fillId="0" borderId="19" xfId="0" applyBorder="1" applyAlignment="1">
      <alignment horizontal="left" vertical="top" wrapText="1"/>
    </xf>
    <xf numFmtId="0" fontId="0" fillId="0" borderId="0" xfId="0" applyFill="1" applyBorder="1" applyAlignment="1">
      <alignment horizontal="left" vertical="center" wrapText="1"/>
    </xf>
    <xf numFmtId="0" fontId="0" fillId="0" borderId="0" xfId="0" applyFill="1" applyBorder="1" applyAlignment="1">
      <alignment horizontal="left" vertical="top" wrapText="1"/>
    </xf>
    <xf numFmtId="0" fontId="0" fillId="0" borderId="0" xfId="0" applyBorder="1" applyAlignment="1">
      <alignment horizontal="left" vertical="top" wrapText="1"/>
    </xf>
    <xf numFmtId="0" fontId="14" fillId="0" borderId="18" xfId="0" applyFont="1" applyBorder="1" applyAlignment="1">
      <alignment horizontal="center" wrapText="1"/>
    </xf>
    <xf numFmtId="0" fontId="14" fillId="0" borderId="17" xfId="0" applyFont="1" applyBorder="1" applyAlignment="1">
      <alignment horizontal="center" wrapText="1"/>
    </xf>
    <xf numFmtId="0" fontId="14" fillId="0" borderId="20" xfId="0" applyFont="1" applyBorder="1" applyAlignment="1">
      <alignment horizontal="center" wrapText="1"/>
    </xf>
    <xf numFmtId="0" fontId="14" fillId="0" borderId="19" xfId="0" applyFont="1" applyBorder="1" applyAlignment="1">
      <alignment horizontal="center" wrapText="1"/>
    </xf>
    <xf numFmtId="0" fontId="0" fillId="9" borderId="20" xfId="0" applyFill="1" applyBorder="1" applyAlignment="1">
      <alignment horizontal="left" vertical="center"/>
    </xf>
    <xf numFmtId="0" fontId="0" fillId="0" borderId="0" xfId="0" applyFill="1" applyBorder="1" applyAlignment="1">
      <alignment horizontal="left" wrapText="1"/>
    </xf>
    <xf numFmtId="0" fontId="0" fillId="0" borderId="0" xfId="0" applyBorder="1" applyAlignment="1">
      <alignment horizontal="left" wrapText="1"/>
    </xf>
    <xf numFmtId="0" fontId="0" fillId="0" borderId="0" xfId="0" applyFill="1" applyBorder="1" applyAlignment="1">
      <alignment horizontal="left" vertical="center"/>
    </xf>
    <xf numFmtId="0" fontId="3" fillId="0" borderId="35" xfId="0" applyFont="1" applyBorder="1" applyAlignment="1">
      <alignment horizontal="center"/>
    </xf>
    <xf numFmtId="0" fontId="3" fillId="0" borderId="36" xfId="0" applyFont="1" applyBorder="1" applyAlignment="1">
      <alignment horizontal="center"/>
    </xf>
    <xf numFmtId="0" fontId="0" fillId="9" borderId="0" xfId="0" applyFill="1" applyBorder="1" applyAlignment="1">
      <alignment horizontal="left" vertical="center" wrapText="1"/>
    </xf>
    <xf numFmtId="0" fontId="0" fillId="0" borderId="20" xfId="0" applyBorder="1" applyAlignment="1">
      <alignment horizontal="left" vertical="center"/>
    </xf>
    <xf numFmtId="0" fontId="0" fillId="9" borderId="0" xfId="0" applyFill="1" applyBorder="1" applyAlignment="1">
      <alignment horizontal="left" vertical="center"/>
    </xf>
    <xf numFmtId="0" fontId="0" fillId="0" borderId="24" xfId="0" applyBorder="1" applyAlignment="1">
      <alignment horizontal="center" vertical="center" wrapText="1"/>
    </xf>
    <xf numFmtId="0" fontId="0" fillId="0" borderId="17" xfId="0" applyBorder="1" applyAlignment="1">
      <alignment horizontal="center" vertical="center" wrapText="1"/>
    </xf>
    <xf numFmtId="0" fontId="0" fillId="9" borderId="19" xfId="0" applyFill="1" applyBorder="1" applyAlignment="1">
      <alignment horizontal="left" vertical="center"/>
    </xf>
    <xf numFmtId="0" fontId="0" fillId="0" borderId="19" xfId="0" applyBorder="1" applyAlignment="1">
      <alignment horizontal="left" vertical="center" wrapText="1"/>
    </xf>
    <xf numFmtId="0" fontId="0" fillId="0" borderId="0" xfId="0" applyBorder="1" applyAlignment="1">
      <alignment horizontal="center" vertical="center" wrapText="1"/>
    </xf>
    <xf numFmtId="0" fontId="13" fillId="0" borderId="18" xfId="0" applyFont="1" applyBorder="1" applyAlignment="1">
      <alignment horizontal="center" vertical="top" wrapText="1"/>
    </xf>
    <xf numFmtId="0" fontId="13" fillId="0" borderId="24" xfId="0" applyFont="1" applyBorder="1" applyAlignment="1">
      <alignment horizontal="center" vertical="top" wrapText="1"/>
    </xf>
    <xf numFmtId="0" fontId="13" fillId="0" borderId="17" xfId="0" applyFont="1" applyBorder="1" applyAlignment="1">
      <alignment horizontal="center" vertical="top" wrapText="1"/>
    </xf>
    <xf numFmtId="0" fontId="13" fillId="0" borderId="20" xfId="0" applyFont="1" applyBorder="1" applyAlignment="1">
      <alignment horizontal="center" vertical="top" wrapText="1"/>
    </xf>
    <xf numFmtId="0" fontId="13" fillId="0" borderId="0" xfId="0" applyFont="1" applyBorder="1" applyAlignment="1">
      <alignment horizontal="center" vertical="top" wrapText="1"/>
    </xf>
    <xf numFmtId="0" fontId="13" fillId="0" borderId="19" xfId="0" applyFont="1" applyBorder="1" applyAlignment="1">
      <alignment horizontal="center" vertical="top" wrapText="1"/>
    </xf>
    <xf numFmtId="0" fontId="13" fillId="0" borderId="22" xfId="0" applyFont="1" applyBorder="1" applyAlignment="1">
      <alignment horizontal="center" vertical="top" wrapText="1"/>
    </xf>
    <xf numFmtId="0" fontId="13" fillId="0" borderId="25" xfId="0" applyFont="1" applyBorder="1" applyAlignment="1">
      <alignment horizontal="center" vertical="top" wrapText="1"/>
    </xf>
    <xf numFmtId="0" fontId="13" fillId="0" borderId="21" xfId="0" applyFont="1" applyBorder="1" applyAlignment="1">
      <alignment horizontal="center" vertical="top"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 xfId="0" applyBorder="1" applyAlignment="1">
      <alignment horizontal="center" vertical="top" wrapText="1"/>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0" fontId="0" fillId="0" borderId="8" xfId="0" applyBorder="1" applyAlignment="1">
      <alignment horizontal="center" vertical="top" wrapText="1"/>
    </xf>
    <xf numFmtId="0" fontId="0" fillId="0" borderId="18" xfId="0" applyFont="1" applyBorder="1" applyAlignment="1">
      <alignment horizontal="center" vertical="top" wrapText="1"/>
    </xf>
    <xf numFmtId="0" fontId="0" fillId="0" borderId="24" xfId="0" applyFont="1" applyBorder="1" applyAlignment="1">
      <alignment horizontal="center" vertical="top" wrapText="1"/>
    </xf>
    <xf numFmtId="0" fontId="0" fillId="0" borderId="17" xfId="0" applyFont="1" applyBorder="1" applyAlignment="1">
      <alignment horizontal="center" vertical="top" wrapText="1"/>
    </xf>
    <xf numFmtId="0" fontId="0" fillId="0" borderId="20" xfId="0" applyFont="1" applyBorder="1" applyAlignment="1">
      <alignment horizontal="center" vertical="top" wrapText="1"/>
    </xf>
    <xf numFmtId="0" fontId="0" fillId="0" borderId="0" xfId="0" applyFont="1" applyBorder="1" applyAlignment="1">
      <alignment horizontal="center" vertical="top" wrapText="1"/>
    </xf>
    <xf numFmtId="0" fontId="0" fillId="0" borderId="19" xfId="0" applyFont="1" applyBorder="1" applyAlignment="1">
      <alignment horizontal="center" vertical="top" wrapText="1"/>
    </xf>
    <xf numFmtId="0" fontId="0" fillId="0" borderId="22" xfId="0" applyFont="1" applyBorder="1" applyAlignment="1">
      <alignment horizontal="center" vertical="top" wrapText="1"/>
    </xf>
    <xf numFmtId="0" fontId="0" fillId="0" borderId="25" xfId="0" applyFont="1" applyBorder="1" applyAlignment="1">
      <alignment horizontal="center" vertical="top" wrapText="1"/>
    </xf>
    <xf numFmtId="0" fontId="0" fillId="0" borderId="21" xfId="0" applyFont="1" applyBorder="1" applyAlignment="1">
      <alignment horizontal="center" vertical="top" wrapText="1"/>
    </xf>
    <xf numFmtId="0" fontId="0" fillId="0" borderId="18" xfId="0" applyBorder="1" applyAlignment="1">
      <alignment horizontal="center" vertical="top" wrapText="1"/>
    </xf>
    <xf numFmtId="0" fontId="0" fillId="0" borderId="17" xfId="0" applyBorder="1" applyAlignment="1">
      <alignment horizontal="center" vertical="top" wrapText="1"/>
    </xf>
    <xf numFmtId="0" fontId="0" fillId="0" borderId="1" xfId="0" applyFill="1" applyBorder="1" applyAlignment="1">
      <alignment horizontal="center" wrapText="1"/>
    </xf>
    <xf numFmtId="0" fontId="0" fillId="0" borderId="2" xfId="0" applyFill="1" applyBorder="1" applyAlignment="1">
      <alignment horizontal="center" wrapText="1"/>
    </xf>
    <xf numFmtId="0" fontId="0" fillId="0" borderId="3" xfId="0" applyFill="1" applyBorder="1" applyAlignment="1">
      <alignment horizontal="center" wrapText="1"/>
    </xf>
    <xf numFmtId="0" fontId="0" fillId="0" borderId="4" xfId="0" applyFill="1" applyBorder="1" applyAlignment="1">
      <alignment horizontal="center" wrapText="1"/>
    </xf>
    <xf numFmtId="0" fontId="0" fillId="0" borderId="0" xfId="0" applyFill="1" applyBorder="1" applyAlignment="1">
      <alignment horizontal="center" wrapText="1"/>
    </xf>
    <xf numFmtId="0" fontId="0" fillId="0" borderId="5" xfId="0" applyFill="1" applyBorder="1" applyAlignment="1">
      <alignment horizontal="center" wrapText="1"/>
    </xf>
    <xf numFmtId="0" fontId="0" fillId="0" borderId="6" xfId="0" applyFill="1" applyBorder="1" applyAlignment="1">
      <alignment horizontal="center" wrapText="1"/>
    </xf>
    <xf numFmtId="0" fontId="0" fillId="0" borderId="7" xfId="0" applyFill="1" applyBorder="1" applyAlignment="1">
      <alignment horizontal="center" wrapText="1"/>
    </xf>
    <xf numFmtId="0" fontId="0" fillId="0" borderId="8" xfId="0" applyFill="1" applyBorder="1" applyAlignment="1">
      <alignment horizontal="center"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0" xfId="0" applyFont="1" applyBorder="1" applyAlignment="1">
      <alignment horizontal="center" wrapText="1"/>
    </xf>
    <xf numFmtId="0" fontId="3" fillId="0" borderId="5" xfId="0" applyFont="1" applyBorder="1" applyAlignment="1">
      <alignment horizontal="center" wrapText="1"/>
    </xf>
    <xf numFmtId="0" fontId="3" fillId="0" borderId="4" xfId="0" applyFont="1" applyBorder="1" applyAlignment="1">
      <alignment horizontal="center"/>
    </xf>
    <xf numFmtId="0" fontId="3" fillId="0" borderId="0" xfId="0" applyFont="1" applyBorder="1" applyAlignment="1">
      <alignment horizontal="center"/>
    </xf>
    <xf numFmtId="0" fontId="3" fillId="0" borderId="4" xfId="0" applyFont="1" applyFill="1" applyBorder="1" applyAlignment="1">
      <alignment horizontal="center"/>
    </xf>
    <xf numFmtId="0" fontId="3" fillId="0" borderId="0" xfId="0" applyFont="1" applyFill="1" applyBorder="1" applyAlignment="1">
      <alignment horizontal="center"/>
    </xf>
    <xf numFmtId="0" fontId="3" fillId="0" borderId="5" xfId="0" applyFont="1" applyFill="1" applyBorder="1" applyAlignment="1">
      <alignment horizontal="center"/>
    </xf>
    <xf numFmtId="0" fontId="3" fillId="0" borderId="5" xfId="0" applyFont="1" applyBorder="1" applyAlignment="1">
      <alignment horizont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0" fillId="0" borderId="30" xfId="0" applyBorder="1" applyAlignment="1">
      <alignment horizontal="center" vertical="top" wrapText="1"/>
    </xf>
    <xf numFmtId="0" fontId="0" fillId="0" borderId="27" xfId="0" applyBorder="1" applyAlignment="1">
      <alignment horizontal="center" vertical="top" wrapText="1"/>
    </xf>
    <xf numFmtId="0" fontId="13" fillId="0" borderId="30" xfId="0" applyFont="1" applyBorder="1" applyAlignment="1">
      <alignment horizontal="center" wrapText="1"/>
    </xf>
    <xf numFmtId="0" fontId="13" fillId="0" borderId="31" xfId="0" applyFont="1" applyBorder="1" applyAlignment="1">
      <alignment horizontal="center" wrapText="1"/>
    </xf>
    <xf numFmtId="0" fontId="13" fillId="0" borderId="27" xfId="0" applyFont="1" applyBorder="1" applyAlignment="1">
      <alignment horizontal="center" wrapText="1"/>
    </xf>
    <xf numFmtId="0" fontId="0" fillId="0" borderId="57" xfId="0" applyBorder="1" applyAlignment="1">
      <alignment horizontal="center" wrapText="1"/>
    </xf>
    <xf numFmtId="0" fontId="0" fillId="0" borderId="58" xfId="0" applyBorder="1" applyAlignment="1">
      <alignment horizontal="center" wrapText="1"/>
    </xf>
    <xf numFmtId="0" fontId="0" fillId="0" borderId="59" xfId="0" applyBorder="1" applyAlignment="1">
      <alignment horizontal="center" wrapText="1"/>
    </xf>
    <xf numFmtId="0" fontId="0" fillId="0" borderId="20" xfId="0" applyBorder="1" applyAlignment="1">
      <alignment horizontal="center" textRotation="90" wrapText="1"/>
    </xf>
    <xf numFmtId="0" fontId="0" fillId="0" borderId="22" xfId="0" applyBorder="1" applyAlignment="1">
      <alignment horizontal="center" textRotation="90" wrapText="1"/>
    </xf>
    <xf numFmtId="0" fontId="0" fillId="0" borderId="18" xfId="0" applyBorder="1" applyAlignment="1">
      <alignment horizontal="center" textRotation="90" wrapText="1"/>
    </xf>
    <xf numFmtId="0" fontId="13" fillId="0" borderId="20" xfId="0" applyFont="1" applyBorder="1" applyAlignment="1">
      <alignment horizontal="center" wrapText="1"/>
    </xf>
    <xf numFmtId="0" fontId="13" fillId="0" borderId="0" xfId="0" applyFont="1" applyBorder="1" applyAlignment="1">
      <alignment horizontal="center" wrapText="1"/>
    </xf>
    <xf numFmtId="0" fontId="13" fillId="0" borderId="19" xfId="0" applyFont="1" applyBorder="1" applyAlignment="1">
      <alignment horizontal="center" wrapText="1"/>
    </xf>
    <xf numFmtId="0" fontId="20" fillId="0" borderId="18" xfId="0" applyFont="1" applyBorder="1" applyAlignment="1">
      <alignment horizontal="center" wrapText="1"/>
    </xf>
    <xf numFmtId="0" fontId="20" fillId="0" borderId="24" xfId="0" applyFont="1" applyBorder="1" applyAlignment="1">
      <alignment horizontal="center" wrapText="1"/>
    </xf>
    <xf numFmtId="0" fontId="20" fillId="0" borderId="17" xfId="0" applyFont="1" applyBorder="1" applyAlignment="1">
      <alignment horizontal="center" wrapText="1"/>
    </xf>
    <xf numFmtId="0" fontId="20" fillId="0" borderId="20" xfId="0" applyFont="1" applyBorder="1" applyAlignment="1">
      <alignment horizontal="center" wrapText="1"/>
    </xf>
    <xf numFmtId="0" fontId="20" fillId="0" borderId="0" xfId="0" applyFont="1" applyBorder="1" applyAlignment="1">
      <alignment horizontal="center" wrapText="1"/>
    </xf>
    <xf numFmtId="0" fontId="20" fillId="0" borderId="19" xfId="0" applyFont="1" applyBorder="1" applyAlignment="1">
      <alignment horizontal="center" wrapText="1"/>
    </xf>
    <xf numFmtId="0" fontId="3" fillId="0" borderId="18" xfId="0" applyFont="1" applyBorder="1" applyAlignment="1">
      <alignment horizontal="center"/>
    </xf>
    <xf numFmtId="0" fontId="3" fillId="0" borderId="24" xfId="0" applyFont="1" applyBorder="1" applyAlignment="1">
      <alignment horizontal="center"/>
    </xf>
    <xf numFmtId="0" fontId="3" fillId="0" borderId="17" xfId="0" applyFont="1" applyBorder="1" applyAlignment="1">
      <alignment horizontal="center"/>
    </xf>
    <xf numFmtId="3" fontId="9" fillId="0" borderId="13" xfId="2" applyNumberFormat="1" applyFont="1" applyFill="1" applyBorder="1" applyAlignment="1">
      <alignment horizontal="left" vertical="top" wrapText="1" indent="6"/>
    </xf>
    <xf numFmtId="3" fontId="9" fillId="0" borderId="13" xfId="2" applyNumberFormat="1" applyFont="1" applyFill="1" applyBorder="1" applyAlignment="1">
      <alignment horizontal="left" vertical="top" wrapText="1" indent="7"/>
    </xf>
    <xf numFmtId="3" fontId="9" fillId="0" borderId="9" xfId="2" applyNumberFormat="1" applyFont="1" applyFill="1" applyBorder="1" applyAlignment="1">
      <alignment horizontal="left" vertical="top" wrapText="1" indent="6"/>
    </xf>
    <xf numFmtId="3" fontId="9" fillId="0" borderId="26" xfId="2" applyNumberFormat="1" applyFont="1" applyFill="1" applyBorder="1" applyAlignment="1">
      <alignment horizontal="left" vertical="top" wrapText="1" indent="6"/>
    </xf>
    <xf numFmtId="3" fontId="9" fillId="0" borderId="16" xfId="2" applyNumberFormat="1" applyFont="1" applyFill="1" applyBorder="1" applyAlignment="1">
      <alignment horizontal="left" vertical="top" wrapText="1" indent="6"/>
    </xf>
    <xf numFmtId="3" fontId="9" fillId="0" borderId="52" xfId="2" applyNumberFormat="1" applyFont="1" applyFill="1" applyBorder="1" applyAlignment="1">
      <alignment horizontal="left" vertical="top" wrapText="1" indent="6"/>
    </xf>
    <xf numFmtId="4" fontId="9" fillId="0" borderId="14" xfId="0" applyNumberFormat="1" applyFont="1" applyBorder="1" applyAlignment="1">
      <alignment horizontal="right" vertical="top" wrapText="1"/>
    </xf>
    <xf numFmtId="4" fontId="9" fillId="0" borderId="10" xfId="0" applyNumberFormat="1" applyFont="1" applyBorder="1" applyAlignment="1">
      <alignment horizontal="right" vertical="top" wrapText="1"/>
    </xf>
    <xf numFmtId="4" fontId="9" fillId="0" borderId="26" xfId="0" applyNumberFormat="1" applyFont="1" applyBorder="1" applyAlignment="1">
      <alignment horizontal="right" vertical="top" wrapText="1"/>
    </xf>
    <xf numFmtId="4" fontId="9" fillId="0" borderId="16" xfId="0" applyNumberFormat="1" applyFont="1" applyBorder="1" applyAlignment="1">
      <alignment horizontal="right" vertical="top" wrapText="1"/>
    </xf>
    <xf numFmtId="4" fontId="9" fillId="0" borderId="26" xfId="0" applyNumberFormat="1" applyFont="1" applyFill="1" applyBorder="1" applyAlignment="1">
      <alignment horizontal="right" vertical="top" wrapText="1"/>
    </xf>
    <xf numFmtId="4" fontId="9" fillId="0" borderId="52" xfId="0" applyNumberFormat="1" applyFont="1" applyFill="1" applyBorder="1" applyAlignment="1">
      <alignment horizontal="right" vertical="top" wrapText="1"/>
    </xf>
    <xf numFmtId="2" fontId="0" fillId="0" borderId="46" xfId="0" applyNumberFormat="1" applyBorder="1"/>
    <xf numFmtId="2" fontId="0" fillId="0" borderId="44" xfId="0" applyNumberFormat="1" applyBorder="1"/>
    <xf numFmtId="2" fontId="0" fillId="0" borderId="53" xfId="0" applyNumberFormat="1" applyBorder="1"/>
    <xf numFmtId="167" fontId="0" fillId="0" borderId="0" xfId="0" applyNumberFormat="1" applyBorder="1" applyAlignment="1">
      <alignment vertical="center"/>
    </xf>
    <xf numFmtId="167" fontId="0" fillId="9" borderId="0" xfId="0" applyNumberFormat="1" applyFill="1" applyBorder="1" applyAlignment="1">
      <alignment horizontal="right" vertical="center"/>
    </xf>
    <xf numFmtId="167" fontId="0" fillId="0" borderId="0" xfId="0" applyNumberFormat="1" applyBorder="1" applyAlignment="1">
      <alignment horizontal="right" vertical="center"/>
    </xf>
    <xf numFmtId="167" fontId="0" fillId="2" borderId="0" xfId="0" applyNumberFormat="1" applyFill="1" applyBorder="1"/>
    <xf numFmtId="167" fontId="0" fillId="9" borderId="0" xfId="0" applyNumberFormat="1" applyFill="1" applyBorder="1"/>
    <xf numFmtId="167" fontId="0" fillId="2" borderId="25" xfId="0" applyNumberFormat="1" applyFill="1" applyBorder="1"/>
    <xf numFmtId="0" fontId="3" fillId="0" borderId="24" xfId="0" applyFont="1" applyBorder="1" applyAlignment="1">
      <alignment wrapText="1"/>
    </xf>
    <xf numFmtId="0" fontId="3" fillId="7" borderId="24" xfId="0" applyFont="1" applyFill="1" applyBorder="1" applyAlignment="1">
      <alignment wrapText="1"/>
    </xf>
    <xf numFmtId="167" fontId="0" fillId="6" borderId="0" xfId="0" applyNumberFormat="1" applyFill="1" applyBorder="1"/>
    <xf numFmtId="167" fontId="0" fillId="6" borderId="25" xfId="0" applyNumberFormat="1" applyFill="1" applyBorder="1"/>
    <xf numFmtId="1" fontId="0" fillId="6" borderId="0" xfId="0" applyNumberFormat="1" applyFill="1" applyBorder="1"/>
    <xf numFmtId="1" fontId="0" fillId="6" borderId="25" xfId="0" applyNumberFormat="1" applyFill="1" applyBorder="1"/>
    <xf numFmtId="1" fontId="0" fillId="0" borderId="33" xfId="0" applyNumberFormat="1" applyBorder="1"/>
    <xf numFmtId="1" fontId="0" fillId="2" borderId="4" xfId="0" applyNumberFormat="1" applyFill="1" applyBorder="1"/>
    <xf numFmtId="1" fontId="0" fillId="2" borderId="0" xfId="0" applyNumberFormat="1" applyFill="1" applyBorder="1"/>
    <xf numFmtId="1" fontId="0" fillId="2" borderId="5" xfId="0" applyNumberFormat="1" applyFill="1" applyBorder="1"/>
    <xf numFmtId="1" fontId="0" fillId="4" borderId="0" xfId="0" applyNumberFormat="1" applyFill="1" applyBorder="1"/>
    <xf numFmtId="1" fontId="0" fillId="2" borderId="28" xfId="0" applyNumberFormat="1" applyFill="1" applyBorder="1"/>
    <xf numFmtId="1" fontId="0" fillId="2" borderId="25" xfId="0" applyNumberFormat="1" applyFill="1" applyBorder="1"/>
    <xf numFmtId="1" fontId="0" fillId="2" borderId="29" xfId="0" applyNumberFormat="1" applyFill="1" applyBorder="1"/>
    <xf numFmtId="1" fontId="0" fillId="4" borderId="25" xfId="0" applyNumberFormat="1" applyFill="1" applyBorder="1"/>
    <xf numFmtId="0" fontId="13" fillId="0" borderId="30" xfId="0" applyFont="1" applyBorder="1" applyAlignment="1">
      <alignment horizontal="center" vertical="top" wrapText="1"/>
    </xf>
    <xf numFmtId="0" fontId="13" fillId="0" borderId="31" xfId="0" applyFont="1" applyBorder="1" applyAlignment="1">
      <alignment horizontal="center" vertical="top" wrapText="1"/>
    </xf>
    <xf numFmtId="167" fontId="0" fillId="8" borderId="25" xfId="0" applyNumberFormat="1" applyFill="1" applyBorder="1"/>
    <xf numFmtId="1" fontId="0" fillId="0" borderId="24" xfId="0" applyNumberFormat="1" applyBorder="1"/>
    <xf numFmtId="1" fontId="0" fillId="0" borderId="0" xfId="0" applyNumberFormat="1" applyFill="1" applyBorder="1" applyAlignment="1">
      <alignment wrapText="1"/>
    </xf>
    <xf numFmtId="2" fontId="0" fillId="0" borderId="0" xfId="0" applyNumberFormat="1" applyBorder="1" applyAlignment="1">
      <alignment wrapText="1"/>
    </xf>
    <xf numFmtId="2" fontId="0" fillId="0" borderId="25" xfId="0" applyNumberFormat="1" applyBorder="1"/>
    <xf numFmtId="167" fontId="3" fillId="0" borderId="19" xfId="0" applyNumberFormat="1" applyFont="1" applyBorder="1"/>
    <xf numFmtId="167" fontId="3" fillId="8" borderId="19" xfId="0" applyNumberFormat="1" applyFont="1" applyFill="1" applyBorder="1"/>
    <xf numFmtId="167" fontId="3" fillId="0" borderId="21" xfId="0" applyNumberFormat="1" applyFont="1" applyBorder="1"/>
    <xf numFmtId="167" fontId="3" fillId="0" borderId="17" xfId="0" applyNumberFormat="1" applyFont="1" applyBorder="1"/>
    <xf numFmtId="1" fontId="0" fillId="0" borderId="0" xfId="0" applyNumberFormat="1" applyBorder="1" applyAlignment="1">
      <alignment wrapText="1"/>
    </xf>
    <xf numFmtId="0" fontId="6" fillId="0" borderId="4" xfId="0" applyFont="1" applyBorder="1" applyAlignment="1">
      <alignment wrapText="1"/>
    </xf>
    <xf numFmtId="0" fontId="6" fillId="0" borderId="0" xfId="0" applyFont="1" applyBorder="1" applyAlignment="1">
      <alignment wrapText="1"/>
    </xf>
    <xf numFmtId="0" fontId="6" fillId="0" borderId="5" xfId="0" applyFont="1" applyBorder="1" applyAlignment="1">
      <alignment wrapText="1"/>
    </xf>
    <xf numFmtId="0" fontId="0" fillId="0" borderId="1" xfId="0" applyFill="1" applyBorder="1" applyAlignment="1">
      <alignment horizontal="center" vertical="top" wrapText="1"/>
    </xf>
    <xf numFmtId="0" fontId="0" fillId="0" borderId="2" xfId="0" applyFill="1" applyBorder="1" applyAlignment="1">
      <alignment horizontal="center" vertical="top" wrapText="1"/>
    </xf>
    <xf numFmtId="0" fontId="0" fillId="0" borderId="3" xfId="0" applyFill="1" applyBorder="1" applyAlignment="1">
      <alignment horizontal="center" vertical="top" wrapText="1"/>
    </xf>
    <xf numFmtId="0" fontId="0" fillId="0" borderId="4" xfId="0" applyFill="1" applyBorder="1" applyAlignment="1">
      <alignment horizontal="center" vertical="top" wrapText="1"/>
    </xf>
    <xf numFmtId="0" fontId="0" fillId="0" borderId="0" xfId="0" applyFill="1" applyBorder="1" applyAlignment="1">
      <alignment horizontal="center" vertical="top" wrapText="1"/>
    </xf>
    <xf numFmtId="0" fontId="0" fillId="0" borderId="5" xfId="0" applyFill="1" applyBorder="1" applyAlignment="1">
      <alignment horizontal="center" vertical="top" wrapText="1"/>
    </xf>
    <xf numFmtId="0" fontId="0" fillId="0" borderId="6" xfId="0" applyFill="1" applyBorder="1" applyAlignment="1">
      <alignment horizontal="center" vertical="top" wrapText="1"/>
    </xf>
    <xf numFmtId="0" fontId="0" fillId="0" borderId="7" xfId="0" applyFill="1" applyBorder="1" applyAlignment="1">
      <alignment horizontal="center" vertical="top" wrapText="1"/>
    </xf>
    <xf numFmtId="0" fontId="0" fillId="0" borderId="8" xfId="0" applyFill="1" applyBorder="1" applyAlignment="1">
      <alignment horizontal="center" vertical="top" wrapText="1"/>
    </xf>
    <xf numFmtId="0" fontId="3" fillId="0" borderId="18" xfId="0" applyFont="1" applyBorder="1" applyAlignment="1">
      <alignment wrapText="1"/>
    </xf>
    <xf numFmtId="0" fontId="11" fillId="0" borderId="24" xfId="0" applyFont="1" applyBorder="1" applyAlignment="1" applyProtection="1">
      <alignment wrapText="1"/>
      <protection locked="0"/>
    </xf>
    <xf numFmtId="0" fontId="11" fillId="0" borderId="24" xfId="0" applyFont="1" applyBorder="1" applyAlignment="1">
      <alignment wrapText="1"/>
    </xf>
    <xf numFmtId="0" fontId="11" fillId="0" borderId="17" xfId="0" applyFont="1" applyBorder="1" applyAlignment="1">
      <alignment wrapText="1"/>
    </xf>
    <xf numFmtId="2" fontId="3" fillId="0" borderId="5" xfId="0" applyNumberFormat="1" applyFont="1" applyBorder="1"/>
  </cellXfs>
  <cellStyles count="3">
    <cellStyle name="Hyperlink" xfId="1" builtinId="8"/>
    <cellStyle name="Normal" xfId="0" builtinId="0"/>
    <cellStyle name="Normal 2" xfId="2" xr:uid="{0BFB063C-E68E-4C54-8C58-863EE158B7CE}"/>
  </cellStyles>
  <dxfs count="18">
    <dxf>
      <fill>
        <patternFill>
          <bgColor theme="9" tint="0.79998168889431442"/>
        </patternFill>
      </fill>
    </dxf>
    <dxf>
      <fill>
        <patternFill>
          <bgColor theme="9" tint="0.59996337778862885"/>
        </patternFill>
      </fill>
    </dxf>
    <dxf>
      <fill>
        <patternFill>
          <bgColor theme="9" tint="0.39994506668294322"/>
        </patternFill>
      </fill>
    </dxf>
    <dxf>
      <fill>
        <patternFill>
          <bgColor theme="9" tint="0.79998168889431442"/>
        </patternFill>
      </fill>
    </dxf>
    <dxf>
      <fill>
        <patternFill>
          <bgColor theme="9" tint="0.59996337778862885"/>
        </patternFill>
      </fill>
    </dxf>
    <dxf>
      <fill>
        <patternFill>
          <bgColor theme="9" tint="0.39994506668294322"/>
        </patternFill>
      </fill>
    </dxf>
    <dxf>
      <fill>
        <patternFill>
          <bgColor theme="9" tint="0.79998168889431442"/>
        </patternFill>
      </fill>
    </dxf>
    <dxf>
      <fill>
        <patternFill>
          <bgColor theme="9" tint="0.59996337778862885"/>
        </patternFill>
      </fill>
    </dxf>
    <dxf>
      <fill>
        <patternFill>
          <bgColor theme="9" tint="0.39994506668294322"/>
        </patternFill>
      </fill>
    </dxf>
    <dxf>
      <fill>
        <patternFill>
          <bgColor theme="9" tint="0.79998168889431442"/>
        </patternFill>
      </fill>
    </dxf>
    <dxf>
      <fill>
        <patternFill>
          <bgColor theme="9" tint="0.59996337778862885"/>
        </patternFill>
      </fill>
    </dxf>
    <dxf>
      <fill>
        <patternFill>
          <bgColor theme="9" tint="0.39994506668294322"/>
        </patternFill>
      </fill>
    </dxf>
    <dxf>
      <fill>
        <patternFill>
          <bgColor theme="9" tint="0.79998168889431442"/>
        </patternFill>
      </fill>
    </dxf>
    <dxf>
      <fill>
        <patternFill>
          <bgColor theme="9" tint="0.59996337778862885"/>
        </patternFill>
      </fill>
    </dxf>
    <dxf>
      <fill>
        <patternFill>
          <bgColor theme="9" tint="0.39994506668294322"/>
        </patternFill>
      </fill>
    </dxf>
    <dxf>
      <fill>
        <patternFill>
          <bgColor theme="9" tint="0.79998168889431442"/>
        </patternFill>
      </fill>
    </dxf>
    <dxf>
      <fill>
        <patternFill>
          <bgColor theme="9" tint="0.59996337778862885"/>
        </patternFill>
      </fill>
    </dxf>
    <dxf>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Soil amelioration sensitivity analysis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'Sensitivity analysis'!$B$4</c:f>
              <c:strCache>
                <c:ptCount val="1"/>
                <c:pt idx="0">
                  <c:v>Truck utilisation rate</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'Sensitivity analysis'!$C$7:$E$7</c:f>
              <c:numCache>
                <c:formatCode>General</c:formatCode>
                <c:ptCount val="3"/>
                <c:pt idx="0">
                  <c:v>100</c:v>
                </c:pt>
                <c:pt idx="1">
                  <c:v>50</c:v>
                </c:pt>
                <c:pt idx="2">
                  <c:v>0</c:v>
                </c:pt>
              </c:numCache>
            </c:numRef>
          </c:xVal>
          <c:yVal>
            <c:numRef>
              <c:f>'Sensitivity analysis'!$C$9:$E$9</c:f>
              <c:numCache>
                <c:formatCode>0.0</c:formatCode>
                <c:ptCount val="3"/>
                <c:pt idx="0">
                  <c:v>-50</c:v>
                </c:pt>
                <c:pt idx="1">
                  <c:v>-25</c:v>
                </c:pt>
                <c:pt idx="2">
                  <c:v>0</c:v>
                </c:pt>
              </c:numCache>
            </c:numRef>
          </c:yVal>
          <c:smooth val="1"/>
          <c:extLst>
            <c:ext xmlns:c16="http://schemas.microsoft.com/office/drawing/2014/chart" uri="{C3380CC4-5D6E-409C-BE32-E72D297353CC}">
              <c16:uniqueId val="{00000000-B260-4043-8951-AB8F394762BA}"/>
            </c:ext>
          </c:extLst>
        </c:ser>
        <c:ser>
          <c:idx val="1"/>
          <c:order val="1"/>
          <c:tx>
            <c:strRef>
              <c:f>'Sensitivity analysis'!$B$10</c:f>
              <c:strCache>
                <c:ptCount val="1"/>
                <c:pt idx="0">
                  <c:v>Pyrite content achieved</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'Sensitivity analysis'!$C$12:$H$12</c:f>
              <c:numCache>
                <c:formatCode>0</c:formatCode>
                <c:ptCount val="6"/>
                <c:pt idx="0">
                  <c:v>-85.443037974683548</c:v>
                </c:pt>
                <c:pt idx="1">
                  <c:v>-66.265822784810126</c:v>
                </c:pt>
                <c:pt idx="2">
                  <c:v>-47.088607594936718</c:v>
                </c:pt>
                <c:pt idx="3">
                  <c:v>0</c:v>
                </c:pt>
                <c:pt idx="4">
                  <c:v>47.088607594936718</c:v>
                </c:pt>
                <c:pt idx="5" formatCode="General">
                  <c:v>100</c:v>
                </c:pt>
              </c:numCache>
            </c:numRef>
          </c:xVal>
          <c:yVal>
            <c:numRef>
              <c:f>'Sensitivity analysis'!$C$14:$H$14</c:f>
              <c:numCache>
                <c:formatCode>0.0</c:formatCode>
                <c:ptCount val="6"/>
                <c:pt idx="0">
                  <c:v>586.95652173913049</c:v>
                </c:pt>
                <c:pt idx="1">
                  <c:v>196.43527204502811</c:v>
                </c:pt>
                <c:pt idx="2">
                  <c:v>88.995215311004756</c:v>
                </c:pt>
                <c:pt idx="3">
                  <c:v>0</c:v>
                </c:pt>
                <c:pt idx="4">
                  <c:v>-32.013769363166958</c:v>
                </c:pt>
                <c:pt idx="5">
                  <c:v>-50</c:v>
                </c:pt>
              </c:numCache>
            </c:numRef>
          </c:yVal>
          <c:smooth val="1"/>
          <c:extLst>
            <c:ext xmlns:c16="http://schemas.microsoft.com/office/drawing/2014/chart" uri="{C3380CC4-5D6E-409C-BE32-E72D297353CC}">
              <c16:uniqueId val="{00000002-B260-4043-8951-AB8F394762BA}"/>
            </c:ext>
          </c:extLst>
        </c:ser>
        <c:ser>
          <c:idx val="2"/>
          <c:order val="2"/>
          <c:tx>
            <c:strRef>
              <c:f>'Sensitivity analysis'!$B$15</c:f>
              <c:strCache>
                <c:ptCount val="1"/>
                <c:pt idx="0">
                  <c:v>Pyrite application rates</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'Sensitivity analysis'!$C$17:$E$17</c:f>
              <c:numCache>
                <c:formatCode>General</c:formatCode>
                <c:ptCount val="3"/>
                <c:pt idx="0" formatCode="0">
                  <c:v>-68.35514264662369</c:v>
                </c:pt>
                <c:pt idx="1">
                  <c:v>0</c:v>
                </c:pt>
                <c:pt idx="2">
                  <c:v>100</c:v>
                </c:pt>
              </c:numCache>
            </c:numRef>
          </c:xVal>
          <c:yVal>
            <c:numRef>
              <c:f>'Sensitivity analysis'!$C$19:$E$19</c:f>
              <c:numCache>
                <c:formatCode>0.0</c:formatCode>
                <c:ptCount val="3"/>
                <c:pt idx="0">
                  <c:v>-68.35514264662369</c:v>
                </c:pt>
                <c:pt idx="1">
                  <c:v>0</c:v>
                </c:pt>
                <c:pt idx="2">
                  <c:v>100</c:v>
                </c:pt>
              </c:numCache>
            </c:numRef>
          </c:yVal>
          <c:smooth val="1"/>
          <c:extLst>
            <c:ext xmlns:c16="http://schemas.microsoft.com/office/drawing/2014/chart" uri="{C3380CC4-5D6E-409C-BE32-E72D297353CC}">
              <c16:uniqueId val="{00000003-B260-4043-8951-AB8F394762BA}"/>
            </c:ext>
          </c:extLst>
        </c:ser>
        <c:ser>
          <c:idx val="3"/>
          <c:order val="3"/>
          <c:tx>
            <c:strRef>
              <c:f>'Sensitivity analysis'!$B$20</c:f>
              <c:strCache>
                <c:ptCount val="1"/>
                <c:pt idx="0">
                  <c:v>Road transport cost</c:v>
                </c:pt>
              </c:strCache>
            </c:strRef>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'Sensitivity analysis'!$C$22:$G$22</c:f>
              <c:numCache>
                <c:formatCode>0.0</c:formatCode>
                <c:ptCount val="5"/>
                <c:pt idx="0">
                  <c:v>-8.5937500000000107</c:v>
                </c:pt>
                <c:pt idx="1">
                  <c:v>-3.8120567375886538</c:v>
                </c:pt>
                <c:pt idx="2">
                  <c:v>0</c:v>
                </c:pt>
                <c:pt idx="3">
                  <c:v>5.0531914893617191</c:v>
                </c:pt>
                <c:pt idx="4">
                  <c:v>10.106382978723417</c:v>
                </c:pt>
              </c:numCache>
            </c:numRef>
          </c:xVal>
          <c:yVal>
            <c:numRef>
              <c:f>'Sensitivity analysis'!$C$24:$G$24</c:f>
              <c:numCache>
                <c:formatCode>0.0</c:formatCode>
                <c:ptCount val="5"/>
                <c:pt idx="0">
                  <c:v>-8.5937500000000107</c:v>
                </c:pt>
                <c:pt idx="1">
                  <c:v>-3.8120567375886538</c:v>
                </c:pt>
                <c:pt idx="2">
                  <c:v>0</c:v>
                </c:pt>
                <c:pt idx="3">
                  <c:v>5.0531914893617191</c:v>
                </c:pt>
                <c:pt idx="4">
                  <c:v>10.106382978723417</c:v>
                </c:pt>
              </c:numCache>
            </c:numRef>
          </c:yVal>
          <c:smooth val="1"/>
          <c:extLst>
            <c:ext xmlns:c16="http://schemas.microsoft.com/office/drawing/2014/chart" uri="{C3380CC4-5D6E-409C-BE32-E72D297353CC}">
              <c16:uniqueId val="{00000004-B260-4043-8951-AB8F394762BA}"/>
            </c:ext>
          </c:extLst>
        </c:ser>
        <c:dLbls>
          <c:showLegendKey val="0"/>
          <c:showVal val="0"/>
          <c:showCatName val="0"/>
          <c:showSerName val="0"/>
          <c:showPercent val="0"/>
          <c:showBubbleSize val="0"/>
        </c:dLbls>
        <c:axId val="635315584"/>
        <c:axId val="635316240"/>
      </c:scatterChart>
      <c:valAx>
        <c:axId val="63531558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Percentage change in variable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5316240"/>
        <c:crosses val="autoZero"/>
        <c:crossBetween val="midCat"/>
      </c:valAx>
      <c:valAx>
        <c:axId val="635316240"/>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Percentage change in cost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5315584"/>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0</xdr:colOff>
      <xdr:row>15</xdr:row>
      <xdr:rowOff>11112</xdr:rowOff>
    </xdr:from>
    <xdr:to>
      <xdr:col>17</xdr:col>
      <xdr:colOff>123825</xdr:colOff>
      <xdr:row>34</xdr:row>
      <xdr:rowOff>17462</xdr:rowOff>
    </xdr:to>
    <xdr:graphicFrame macro="">
      <xdr:nvGraphicFramePr>
        <xdr:cNvPr id="2" name="Chart 1">
          <a:extLst>
            <a:ext uri="{FF2B5EF4-FFF2-40B4-BE49-F238E27FC236}">
              <a16:creationId xmlns:a16="http://schemas.microsoft.com/office/drawing/2014/main" id="{F4212C64-1DDA-4C23-8597-7ACCAC5A23A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energy.gov.za/files/esources/petroleum/December2015/Basic-Fuel-Price.pdf" TargetMode="External"/><Relationship Id="rId7" Type="http://schemas.openxmlformats.org/officeDocument/2006/relationships/comments" Target="../comments3.xml"/><Relationship Id="rId2" Type="http://schemas.openxmlformats.org/officeDocument/2006/relationships/hyperlink" Target="http://www.energy.gov.za/files/esources/petroleum/May2019/Basic-Fuel-Price.pdf" TargetMode="External"/><Relationship Id="rId1" Type="http://schemas.openxmlformats.org/officeDocument/2006/relationships/hyperlink" Target="http://wwwrs.resbank.co.za/webindicators/SDDSDetail.aspx?DataItem=CPI1000A" TargetMode="External"/><Relationship Id="rId6" Type="http://schemas.openxmlformats.org/officeDocument/2006/relationships/vmlDrawing" Target="../drawings/vmlDrawing3.vml"/><Relationship Id="rId5" Type="http://schemas.openxmlformats.org/officeDocument/2006/relationships/printerSettings" Target="../printerSettings/printerSettings4.bin"/><Relationship Id="rId4" Type="http://schemas.openxmlformats.org/officeDocument/2006/relationships/hyperlink" Target="https://www.satruckbodies.co.za/"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4FE3C-EBF8-413A-BCF0-648085AF5676}">
  <dimension ref="B1:Q40"/>
  <sheetViews>
    <sheetView tabSelected="1" topLeftCell="A31" workbookViewId="0">
      <selection activeCell="B3" sqref="B3:G11"/>
    </sheetView>
  </sheetViews>
  <sheetFormatPr defaultRowHeight="14.5" x14ac:dyDescent="0.35"/>
  <cols>
    <col min="9" max="9" width="26.7265625" bestFit="1" customWidth="1"/>
  </cols>
  <sheetData>
    <row r="1" spans="2:17" ht="15" thickBot="1" x14ac:dyDescent="0.4"/>
    <row r="2" spans="2:17" ht="21.5" thickBot="1" x14ac:dyDescent="0.55000000000000004">
      <c r="B2" s="212" t="s">
        <v>280</v>
      </c>
      <c r="C2" s="213"/>
      <c r="D2" s="213"/>
      <c r="E2" s="213"/>
      <c r="F2" s="213"/>
      <c r="G2" s="214"/>
      <c r="I2" s="37" t="s">
        <v>279</v>
      </c>
    </row>
    <row r="3" spans="2:17" ht="14.5" customHeight="1" x14ac:dyDescent="0.35">
      <c r="B3" s="220" t="s">
        <v>421</v>
      </c>
      <c r="C3" s="221"/>
      <c r="D3" s="221"/>
      <c r="E3" s="221"/>
      <c r="F3" s="221"/>
      <c r="G3" s="222"/>
      <c r="H3" s="110"/>
      <c r="I3" s="215" t="s">
        <v>281</v>
      </c>
      <c r="J3" s="216" t="s">
        <v>285</v>
      </c>
      <c r="K3" s="216"/>
      <c r="L3" s="216"/>
      <c r="M3" s="216"/>
      <c r="N3" s="216"/>
      <c r="O3" s="216"/>
      <c r="P3" s="216"/>
      <c r="Q3" s="216"/>
    </row>
    <row r="4" spans="2:17" x14ac:dyDescent="0.35">
      <c r="B4" s="220"/>
      <c r="C4" s="221"/>
      <c r="D4" s="221"/>
      <c r="E4" s="221"/>
      <c r="F4" s="221"/>
      <c r="G4" s="222"/>
      <c r="H4" s="110"/>
      <c r="I4" s="215"/>
      <c r="J4" s="216"/>
      <c r="K4" s="216"/>
      <c r="L4" s="216"/>
      <c r="M4" s="216"/>
      <c r="N4" s="216"/>
      <c r="O4" s="216"/>
      <c r="P4" s="216"/>
      <c r="Q4" s="216"/>
    </row>
    <row r="5" spans="2:17" x14ac:dyDescent="0.35">
      <c r="B5" s="220"/>
      <c r="C5" s="221"/>
      <c r="D5" s="221"/>
      <c r="E5" s="221"/>
      <c r="F5" s="221"/>
      <c r="G5" s="222"/>
      <c r="H5" s="110"/>
      <c r="I5" s="215"/>
      <c r="J5" s="216"/>
      <c r="K5" s="216"/>
      <c r="L5" s="216"/>
      <c r="M5" s="216"/>
      <c r="N5" s="216"/>
      <c r="O5" s="216"/>
      <c r="P5" s="216"/>
      <c r="Q5" s="216"/>
    </row>
    <row r="6" spans="2:17" x14ac:dyDescent="0.35">
      <c r="B6" s="220"/>
      <c r="C6" s="221"/>
      <c r="D6" s="221"/>
      <c r="E6" s="221"/>
      <c r="F6" s="221"/>
      <c r="G6" s="222"/>
      <c r="H6" s="110"/>
      <c r="I6" s="215" t="s">
        <v>282</v>
      </c>
      <c r="J6" s="216" t="s">
        <v>286</v>
      </c>
      <c r="K6" s="216"/>
      <c r="L6" s="216"/>
      <c r="M6" s="216"/>
      <c r="N6" s="216"/>
      <c r="O6" s="216"/>
      <c r="P6" s="216"/>
      <c r="Q6" s="216"/>
    </row>
    <row r="7" spans="2:17" x14ac:dyDescent="0.35">
      <c r="B7" s="220"/>
      <c r="C7" s="221"/>
      <c r="D7" s="221"/>
      <c r="E7" s="221"/>
      <c r="F7" s="221"/>
      <c r="G7" s="222"/>
      <c r="H7" s="110"/>
      <c r="I7" s="215"/>
      <c r="J7" s="216"/>
      <c r="K7" s="216"/>
      <c r="L7" s="216"/>
      <c r="M7" s="216"/>
      <c r="N7" s="216"/>
      <c r="O7" s="216"/>
      <c r="P7" s="216"/>
      <c r="Q7" s="216"/>
    </row>
    <row r="8" spans="2:17" x14ac:dyDescent="0.35">
      <c r="B8" s="220"/>
      <c r="C8" s="221"/>
      <c r="D8" s="221"/>
      <c r="E8" s="221"/>
      <c r="F8" s="221"/>
      <c r="G8" s="222"/>
      <c r="H8" s="110"/>
      <c r="I8" s="215" t="s">
        <v>283</v>
      </c>
      <c r="J8" s="216" t="s">
        <v>287</v>
      </c>
      <c r="K8" s="216"/>
      <c r="L8" s="216"/>
      <c r="M8" s="216"/>
      <c r="N8" s="216"/>
      <c r="O8" s="216"/>
      <c r="P8" s="216"/>
      <c r="Q8" s="216"/>
    </row>
    <row r="9" spans="2:17" x14ac:dyDescent="0.35">
      <c r="B9" s="220"/>
      <c r="C9" s="221"/>
      <c r="D9" s="221"/>
      <c r="E9" s="221"/>
      <c r="F9" s="221"/>
      <c r="G9" s="222"/>
      <c r="H9" s="110"/>
      <c r="I9" s="215"/>
      <c r="J9" s="216"/>
      <c r="K9" s="216"/>
      <c r="L9" s="216"/>
      <c r="M9" s="216"/>
      <c r="N9" s="216"/>
      <c r="O9" s="216"/>
      <c r="P9" s="216"/>
      <c r="Q9" s="216"/>
    </row>
    <row r="10" spans="2:17" x14ac:dyDescent="0.35">
      <c r="B10" s="220"/>
      <c r="C10" s="221"/>
      <c r="D10" s="221"/>
      <c r="E10" s="221"/>
      <c r="F10" s="221"/>
      <c r="G10" s="222"/>
      <c r="H10" s="110"/>
      <c r="I10" s="201" t="s">
        <v>284</v>
      </c>
      <c r="J10" s="217" t="s">
        <v>288</v>
      </c>
      <c r="K10" s="217"/>
      <c r="L10" s="217"/>
      <c r="M10" s="217"/>
      <c r="N10" s="217"/>
      <c r="O10" s="217"/>
      <c r="P10" s="217"/>
      <c r="Q10" s="217"/>
    </row>
    <row r="11" spans="2:17" ht="15" customHeight="1" thickBot="1" x14ac:dyDescent="0.4">
      <c r="B11" s="223"/>
      <c r="C11" s="224"/>
      <c r="D11" s="224"/>
      <c r="E11" s="224"/>
      <c r="F11" s="224"/>
      <c r="G11" s="225"/>
      <c r="H11" s="110"/>
      <c r="I11" s="227" t="s">
        <v>419</v>
      </c>
      <c r="J11" s="217" t="s">
        <v>420</v>
      </c>
      <c r="K11" s="217"/>
      <c r="L11" s="217"/>
      <c r="M11" s="217"/>
      <c r="N11" s="217"/>
      <c r="O11" s="217"/>
      <c r="P11" s="217"/>
      <c r="Q11" s="217"/>
    </row>
    <row r="12" spans="2:17" x14ac:dyDescent="0.35">
      <c r="B12" s="152"/>
      <c r="C12" s="152"/>
      <c r="D12" s="152"/>
      <c r="E12" s="152"/>
      <c r="F12" s="152"/>
      <c r="G12" s="152"/>
      <c r="H12" s="110"/>
      <c r="I12" s="227"/>
      <c r="J12" s="217"/>
      <c r="K12" s="217"/>
      <c r="L12" s="217"/>
      <c r="M12" s="217"/>
      <c r="N12" s="217"/>
      <c r="O12" s="217"/>
      <c r="P12" s="217"/>
      <c r="Q12" s="217"/>
    </row>
    <row r="13" spans="2:17" x14ac:dyDescent="0.35">
      <c r="B13" s="219" t="s">
        <v>293</v>
      </c>
      <c r="C13" s="219"/>
      <c r="D13" s="219"/>
      <c r="E13" s="219"/>
      <c r="F13" s="219"/>
      <c r="G13" s="219"/>
      <c r="H13" s="219"/>
      <c r="I13" s="227"/>
      <c r="J13" s="217"/>
      <c r="K13" s="217"/>
      <c r="L13" s="217"/>
      <c r="M13" s="217"/>
      <c r="N13" s="217"/>
      <c r="O13" s="217"/>
      <c r="P13" s="217"/>
      <c r="Q13" s="217"/>
    </row>
    <row r="14" spans="2:17" x14ac:dyDescent="0.35">
      <c r="B14" s="226" t="s">
        <v>294</v>
      </c>
      <c r="C14" s="226"/>
      <c r="D14" s="226"/>
      <c r="E14" s="226"/>
      <c r="F14" s="226"/>
      <c r="G14" s="226"/>
      <c r="H14" s="226"/>
      <c r="I14" s="110"/>
      <c r="J14" s="110"/>
      <c r="K14" s="110"/>
    </row>
    <row r="15" spans="2:17" x14ac:dyDescent="0.35">
      <c r="B15" s="218" t="s">
        <v>292</v>
      </c>
      <c r="C15" s="218"/>
      <c r="D15" s="218"/>
      <c r="E15" s="218"/>
      <c r="F15" s="218"/>
      <c r="G15" s="218"/>
      <c r="H15" s="218"/>
      <c r="I15" s="110"/>
      <c r="J15" s="110"/>
      <c r="K15" s="110"/>
    </row>
    <row r="16" spans="2:17" x14ac:dyDescent="0.35">
      <c r="B16" s="110"/>
      <c r="C16" s="110"/>
      <c r="D16" s="110"/>
      <c r="E16" s="110"/>
      <c r="F16" s="110"/>
      <c r="G16" s="110"/>
      <c r="H16" s="110"/>
      <c r="I16" s="110"/>
      <c r="J16" s="110"/>
      <c r="K16" s="110"/>
    </row>
    <row r="17" spans="2:11" x14ac:dyDescent="0.35">
      <c r="B17" s="110"/>
      <c r="C17" s="110"/>
      <c r="D17" s="110"/>
      <c r="E17" s="110"/>
      <c r="F17" s="110"/>
      <c r="G17" s="110"/>
      <c r="H17" s="110"/>
      <c r="I17" s="110"/>
      <c r="J17" s="110"/>
      <c r="K17" s="110"/>
    </row>
    <row r="18" spans="2:11" ht="21" x14ac:dyDescent="0.35">
      <c r="B18" s="127" t="s">
        <v>296</v>
      </c>
      <c r="C18" s="110"/>
      <c r="D18" s="110"/>
      <c r="E18" s="110"/>
      <c r="F18" s="110"/>
      <c r="G18" s="110"/>
      <c r="H18" s="110"/>
      <c r="I18" s="110"/>
      <c r="J18" s="110"/>
      <c r="K18" s="110"/>
    </row>
    <row r="19" spans="2:11" x14ac:dyDescent="0.35">
      <c r="B19" s="128" t="s">
        <v>297</v>
      </c>
    </row>
    <row r="20" spans="2:11" x14ac:dyDescent="0.35">
      <c r="B20" s="128" t="s">
        <v>298</v>
      </c>
    </row>
    <row r="21" spans="2:11" x14ac:dyDescent="0.35">
      <c r="B21" s="128" t="s">
        <v>299</v>
      </c>
    </row>
    <row r="22" spans="2:11" x14ac:dyDescent="0.35">
      <c r="B22" s="128" t="s">
        <v>300</v>
      </c>
    </row>
    <row r="23" spans="2:11" x14ac:dyDescent="0.35">
      <c r="B23" s="128" t="s">
        <v>301</v>
      </c>
    </row>
    <row r="24" spans="2:11" x14ac:dyDescent="0.35">
      <c r="B24" s="128" t="s">
        <v>302</v>
      </c>
    </row>
    <row r="25" spans="2:11" x14ac:dyDescent="0.35">
      <c r="B25" s="128" t="s">
        <v>303</v>
      </c>
    </row>
    <row r="26" spans="2:11" x14ac:dyDescent="0.35">
      <c r="B26" s="128" t="s">
        <v>304</v>
      </c>
    </row>
    <row r="27" spans="2:11" x14ac:dyDescent="0.35">
      <c r="B27" s="128" t="s">
        <v>305</v>
      </c>
    </row>
    <row r="28" spans="2:11" x14ac:dyDescent="0.35">
      <c r="B28" s="128" t="s">
        <v>306</v>
      </c>
    </row>
    <row r="29" spans="2:11" x14ac:dyDescent="0.35">
      <c r="B29" s="128" t="s">
        <v>307</v>
      </c>
    </row>
    <row r="30" spans="2:11" x14ac:dyDescent="0.35">
      <c r="B30" s="128" t="s">
        <v>308</v>
      </c>
    </row>
    <row r="31" spans="2:11" x14ac:dyDescent="0.35">
      <c r="B31" s="128" t="s">
        <v>309</v>
      </c>
    </row>
    <row r="32" spans="2:11" x14ac:dyDescent="0.35">
      <c r="B32" s="128" t="s">
        <v>310</v>
      </c>
    </row>
    <row r="33" spans="2:2" x14ac:dyDescent="0.35">
      <c r="B33" s="128" t="s">
        <v>311</v>
      </c>
    </row>
    <row r="34" spans="2:2" x14ac:dyDescent="0.35">
      <c r="B34" s="128" t="s">
        <v>312</v>
      </c>
    </row>
    <row r="35" spans="2:2" x14ac:dyDescent="0.35">
      <c r="B35" s="128" t="s">
        <v>313</v>
      </c>
    </row>
    <row r="36" spans="2:2" x14ac:dyDescent="0.35">
      <c r="B36" s="128" t="s">
        <v>314</v>
      </c>
    </row>
    <row r="37" spans="2:2" x14ac:dyDescent="0.35">
      <c r="B37" t="s">
        <v>384</v>
      </c>
    </row>
    <row r="38" spans="2:2" x14ac:dyDescent="0.35">
      <c r="B38" s="128" t="s">
        <v>315</v>
      </c>
    </row>
    <row r="39" spans="2:2" x14ac:dyDescent="0.35">
      <c r="B39" s="128" t="s">
        <v>316</v>
      </c>
    </row>
    <row r="40" spans="2:2" x14ac:dyDescent="0.35">
      <c r="B40" t="s">
        <v>317</v>
      </c>
    </row>
  </sheetData>
  <mergeCells count="14">
    <mergeCell ref="B15:H15"/>
    <mergeCell ref="B13:H13"/>
    <mergeCell ref="B3:G11"/>
    <mergeCell ref="J3:Q5"/>
    <mergeCell ref="J6:Q7"/>
    <mergeCell ref="B14:H14"/>
    <mergeCell ref="J11:Q13"/>
    <mergeCell ref="I11:I13"/>
    <mergeCell ref="B2:G2"/>
    <mergeCell ref="I3:I5"/>
    <mergeCell ref="I6:I7"/>
    <mergeCell ref="J8:Q9"/>
    <mergeCell ref="J10:Q10"/>
    <mergeCell ref="I8:I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15A6D-5545-4846-8C30-D2F3A0B7050D}">
  <dimension ref="A1:T73"/>
  <sheetViews>
    <sheetView zoomScale="80" zoomScaleNormal="80" workbookViewId="0">
      <pane xSplit="9" ySplit="5" topLeftCell="J6" activePane="bottomRight" state="frozen"/>
      <selection pane="topRight" activeCell="J1" sqref="J1"/>
      <selection pane="bottomLeft" activeCell="A6" sqref="A6"/>
      <selection pane="bottomRight" activeCell="N5" sqref="N5:N49"/>
    </sheetView>
  </sheetViews>
  <sheetFormatPr defaultRowHeight="14.5" x14ac:dyDescent="0.35"/>
  <cols>
    <col min="2" max="2" width="11.54296875" bestFit="1" customWidth="1"/>
    <col min="3" max="3" width="11.81640625" bestFit="1" customWidth="1"/>
    <col min="4" max="4" width="17.7265625" customWidth="1"/>
    <col min="5" max="5" width="19.1796875" hidden="1" customWidth="1"/>
    <col min="6" max="6" width="17.90625" hidden="1" customWidth="1"/>
    <col min="7" max="7" width="19.1796875" hidden="1" customWidth="1"/>
    <col min="8" max="8" width="19.1796875" customWidth="1"/>
    <col min="9" max="9" width="19.1796875" bestFit="1" customWidth="1"/>
    <col min="10" max="10" width="19.1796875" customWidth="1"/>
    <col min="11" max="11" width="17.1796875" customWidth="1"/>
    <col min="12" max="12" width="13.81640625" customWidth="1"/>
    <col min="13" max="13" width="15.36328125" customWidth="1"/>
    <col min="14" max="14" width="17" customWidth="1"/>
    <col min="15" max="15" width="16.81640625" bestFit="1" customWidth="1"/>
    <col min="16" max="16" width="13.36328125" customWidth="1"/>
  </cols>
  <sheetData>
    <row r="1" spans="1:20" ht="14.5" customHeight="1" x14ac:dyDescent="0.35">
      <c r="B1" s="241" t="s">
        <v>260</v>
      </c>
      <c r="C1" s="242"/>
      <c r="D1" s="243"/>
      <c r="E1" s="48"/>
      <c r="F1" s="48"/>
      <c r="G1" s="48"/>
      <c r="H1" s="247" t="s">
        <v>261</v>
      </c>
      <c r="I1" s="247"/>
      <c r="J1" s="247"/>
      <c r="K1" s="247"/>
      <c r="L1" s="247"/>
      <c r="M1" s="247"/>
      <c r="N1" s="248"/>
      <c r="O1" s="65"/>
      <c r="P1" s="65"/>
    </row>
    <row r="2" spans="1:20" ht="33" customHeight="1" thickBot="1" x14ac:dyDescent="0.4">
      <c r="B2" s="244"/>
      <c r="C2" s="245"/>
      <c r="D2" s="246"/>
      <c r="E2" s="50"/>
      <c r="F2" s="50"/>
      <c r="G2" s="50"/>
      <c r="H2" s="249"/>
      <c r="I2" s="249"/>
      <c r="J2" s="249"/>
      <c r="K2" s="249"/>
      <c r="L2" s="249"/>
      <c r="M2" s="249"/>
      <c r="N2" s="250"/>
      <c r="O2" s="65"/>
      <c r="P2" s="65"/>
    </row>
    <row r="3" spans="1:20" ht="46" customHeight="1" x14ac:dyDescent="0.35">
      <c r="B3" s="237" t="s">
        <v>79</v>
      </c>
      <c r="C3" s="238"/>
      <c r="D3" s="171" t="s">
        <v>94</v>
      </c>
      <c r="E3" s="172" t="s">
        <v>98</v>
      </c>
      <c r="F3" s="173" t="s">
        <v>99</v>
      </c>
      <c r="G3" s="174" t="s">
        <v>100</v>
      </c>
      <c r="H3" s="174" t="s">
        <v>112</v>
      </c>
      <c r="I3" s="251" t="s">
        <v>263</v>
      </c>
      <c r="J3" s="251"/>
      <c r="K3" s="252" t="s">
        <v>262</v>
      </c>
      <c r="L3" s="252"/>
      <c r="M3" s="252" t="s">
        <v>264</v>
      </c>
      <c r="N3" s="253"/>
      <c r="O3" s="185" t="s">
        <v>367</v>
      </c>
      <c r="P3" s="186" t="s">
        <v>368</v>
      </c>
    </row>
    <row r="4" spans="1:20" ht="46.5" customHeight="1" thickBot="1" x14ac:dyDescent="0.4">
      <c r="B4" s="239"/>
      <c r="C4" s="240"/>
      <c r="D4" s="27" t="s">
        <v>95</v>
      </c>
      <c r="E4" s="27" t="s">
        <v>96</v>
      </c>
      <c r="F4" s="27" t="s">
        <v>96</v>
      </c>
      <c r="G4" s="27" t="s">
        <v>96</v>
      </c>
      <c r="H4" s="27" t="s">
        <v>110</v>
      </c>
      <c r="I4" s="93" t="s">
        <v>97</v>
      </c>
      <c r="J4" s="94" t="s">
        <v>114</v>
      </c>
      <c r="K4" s="95" t="s">
        <v>108</v>
      </c>
      <c r="L4" s="96" t="s">
        <v>113</v>
      </c>
      <c r="M4" s="97" t="s">
        <v>109</v>
      </c>
      <c r="N4" s="175" t="s">
        <v>113</v>
      </c>
      <c r="O4" s="187" t="s">
        <v>108</v>
      </c>
      <c r="P4" s="188" t="s">
        <v>108</v>
      </c>
    </row>
    <row r="5" spans="1:20" ht="22.5" customHeight="1" x14ac:dyDescent="0.35">
      <c r="A5" t="s">
        <v>1</v>
      </c>
      <c r="B5" s="231" t="s">
        <v>80</v>
      </c>
      <c r="C5" s="24" t="s">
        <v>115</v>
      </c>
      <c r="D5" s="26">
        <v>681</v>
      </c>
      <c r="E5" s="31">
        <v>116916</v>
      </c>
      <c r="F5" s="32">
        <v>148107</v>
      </c>
      <c r="G5" s="31">
        <v>384244</v>
      </c>
      <c r="H5" s="31">
        <f>9608+14208+39085+30230</f>
        <v>93131</v>
      </c>
      <c r="I5" s="390">
        <v>3305946</v>
      </c>
      <c r="J5" s="34">
        <f>I5/(100*H5)</f>
        <v>0.35497804168322039</v>
      </c>
      <c r="K5" s="76">
        <v>10668</v>
      </c>
      <c r="L5" s="396">
        <f>K5/(100*H5)</f>
        <v>1.1454832440325993E-3</v>
      </c>
      <c r="M5" s="76">
        <v>4717</v>
      </c>
      <c r="N5" s="402">
        <f t="shared" ref="N5:N40" si="0">M5/(100*H5)</f>
        <v>5.0649085696492042E-4</v>
      </c>
      <c r="O5" s="189">
        <f>(I5+K5+M5)/D5</f>
        <v>4877.1380323054336</v>
      </c>
      <c r="P5" s="190">
        <f>AVERAGE(O5:O20)</f>
        <v>2571.5162964353353</v>
      </c>
      <c r="S5" s="40" t="s">
        <v>101</v>
      </c>
      <c r="T5" s="41"/>
    </row>
    <row r="6" spans="1:20" x14ac:dyDescent="0.35">
      <c r="B6" s="232"/>
      <c r="C6" s="24" t="s">
        <v>81</v>
      </c>
      <c r="D6" s="26">
        <v>77</v>
      </c>
      <c r="E6" s="32">
        <v>49559</v>
      </c>
      <c r="F6" s="32">
        <v>316345</v>
      </c>
      <c r="G6" s="32">
        <v>7573</v>
      </c>
      <c r="H6" s="32">
        <v>15715</v>
      </c>
      <c r="I6" s="391">
        <v>117624</v>
      </c>
      <c r="J6" s="34">
        <f t="shared" ref="J6:J49" si="1">I6/(100*H6)</f>
        <v>7.4848234171174033E-2</v>
      </c>
      <c r="K6" s="77">
        <v>141</v>
      </c>
      <c r="L6" s="396">
        <f t="shared" ref="L6:L49" si="2">K6/(100*H6)</f>
        <v>8.9723194400254528E-5</v>
      </c>
      <c r="M6" s="77">
        <v>761</v>
      </c>
      <c r="N6" s="402">
        <f t="shared" si="0"/>
        <v>4.8425071587655105E-4</v>
      </c>
      <c r="O6" s="189">
        <f t="shared" ref="O6:O49" si="3">(I6+K6+M6)/D6</f>
        <v>1539.2987012987012</v>
      </c>
      <c r="P6" s="191"/>
      <c r="S6" s="42" t="s">
        <v>6</v>
      </c>
      <c r="T6" s="43">
        <v>143026</v>
      </c>
    </row>
    <row r="7" spans="1:20" ht="23" customHeight="1" x14ac:dyDescent="0.35">
      <c r="B7" s="233"/>
      <c r="C7" s="24" t="s">
        <v>82</v>
      </c>
      <c r="D7" s="26">
        <v>80</v>
      </c>
      <c r="E7" s="32">
        <v>1644</v>
      </c>
      <c r="F7" s="32">
        <v>70634</v>
      </c>
      <c r="G7" s="32">
        <v>38577</v>
      </c>
      <c r="H7" s="32">
        <v>17990</v>
      </c>
      <c r="I7" s="33">
        <v>79103</v>
      </c>
      <c r="J7" s="34">
        <f t="shared" si="1"/>
        <v>4.3970539188438018E-2</v>
      </c>
      <c r="K7" s="77"/>
      <c r="L7" s="396">
        <f t="shared" si="2"/>
        <v>0</v>
      </c>
      <c r="M7" s="77">
        <v>292</v>
      </c>
      <c r="N7" s="402">
        <f t="shared" si="0"/>
        <v>1.6231239577543081E-4</v>
      </c>
      <c r="O7" s="189">
        <f t="shared" si="3"/>
        <v>992.4375</v>
      </c>
      <c r="P7" s="191"/>
      <c r="S7" s="42" t="s">
        <v>103</v>
      </c>
      <c r="T7" s="43">
        <v>90891</v>
      </c>
    </row>
    <row r="8" spans="1:20" x14ac:dyDescent="0.35">
      <c r="B8" s="231" t="s">
        <v>83</v>
      </c>
      <c r="C8" s="24" t="s">
        <v>146</v>
      </c>
      <c r="D8" s="26">
        <v>88</v>
      </c>
      <c r="E8" s="31">
        <v>193748</v>
      </c>
      <c r="F8" s="32">
        <v>195661</v>
      </c>
      <c r="G8" s="32">
        <v>90592</v>
      </c>
      <c r="H8" s="32">
        <v>7316</v>
      </c>
      <c r="I8" s="33">
        <v>68501</v>
      </c>
      <c r="J8" s="34">
        <f t="shared" si="1"/>
        <v>9.3631765992345545E-2</v>
      </c>
      <c r="K8" s="76">
        <v>5827</v>
      </c>
      <c r="L8" s="396">
        <f t="shared" si="2"/>
        <v>7.9647348277747405E-3</v>
      </c>
      <c r="M8" s="76">
        <v>2077</v>
      </c>
      <c r="N8" s="402">
        <f t="shared" si="0"/>
        <v>2.8389830508474575E-3</v>
      </c>
      <c r="O8" s="189">
        <f t="shared" si="3"/>
        <v>868.23863636363637</v>
      </c>
      <c r="P8" s="191"/>
      <c r="S8" s="42" t="s">
        <v>104</v>
      </c>
      <c r="T8" s="43">
        <v>22753</v>
      </c>
    </row>
    <row r="9" spans="1:20" x14ac:dyDescent="0.35">
      <c r="B9" s="232"/>
      <c r="C9" s="24" t="s">
        <v>84</v>
      </c>
      <c r="D9" s="26">
        <v>39</v>
      </c>
      <c r="E9" s="31">
        <v>231330</v>
      </c>
      <c r="F9" s="32">
        <v>146948</v>
      </c>
      <c r="G9" s="32">
        <v>77765</v>
      </c>
      <c r="H9" s="32">
        <v>1546</v>
      </c>
      <c r="I9" s="33">
        <v>35260</v>
      </c>
      <c r="J9" s="34">
        <f t="shared" si="1"/>
        <v>0.22807244501940491</v>
      </c>
      <c r="K9" s="77">
        <v>481</v>
      </c>
      <c r="L9" s="396">
        <f t="shared" si="2"/>
        <v>3.1112548512289779E-3</v>
      </c>
      <c r="M9" s="76">
        <v>1396</v>
      </c>
      <c r="N9" s="402">
        <f t="shared" si="0"/>
        <v>9.029754204398447E-3</v>
      </c>
      <c r="O9" s="189">
        <f t="shared" si="3"/>
        <v>952.23076923076928</v>
      </c>
      <c r="P9" s="191"/>
      <c r="S9" s="42" t="s">
        <v>105</v>
      </c>
      <c r="T9" s="43">
        <v>29381</v>
      </c>
    </row>
    <row r="10" spans="1:20" x14ac:dyDescent="0.35">
      <c r="B10" s="232"/>
      <c r="C10" s="24" t="s">
        <v>85</v>
      </c>
      <c r="D10" s="26">
        <v>339</v>
      </c>
      <c r="E10" s="31">
        <v>761920</v>
      </c>
      <c r="F10" s="32">
        <v>368300</v>
      </c>
      <c r="G10" s="31">
        <v>236300</v>
      </c>
      <c r="H10" s="31">
        <v>828</v>
      </c>
      <c r="I10" s="33">
        <v>49177</v>
      </c>
      <c r="J10" s="34">
        <f t="shared" si="1"/>
        <v>0.5939251207729469</v>
      </c>
      <c r="K10" s="76">
        <v>13087</v>
      </c>
      <c r="L10" s="396">
        <f t="shared" si="2"/>
        <v>0.15805555555555556</v>
      </c>
      <c r="M10" s="76">
        <v>5396</v>
      </c>
      <c r="N10" s="402">
        <f t="shared" si="0"/>
        <v>6.5169082125603864E-2</v>
      </c>
      <c r="O10" s="189">
        <f t="shared" si="3"/>
        <v>199.58702064896755</v>
      </c>
      <c r="P10" s="191"/>
      <c r="S10" s="42" t="s">
        <v>102</v>
      </c>
      <c r="T10" s="44">
        <v>10668</v>
      </c>
    </row>
    <row r="11" spans="1:20" ht="23" customHeight="1" thickBot="1" x14ac:dyDescent="0.4">
      <c r="B11" s="233"/>
      <c r="C11" s="24" t="s">
        <v>86</v>
      </c>
      <c r="D11" s="26">
        <v>206</v>
      </c>
      <c r="E11" s="31">
        <v>150416</v>
      </c>
      <c r="F11" s="32">
        <v>109649</v>
      </c>
      <c r="G11" s="31">
        <v>631356</v>
      </c>
      <c r="H11" s="31">
        <v>3145</v>
      </c>
      <c r="I11" s="391">
        <v>255136</v>
      </c>
      <c r="J11" s="34">
        <f t="shared" si="1"/>
        <v>0.81124324324324326</v>
      </c>
      <c r="K11" s="78"/>
      <c r="L11" s="396">
        <f t="shared" si="2"/>
        <v>0</v>
      </c>
      <c r="M11" s="76">
        <v>2687</v>
      </c>
      <c r="N11" s="402">
        <f t="shared" si="0"/>
        <v>8.5437201907790136E-3</v>
      </c>
      <c r="O11" s="189">
        <f t="shared" si="3"/>
        <v>1251.5679611650485</v>
      </c>
      <c r="P11" s="191"/>
      <c r="S11" s="45" t="s">
        <v>107</v>
      </c>
      <c r="T11" s="46">
        <v>4717</v>
      </c>
    </row>
    <row r="12" spans="1:20" ht="34.5" customHeight="1" x14ac:dyDescent="0.35">
      <c r="B12" s="176" t="s">
        <v>87</v>
      </c>
      <c r="C12" s="25" t="s">
        <v>87</v>
      </c>
      <c r="D12" s="26">
        <v>489</v>
      </c>
      <c r="E12" s="30"/>
      <c r="F12" s="29"/>
      <c r="G12" s="31">
        <v>804413</v>
      </c>
      <c r="H12" s="31">
        <f>2648+20180+4495</f>
        <v>27323</v>
      </c>
      <c r="I12" s="390">
        <v>2040845</v>
      </c>
      <c r="J12" s="34">
        <f t="shared" si="1"/>
        <v>0.74693298686088638</v>
      </c>
      <c r="K12" s="76">
        <v>10919</v>
      </c>
      <c r="L12" s="396">
        <f t="shared" si="2"/>
        <v>3.9962668813819857E-3</v>
      </c>
      <c r="M12" s="77"/>
      <c r="N12" s="402">
        <f t="shared" si="0"/>
        <v>0</v>
      </c>
      <c r="O12" s="189">
        <f t="shared" si="3"/>
        <v>4195.836400817996</v>
      </c>
      <c r="P12" s="191"/>
    </row>
    <row r="13" spans="1:20" ht="23" customHeight="1" x14ac:dyDescent="0.35">
      <c r="B13" s="231" t="s">
        <v>88</v>
      </c>
      <c r="C13" s="24" t="s">
        <v>89</v>
      </c>
      <c r="D13" s="26">
        <v>93</v>
      </c>
      <c r="E13" s="31">
        <v>271528</v>
      </c>
      <c r="F13" s="28"/>
      <c r="G13" s="32">
        <v>64473</v>
      </c>
      <c r="H13" s="32">
        <v>5529</v>
      </c>
      <c r="I13" s="391">
        <v>380537</v>
      </c>
      <c r="J13" s="34">
        <f t="shared" si="1"/>
        <v>0.6882564659070356</v>
      </c>
      <c r="K13" s="76">
        <v>4188</v>
      </c>
      <c r="L13" s="396">
        <f t="shared" si="2"/>
        <v>7.5746066196418884E-3</v>
      </c>
      <c r="M13" s="77"/>
      <c r="N13" s="402">
        <f t="shared" si="0"/>
        <v>0</v>
      </c>
      <c r="O13" s="189">
        <f t="shared" si="3"/>
        <v>4136.8279569892475</v>
      </c>
      <c r="P13" s="191"/>
    </row>
    <row r="14" spans="1:20" ht="23" customHeight="1" x14ac:dyDescent="0.35">
      <c r="B14" s="232"/>
      <c r="C14" s="24" t="s">
        <v>144</v>
      </c>
      <c r="D14" s="26">
        <v>302</v>
      </c>
      <c r="E14" s="33">
        <v>1056637</v>
      </c>
      <c r="F14" s="32">
        <v>148761</v>
      </c>
      <c r="G14" s="31">
        <v>127366</v>
      </c>
      <c r="H14" s="177">
        <v>16753</v>
      </c>
      <c r="I14" s="391">
        <v>598618</v>
      </c>
      <c r="J14" s="34">
        <f t="shared" si="1"/>
        <v>0.35731988300602879</v>
      </c>
      <c r="K14" s="76">
        <v>46236</v>
      </c>
      <c r="L14" s="396">
        <f t="shared" si="2"/>
        <v>2.7598639049722439E-2</v>
      </c>
      <c r="M14" s="76">
        <v>2431</v>
      </c>
      <c r="N14" s="402">
        <f t="shared" si="0"/>
        <v>1.4510833880499016E-3</v>
      </c>
      <c r="O14" s="189">
        <f t="shared" si="3"/>
        <v>2143.3278145695363</v>
      </c>
      <c r="P14" s="191"/>
    </row>
    <row r="15" spans="1:20" ht="23" customHeight="1" x14ac:dyDescent="0.35">
      <c r="B15" s="232"/>
      <c r="C15" s="24" t="s">
        <v>111</v>
      </c>
      <c r="D15" s="26">
        <v>232</v>
      </c>
      <c r="E15" s="31">
        <v>692766</v>
      </c>
      <c r="F15" s="32">
        <v>113813</v>
      </c>
      <c r="G15" s="31">
        <v>229597</v>
      </c>
      <c r="H15" s="31">
        <v>14727</v>
      </c>
      <c r="I15" s="391">
        <v>328963</v>
      </c>
      <c r="J15" s="34">
        <f t="shared" si="1"/>
        <v>0.22337407482854621</v>
      </c>
      <c r="K15" s="76">
        <v>20694</v>
      </c>
      <c r="L15" s="396">
        <f t="shared" si="2"/>
        <v>1.405174169892035E-2</v>
      </c>
      <c r="M15" s="77">
        <v>861</v>
      </c>
      <c r="N15" s="402">
        <f t="shared" si="0"/>
        <v>5.8464045630474636E-4</v>
      </c>
      <c r="O15" s="189">
        <f t="shared" si="3"/>
        <v>1510.8534482758621</v>
      </c>
      <c r="P15" s="191"/>
    </row>
    <row r="16" spans="1:20" ht="23" customHeight="1" x14ac:dyDescent="0.35">
      <c r="B16" s="232"/>
      <c r="C16" s="24" t="s">
        <v>145</v>
      </c>
      <c r="D16" s="26">
        <v>179</v>
      </c>
      <c r="E16" s="31">
        <v>690074</v>
      </c>
      <c r="F16" s="32">
        <v>4739</v>
      </c>
      <c r="G16" s="31">
        <v>205554</v>
      </c>
      <c r="H16" s="31">
        <v>8023</v>
      </c>
      <c r="I16" s="391">
        <v>436916</v>
      </c>
      <c r="J16" s="34">
        <f t="shared" si="1"/>
        <v>0.54457933441356099</v>
      </c>
      <c r="K16" s="76">
        <v>19921</v>
      </c>
      <c r="L16" s="396">
        <f t="shared" si="2"/>
        <v>2.4829864140595789E-2</v>
      </c>
      <c r="M16" s="77">
        <v>18</v>
      </c>
      <c r="N16" s="402">
        <f t="shared" si="0"/>
        <v>2.243549794341269E-5</v>
      </c>
      <c r="O16" s="189">
        <f t="shared" si="3"/>
        <v>2552.2625698324023</v>
      </c>
      <c r="P16" s="191"/>
    </row>
    <row r="17" spans="1:16" ht="34.5" customHeight="1" x14ac:dyDescent="0.35">
      <c r="B17" s="233"/>
      <c r="C17" s="24" t="s">
        <v>90</v>
      </c>
      <c r="D17" s="26">
        <v>654</v>
      </c>
      <c r="E17" s="32">
        <v>88549</v>
      </c>
      <c r="F17" s="29"/>
      <c r="G17" s="31">
        <v>822716</v>
      </c>
      <c r="H17" s="31">
        <f>20393+6813+13472+17701</f>
        <v>58379</v>
      </c>
      <c r="I17" s="390">
        <v>4694884</v>
      </c>
      <c r="J17" s="34">
        <f t="shared" si="1"/>
        <v>0.80420767741824972</v>
      </c>
      <c r="K17" s="77">
        <v>168</v>
      </c>
      <c r="L17" s="396">
        <f t="shared" si="2"/>
        <v>2.8777471350999504E-5</v>
      </c>
      <c r="M17" s="77">
        <v>59</v>
      </c>
      <c r="N17" s="402">
        <f t="shared" si="0"/>
        <v>1.0106373867315302E-5</v>
      </c>
      <c r="O17" s="189">
        <f t="shared" si="3"/>
        <v>7179.0688073394494</v>
      </c>
      <c r="P17" s="191"/>
    </row>
    <row r="18" spans="1:16" ht="23" customHeight="1" x14ac:dyDescent="0.35">
      <c r="B18" s="231" t="s">
        <v>91</v>
      </c>
      <c r="C18" s="24" t="s">
        <v>92</v>
      </c>
      <c r="D18" s="26">
        <v>552</v>
      </c>
      <c r="E18" s="32">
        <v>45716</v>
      </c>
      <c r="F18" s="32">
        <v>294257</v>
      </c>
      <c r="G18" s="33">
        <v>1938048</v>
      </c>
      <c r="H18" s="33">
        <v>44231</v>
      </c>
      <c r="I18" s="390">
        <v>2193814</v>
      </c>
      <c r="J18" s="34">
        <f t="shared" si="1"/>
        <v>0.49599014266012525</v>
      </c>
      <c r="K18" s="76">
        <v>2532</v>
      </c>
      <c r="L18" s="396">
        <f t="shared" si="2"/>
        <v>5.7244918722163191E-4</v>
      </c>
      <c r="M18" s="76">
        <v>5873</v>
      </c>
      <c r="N18" s="402">
        <f t="shared" si="0"/>
        <v>1.3278017679907758E-3</v>
      </c>
      <c r="O18" s="189">
        <f t="shared" si="3"/>
        <v>3989.5271739130435</v>
      </c>
      <c r="P18" s="191"/>
    </row>
    <row r="19" spans="1:16" x14ac:dyDescent="0.35">
      <c r="B19" s="232"/>
      <c r="C19" s="24" t="s">
        <v>147</v>
      </c>
      <c r="D19" s="26">
        <v>484</v>
      </c>
      <c r="E19" s="31">
        <v>279045</v>
      </c>
      <c r="F19" s="32">
        <v>2772494</v>
      </c>
      <c r="G19" s="32">
        <v>77946</v>
      </c>
      <c r="H19" s="32">
        <v>26377</v>
      </c>
      <c r="I19" s="391">
        <v>629986</v>
      </c>
      <c r="J19" s="34">
        <f t="shared" si="1"/>
        <v>0.23883914015998786</v>
      </c>
      <c r="K19" s="77">
        <v>678</v>
      </c>
      <c r="L19" s="396">
        <f t="shared" si="2"/>
        <v>2.5704212002881298E-4</v>
      </c>
      <c r="M19" s="92">
        <v>11064</v>
      </c>
      <c r="N19" s="402">
        <f t="shared" si="0"/>
        <v>4.1945634454259393E-3</v>
      </c>
      <c r="O19" s="189">
        <f t="shared" si="3"/>
        <v>1325.8842975206612</v>
      </c>
      <c r="P19" s="191"/>
    </row>
    <row r="20" spans="1:16" ht="23" x14ac:dyDescent="0.35">
      <c r="B20" s="232"/>
      <c r="C20" s="80" t="s">
        <v>93</v>
      </c>
      <c r="D20" s="81">
        <v>334</v>
      </c>
      <c r="E20" s="82">
        <v>31321</v>
      </c>
      <c r="F20" s="82">
        <v>203193</v>
      </c>
      <c r="G20" s="83">
        <v>285805</v>
      </c>
      <c r="H20" s="83">
        <f>11107+18290+2478</f>
        <v>31875</v>
      </c>
      <c r="I20" s="392">
        <v>1142898</v>
      </c>
      <c r="J20" s="84">
        <f t="shared" si="1"/>
        <v>0.35855623529411762</v>
      </c>
      <c r="K20" s="85">
        <v>925</v>
      </c>
      <c r="L20" s="397">
        <f t="shared" si="2"/>
        <v>2.9019607843137256E-4</v>
      </c>
      <c r="M20" s="76">
        <v>1855</v>
      </c>
      <c r="N20" s="402">
        <f t="shared" si="0"/>
        <v>5.8196078431372548E-4</v>
      </c>
      <c r="O20" s="192">
        <f t="shared" si="3"/>
        <v>3430.1736526946106</v>
      </c>
      <c r="P20" s="193"/>
    </row>
    <row r="21" spans="1:16" x14ac:dyDescent="0.35">
      <c r="A21" s="79" t="s">
        <v>0</v>
      </c>
      <c r="B21" s="178" t="s">
        <v>153</v>
      </c>
      <c r="C21" s="87" t="s">
        <v>130</v>
      </c>
      <c r="D21" s="88">
        <v>475</v>
      </c>
      <c r="E21" s="89"/>
      <c r="F21" s="89"/>
      <c r="G21" s="89"/>
      <c r="H21" s="86">
        <v>12981</v>
      </c>
      <c r="I21" s="393">
        <v>218306</v>
      </c>
      <c r="J21" s="90">
        <f t="shared" si="1"/>
        <v>0.16817348432324167</v>
      </c>
      <c r="K21" s="91">
        <v>3347</v>
      </c>
      <c r="L21" s="398">
        <f t="shared" si="2"/>
        <v>2.5783837916955551E-3</v>
      </c>
      <c r="M21" s="89">
        <v>7495</v>
      </c>
      <c r="N21" s="402">
        <f t="shared" si="0"/>
        <v>5.7738232801787231E-3</v>
      </c>
      <c r="O21" s="192">
        <f t="shared" si="3"/>
        <v>482.41684210526319</v>
      </c>
      <c r="P21" s="194">
        <f>O21</f>
        <v>482.41684210526319</v>
      </c>
    </row>
    <row r="22" spans="1:16" ht="23" x14ac:dyDescent="0.35">
      <c r="A22" s="79" t="s">
        <v>5</v>
      </c>
      <c r="B22" s="234" t="s">
        <v>154</v>
      </c>
      <c r="C22" s="87" t="s">
        <v>156</v>
      </c>
      <c r="D22" s="88">
        <v>402</v>
      </c>
      <c r="E22" s="89"/>
      <c r="F22" s="89"/>
      <c r="G22" s="89"/>
      <c r="H22" s="86">
        <f>3720+1498</f>
        <v>5218</v>
      </c>
      <c r="I22" s="393">
        <v>404026</v>
      </c>
      <c r="J22" s="90">
        <f t="shared" si="1"/>
        <v>0.77429283250287462</v>
      </c>
      <c r="K22" s="91">
        <v>9687</v>
      </c>
      <c r="L22" s="398">
        <f t="shared" si="2"/>
        <v>1.8564584131851285E-2</v>
      </c>
      <c r="M22" s="89">
        <v>8510</v>
      </c>
      <c r="N22" s="402">
        <f t="shared" si="0"/>
        <v>1.6308930624760444E-2</v>
      </c>
      <c r="O22" s="189">
        <f t="shared" si="3"/>
        <v>1050.3059701492537</v>
      </c>
      <c r="P22" s="190">
        <f>AVERAGE(O22:O29)</f>
        <v>1177.9869378233379</v>
      </c>
    </row>
    <row r="23" spans="1:16" x14ac:dyDescent="0.35">
      <c r="A23" s="79"/>
      <c r="B23" s="234"/>
      <c r="C23" s="86" t="s">
        <v>157</v>
      </c>
      <c r="D23" s="88">
        <v>230</v>
      </c>
      <c r="E23" s="89"/>
      <c r="F23" s="89"/>
      <c r="G23" s="89"/>
      <c r="H23" s="86">
        <f>3416+5726</f>
        <v>9142</v>
      </c>
      <c r="I23" s="393">
        <v>53722</v>
      </c>
      <c r="J23" s="90">
        <f t="shared" si="1"/>
        <v>5.8763946619995622E-2</v>
      </c>
      <c r="K23" s="91">
        <v>6312</v>
      </c>
      <c r="L23" s="398">
        <f t="shared" si="2"/>
        <v>6.9043972872456791E-3</v>
      </c>
      <c r="M23" s="89">
        <v>127</v>
      </c>
      <c r="N23" s="402">
        <f t="shared" si="0"/>
        <v>1.3891927368190769E-4</v>
      </c>
      <c r="O23" s="189">
        <f t="shared" si="3"/>
        <v>261.5695652173913</v>
      </c>
      <c r="P23" s="191"/>
    </row>
    <row r="24" spans="1:16" x14ac:dyDescent="0.35">
      <c r="A24" s="79"/>
      <c r="B24" s="235" t="s">
        <v>162</v>
      </c>
      <c r="C24" s="86" t="s">
        <v>149</v>
      </c>
      <c r="D24" s="88">
        <v>203</v>
      </c>
      <c r="E24" s="89" t="s">
        <v>106</v>
      </c>
      <c r="F24" s="89"/>
      <c r="G24" s="89"/>
      <c r="H24" s="86">
        <v>5639</v>
      </c>
      <c r="I24" s="393">
        <v>738160</v>
      </c>
      <c r="J24" s="90">
        <f t="shared" si="1"/>
        <v>1.3090264231246675</v>
      </c>
      <c r="K24" s="91">
        <v>2272</v>
      </c>
      <c r="L24" s="398">
        <f t="shared" si="2"/>
        <v>4.0290831707749603E-3</v>
      </c>
      <c r="M24" s="89">
        <v>814</v>
      </c>
      <c r="N24" s="402">
        <f t="shared" si="0"/>
        <v>1.4435183543181414E-3</v>
      </c>
      <c r="O24" s="189">
        <f t="shared" si="3"/>
        <v>3651.4581280788179</v>
      </c>
      <c r="P24" s="191"/>
    </row>
    <row r="25" spans="1:16" ht="23" x14ac:dyDescent="0.35">
      <c r="A25" s="79"/>
      <c r="B25" s="235"/>
      <c r="C25" s="87" t="s">
        <v>163</v>
      </c>
      <c r="D25" s="88">
        <v>143</v>
      </c>
      <c r="E25" s="89"/>
      <c r="F25" s="89"/>
      <c r="G25" s="89"/>
      <c r="H25" s="86">
        <v>23827</v>
      </c>
      <c r="I25" s="393">
        <v>196933</v>
      </c>
      <c r="J25" s="90">
        <f t="shared" si="1"/>
        <v>8.2651194023586685E-2</v>
      </c>
      <c r="K25" s="91">
        <v>131</v>
      </c>
      <c r="L25" s="398">
        <f t="shared" si="2"/>
        <v>5.4979644940613593E-5</v>
      </c>
      <c r="M25" s="89">
        <v>838</v>
      </c>
      <c r="N25" s="402">
        <f t="shared" si="0"/>
        <v>3.5170185084148234E-4</v>
      </c>
      <c r="O25" s="189">
        <f t="shared" si="3"/>
        <v>1383.93006993007</v>
      </c>
      <c r="P25" s="191"/>
    </row>
    <row r="26" spans="1:16" x14ac:dyDescent="0.35">
      <c r="A26" s="79"/>
      <c r="B26" s="235"/>
      <c r="C26" s="86" t="s">
        <v>166</v>
      </c>
      <c r="D26" s="88">
        <v>606</v>
      </c>
      <c r="E26" s="89"/>
      <c r="F26" s="89"/>
      <c r="G26" s="89"/>
      <c r="H26" s="86">
        <v>7030</v>
      </c>
      <c r="I26" s="393">
        <v>784114</v>
      </c>
      <c r="J26" s="90">
        <f t="shared" si="1"/>
        <v>1.1153826458036984</v>
      </c>
      <c r="K26" s="78">
        <v>41662</v>
      </c>
      <c r="L26" s="398">
        <f t="shared" si="2"/>
        <v>5.9263157894736844E-2</v>
      </c>
      <c r="M26" s="89">
        <v>2684</v>
      </c>
      <c r="N26" s="402">
        <f t="shared" si="0"/>
        <v>3.8179231863442391E-3</v>
      </c>
      <c r="O26" s="189">
        <f t="shared" si="3"/>
        <v>1367.0957095709571</v>
      </c>
      <c r="P26" s="191"/>
    </row>
    <row r="27" spans="1:16" x14ac:dyDescent="0.35">
      <c r="A27" s="143"/>
      <c r="B27" s="235" t="s">
        <v>167</v>
      </c>
      <c r="C27" s="87" t="s">
        <v>168</v>
      </c>
      <c r="D27" s="88">
        <v>548</v>
      </c>
      <c r="E27" s="89"/>
      <c r="F27" s="89"/>
      <c r="G27" s="89"/>
      <c r="H27" s="86">
        <v>6387</v>
      </c>
      <c r="I27" s="393">
        <v>153563</v>
      </c>
      <c r="J27" s="90">
        <f t="shared" si="1"/>
        <v>0.24043056207922342</v>
      </c>
      <c r="K27" s="91">
        <v>153226</v>
      </c>
      <c r="L27" s="398">
        <f t="shared" si="2"/>
        <v>0.23990292782213871</v>
      </c>
      <c r="M27" s="89">
        <v>1187</v>
      </c>
      <c r="N27" s="402">
        <f t="shared" si="0"/>
        <v>1.8584625019571004E-3</v>
      </c>
      <c r="O27" s="189">
        <f t="shared" si="3"/>
        <v>562</v>
      </c>
      <c r="P27" s="191"/>
    </row>
    <row r="28" spans="1:16" x14ac:dyDescent="0.35">
      <c r="A28" s="143"/>
      <c r="B28" s="235"/>
      <c r="C28" s="86" t="s">
        <v>169</v>
      </c>
      <c r="D28" s="88">
        <v>107</v>
      </c>
      <c r="E28" s="89"/>
      <c r="F28" s="89"/>
      <c r="G28" s="89"/>
      <c r="H28" s="86">
        <v>3646</v>
      </c>
      <c r="I28" s="393">
        <v>25715</v>
      </c>
      <c r="J28" s="90">
        <f t="shared" si="1"/>
        <v>7.0529347229840916E-2</v>
      </c>
      <c r="K28" s="91">
        <v>7375</v>
      </c>
      <c r="L28" s="398">
        <f t="shared" si="2"/>
        <v>2.0227646736149206E-2</v>
      </c>
      <c r="M28" s="89">
        <v>5</v>
      </c>
      <c r="N28" s="402">
        <f t="shared" si="0"/>
        <v>1.3713658804168952E-5</v>
      </c>
      <c r="O28" s="189">
        <f t="shared" si="3"/>
        <v>309.29906542056074</v>
      </c>
      <c r="P28" s="191"/>
    </row>
    <row r="29" spans="1:16" ht="23" x14ac:dyDescent="0.35">
      <c r="A29" s="144"/>
      <c r="B29" s="235"/>
      <c r="C29" s="87" t="s">
        <v>170</v>
      </c>
      <c r="D29" s="88">
        <v>173</v>
      </c>
      <c r="E29" s="89"/>
      <c r="F29" s="89"/>
      <c r="G29" s="89"/>
      <c r="H29" s="86">
        <v>7323</v>
      </c>
      <c r="I29" s="393">
        <v>138252</v>
      </c>
      <c r="J29" s="90">
        <f t="shared" si="1"/>
        <v>0.1887914789020893</v>
      </c>
      <c r="K29" s="91">
        <v>6311</v>
      </c>
      <c r="L29" s="398">
        <f t="shared" si="2"/>
        <v>8.6180527106377164E-3</v>
      </c>
      <c r="M29" s="89">
        <v>452</v>
      </c>
      <c r="N29" s="402">
        <f t="shared" si="0"/>
        <v>6.1723337430015025E-4</v>
      </c>
      <c r="O29" s="192">
        <f t="shared" si="3"/>
        <v>838.23699421965318</v>
      </c>
      <c r="P29" s="193"/>
    </row>
    <row r="30" spans="1:16" x14ac:dyDescent="0.35">
      <c r="A30" s="79" t="s">
        <v>2</v>
      </c>
      <c r="B30" s="236" t="s">
        <v>173</v>
      </c>
      <c r="C30" s="138" t="s">
        <v>174</v>
      </c>
      <c r="D30" s="139">
        <v>363</v>
      </c>
      <c r="E30" s="140"/>
      <c r="F30" s="140"/>
      <c r="G30" s="140"/>
      <c r="H30" s="138">
        <v>3971</v>
      </c>
      <c r="I30" s="394">
        <v>175804</v>
      </c>
      <c r="J30" s="141">
        <f t="shared" si="1"/>
        <v>0.44271971795517501</v>
      </c>
      <c r="K30" s="142">
        <v>52552</v>
      </c>
      <c r="L30" s="399">
        <f t="shared" si="2"/>
        <v>0.13233946109292369</v>
      </c>
      <c r="M30" s="140">
        <v>300</v>
      </c>
      <c r="N30" s="403">
        <f t="shared" si="0"/>
        <v>7.5547720977083856E-4</v>
      </c>
      <c r="O30" s="189">
        <f t="shared" si="3"/>
        <v>629.90633608815426</v>
      </c>
      <c r="P30" s="190">
        <f>AVERAGE(O30:O35)</f>
        <v>709.17833379623028</v>
      </c>
    </row>
    <row r="31" spans="1:16" x14ac:dyDescent="0.35">
      <c r="A31" s="79"/>
      <c r="B31" s="235"/>
      <c r="C31" s="87" t="s">
        <v>175</v>
      </c>
      <c r="D31" s="88">
        <v>90</v>
      </c>
      <c r="E31" s="89"/>
      <c r="F31" s="89"/>
      <c r="G31" s="89"/>
      <c r="H31" s="86">
        <v>1717</v>
      </c>
      <c r="I31" s="393">
        <v>8377</v>
      </c>
      <c r="J31" s="90">
        <f t="shared" si="1"/>
        <v>4.8788584740827021E-2</v>
      </c>
      <c r="K31" s="91">
        <v>11657</v>
      </c>
      <c r="L31" s="398">
        <f t="shared" si="2"/>
        <v>6.7891671520093191E-2</v>
      </c>
      <c r="M31" s="89"/>
      <c r="N31" s="402">
        <f t="shared" si="0"/>
        <v>0</v>
      </c>
      <c r="O31" s="189">
        <f t="shared" si="3"/>
        <v>222.6</v>
      </c>
      <c r="P31" s="191"/>
    </row>
    <row r="32" spans="1:16" x14ac:dyDescent="0.35">
      <c r="A32" s="79"/>
      <c r="B32" s="235"/>
      <c r="C32" s="86" t="s">
        <v>176</v>
      </c>
      <c r="D32" s="88">
        <v>646</v>
      </c>
      <c r="E32" s="89"/>
      <c r="F32" s="89"/>
      <c r="G32" s="89"/>
      <c r="H32" s="86">
        <v>7925</v>
      </c>
      <c r="I32" s="393">
        <v>338683</v>
      </c>
      <c r="J32" s="90">
        <f t="shared" si="1"/>
        <v>0.42736025236593062</v>
      </c>
      <c r="K32" s="91">
        <v>148659</v>
      </c>
      <c r="L32" s="398">
        <f t="shared" si="2"/>
        <v>0.18758233438485805</v>
      </c>
      <c r="M32" s="89">
        <v>160</v>
      </c>
      <c r="N32" s="402">
        <f t="shared" si="0"/>
        <v>2.0189274447949526E-4</v>
      </c>
      <c r="O32" s="189">
        <f t="shared" si="3"/>
        <v>754.64705882352939</v>
      </c>
      <c r="P32" s="191"/>
    </row>
    <row r="33" spans="1:16" x14ac:dyDescent="0.35">
      <c r="A33" s="79"/>
      <c r="B33" s="235"/>
      <c r="C33" s="87" t="s">
        <v>177</v>
      </c>
      <c r="D33" s="88">
        <v>640</v>
      </c>
      <c r="E33" s="89"/>
      <c r="F33" s="89"/>
      <c r="G33" s="89"/>
      <c r="H33" s="86">
        <v>7055</v>
      </c>
      <c r="I33" s="393">
        <v>304907</v>
      </c>
      <c r="J33" s="90">
        <f t="shared" si="1"/>
        <v>0.43218568391211909</v>
      </c>
      <c r="K33" s="91">
        <v>161928</v>
      </c>
      <c r="L33" s="398">
        <f t="shared" si="2"/>
        <v>0.22952232459248759</v>
      </c>
      <c r="M33" s="89">
        <v>927</v>
      </c>
      <c r="N33" s="402">
        <f t="shared" si="0"/>
        <v>1.3139617292700213E-3</v>
      </c>
      <c r="O33" s="189">
        <f t="shared" si="3"/>
        <v>730.87812499999995</v>
      </c>
      <c r="P33" s="191"/>
    </row>
    <row r="34" spans="1:16" x14ac:dyDescent="0.35">
      <c r="A34" s="79"/>
      <c r="B34" s="235"/>
      <c r="C34" s="86" t="s">
        <v>183</v>
      </c>
      <c r="D34" s="88">
        <v>381</v>
      </c>
      <c r="E34" s="89"/>
      <c r="F34" s="89"/>
      <c r="G34" s="89"/>
      <c r="H34" s="86">
        <v>8196</v>
      </c>
      <c r="I34" s="393">
        <v>243895</v>
      </c>
      <c r="J34" s="90">
        <f t="shared" si="1"/>
        <v>0.29757808687164472</v>
      </c>
      <c r="K34" s="91">
        <v>146848</v>
      </c>
      <c r="L34" s="398">
        <f t="shared" si="2"/>
        <v>0.17917032698877502</v>
      </c>
      <c r="M34" s="89">
        <v>632</v>
      </c>
      <c r="N34" s="402">
        <f t="shared" si="0"/>
        <v>7.7110785749145928E-4</v>
      </c>
      <c r="O34" s="189">
        <f t="shared" si="3"/>
        <v>1027.2309711286089</v>
      </c>
      <c r="P34" s="191"/>
    </row>
    <row r="35" spans="1:16" x14ac:dyDescent="0.35">
      <c r="A35" s="79"/>
      <c r="B35" s="235"/>
      <c r="C35" s="87" t="s">
        <v>182</v>
      </c>
      <c r="D35" s="88">
        <v>426</v>
      </c>
      <c r="E35" s="89"/>
      <c r="F35" s="89"/>
      <c r="G35" s="89"/>
      <c r="H35" s="86">
        <v>5611</v>
      </c>
      <c r="I35" s="393">
        <v>308426</v>
      </c>
      <c r="J35" s="90">
        <f t="shared" si="1"/>
        <v>0.54968098378185704</v>
      </c>
      <c r="K35" s="91">
        <v>68737</v>
      </c>
      <c r="L35" s="398">
        <f t="shared" si="2"/>
        <v>0.12250400998039565</v>
      </c>
      <c r="M35" s="89">
        <v>1895</v>
      </c>
      <c r="N35" s="402">
        <f t="shared" si="0"/>
        <v>3.3772945998930674E-3</v>
      </c>
      <c r="O35" s="192">
        <f t="shared" si="3"/>
        <v>889.80751173708916</v>
      </c>
      <c r="P35" s="193"/>
    </row>
    <row r="36" spans="1:16" x14ac:dyDescent="0.35">
      <c r="A36" s="79" t="s">
        <v>4</v>
      </c>
      <c r="B36" s="235" t="s">
        <v>186</v>
      </c>
      <c r="C36" s="87" t="s">
        <v>188</v>
      </c>
      <c r="D36" s="88">
        <v>137</v>
      </c>
      <c r="E36" s="89"/>
      <c r="F36" s="89"/>
      <c r="G36" s="89"/>
      <c r="H36" s="86">
        <v>2645</v>
      </c>
      <c r="I36" s="393">
        <v>21252</v>
      </c>
      <c r="J36" s="90">
        <f t="shared" si="1"/>
        <v>8.0347826086956523E-2</v>
      </c>
      <c r="K36" s="91">
        <v>16066</v>
      </c>
      <c r="L36" s="398">
        <f t="shared" si="2"/>
        <v>6.0741020793950849E-2</v>
      </c>
      <c r="M36" s="89">
        <v>0</v>
      </c>
      <c r="N36" s="402">
        <f t="shared" si="0"/>
        <v>0</v>
      </c>
      <c r="O36" s="189">
        <f t="shared" si="3"/>
        <v>272.39416058394158</v>
      </c>
      <c r="P36" s="190">
        <f>AVERAGE(O36:O41)</f>
        <v>776.89500463861953</v>
      </c>
    </row>
    <row r="37" spans="1:16" x14ac:dyDescent="0.35">
      <c r="A37" s="79"/>
      <c r="B37" s="235"/>
      <c r="C37" s="86" t="s">
        <v>189</v>
      </c>
      <c r="D37" s="88">
        <v>228</v>
      </c>
      <c r="E37" s="89"/>
      <c r="F37" s="89"/>
      <c r="G37" s="89"/>
      <c r="H37" s="86">
        <v>5227</v>
      </c>
      <c r="I37" s="393">
        <v>232452</v>
      </c>
      <c r="J37" s="90">
        <f t="shared" si="1"/>
        <v>0.44471398507748228</v>
      </c>
      <c r="K37" s="91">
        <v>62936</v>
      </c>
      <c r="L37" s="398">
        <f t="shared" si="2"/>
        <v>0.12040558637841975</v>
      </c>
      <c r="M37" s="89">
        <v>56</v>
      </c>
      <c r="N37" s="402">
        <f t="shared" si="0"/>
        <v>1.0713602448823417E-4</v>
      </c>
      <c r="O37" s="189">
        <f t="shared" si="3"/>
        <v>1295.8070175438597</v>
      </c>
      <c r="P37" s="191"/>
    </row>
    <row r="38" spans="1:16" x14ac:dyDescent="0.35">
      <c r="A38" s="79"/>
      <c r="B38" s="235"/>
      <c r="C38" s="87" t="s">
        <v>190</v>
      </c>
      <c r="D38" s="88">
        <v>244</v>
      </c>
      <c r="E38" s="89"/>
      <c r="F38" s="89"/>
      <c r="G38" s="89"/>
      <c r="H38" s="86">
        <v>2955</v>
      </c>
      <c r="I38" s="393">
        <v>101707</v>
      </c>
      <c r="J38" s="90">
        <f t="shared" si="1"/>
        <v>0.34418612521150593</v>
      </c>
      <c r="K38" s="91">
        <v>71637</v>
      </c>
      <c r="L38" s="398">
        <f t="shared" si="2"/>
        <v>0.2424263959390863</v>
      </c>
      <c r="M38" s="89">
        <v>44</v>
      </c>
      <c r="N38" s="402">
        <f t="shared" si="0"/>
        <v>1.4890016920473772E-4</v>
      </c>
      <c r="O38" s="189">
        <f t="shared" si="3"/>
        <v>710.60655737704917</v>
      </c>
      <c r="P38" s="191"/>
    </row>
    <row r="39" spans="1:16" x14ac:dyDescent="0.35">
      <c r="A39" s="79"/>
      <c r="B39" s="235"/>
      <c r="C39" s="86" t="s">
        <v>191</v>
      </c>
      <c r="D39" s="88">
        <v>339</v>
      </c>
      <c r="E39" s="89"/>
      <c r="F39" s="89"/>
      <c r="G39" s="89"/>
      <c r="H39" s="86">
        <v>4557</v>
      </c>
      <c r="I39" s="393">
        <v>156724</v>
      </c>
      <c r="J39" s="90">
        <f t="shared" si="1"/>
        <v>0.3439192451174018</v>
      </c>
      <c r="K39" s="91">
        <v>107655</v>
      </c>
      <c r="L39" s="398">
        <f t="shared" si="2"/>
        <v>0.23624094799210008</v>
      </c>
      <c r="M39" s="89">
        <v>178</v>
      </c>
      <c r="N39" s="402">
        <f t="shared" si="0"/>
        <v>3.9060785604564405E-4</v>
      </c>
      <c r="O39" s="189">
        <f t="shared" si="3"/>
        <v>780.40412979351038</v>
      </c>
      <c r="P39" s="191"/>
    </row>
    <row r="40" spans="1:16" x14ac:dyDescent="0.35">
      <c r="A40" s="79"/>
      <c r="B40" s="235"/>
      <c r="C40" s="86" t="s">
        <v>193</v>
      </c>
      <c r="D40" s="88">
        <v>304</v>
      </c>
      <c r="E40" s="89"/>
      <c r="F40" s="89"/>
      <c r="G40" s="89"/>
      <c r="H40" s="86">
        <v>6016</v>
      </c>
      <c r="I40" s="393">
        <v>165629</v>
      </c>
      <c r="J40" s="90">
        <f t="shared" si="1"/>
        <v>0.27531416223404254</v>
      </c>
      <c r="K40" s="91">
        <v>85036</v>
      </c>
      <c r="L40" s="398">
        <f t="shared" si="2"/>
        <v>0.14134973404255319</v>
      </c>
      <c r="M40" s="89">
        <v>215</v>
      </c>
      <c r="N40" s="402">
        <f t="shared" si="0"/>
        <v>3.5738031914893614E-4</v>
      </c>
      <c r="O40" s="189">
        <f t="shared" si="3"/>
        <v>825.26315789473688</v>
      </c>
      <c r="P40" s="191"/>
    </row>
    <row r="41" spans="1:16" x14ac:dyDescent="0.35">
      <c r="A41" s="79"/>
      <c r="B41" s="235"/>
      <c r="C41" s="86" t="s">
        <v>215</v>
      </c>
      <c r="D41" s="88"/>
      <c r="E41" s="89"/>
      <c r="F41" s="89"/>
      <c r="G41" s="89"/>
      <c r="H41" s="86">
        <v>1416</v>
      </c>
      <c r="I41" s="393"/>
      <c r="J41" s="90"/>
      <c r="K41" s="91"/>
      <c r="L41" s="398"/>
      <c r="M41" s="89"/>
      <c r="N41" s="402"/>
      <c r="O41" s="189"/>
      <c r="P41" s="193"/>
    </row>
    <row r="42" spans="1:16" x14ac:dyDescent="0.35">
      <c r="A42" s="79" t="s">
        <v>3</v>
      </c>
      <c r="B42" s="228" t="s">
        <v>152</v>
      </c>
      <c r="C42" s="86" t="s">
        <v>70</v>
      </c>
      <c r="D42" s="88">
        <v>158</v>
      </c>
      <c r="E42" s="89"/>
      <c r="F42" s="89"/>
      <c r="G42" s="89"/>
      <c r="H42" s="86">
        <v>3406</v>
      </c>
      <c r="I42" s="393">
        <v>95292</v>
      </c>
      <c r="J42" s="90">
        <f t="shared" si="1"/>
        <v>0.27977686435701704</v>
      </c>
      <c r="K42" s="91">
        <v>33542</v>
      </c>
      <c r="L42" s="400">
        <f t="shared" si="2"/>
        <v>9.8479154433352908E-2</v>
      </c>
      <c r="M42" s="89">
        <v>1150</v>
      </c>
      <c r="N42" s="402">
        <f t="shared" ref="N42:N49" si="4">M42/(100*H42)</f>
        <v>3.3763945977686436E-3</v>
      </c>
      <c r="O42" s="195">
        <f t="shared" si="3"/>
        <v>822.68354430379748</v>
      </c>
      <c r="P42" s="190">
        <f>AVERAGE(O42:O49)</f>
        <v>528.89649198465031</v>
      </c>
    </row>
    <row r="43" spans="1:16" ht="23" x14ac:dyDescent="0.35">
      <c r="A43" s="79"/>
      <c r="B43" s="229"/>
      <c r="C43" s="87" t="s">
        <v>194</v>
      </c>
      <c r="D43" s="88">
        <v>455</v>
      </c>
      <c r="E43" s="89"/>
      <c r="F43" s="89"/>
      <c r="G43" s="89"/>
      <c r="H43" s="86">
        <v>10367</v>
      </c>
      <c r="I43" s="393">
        <v>153105</v>
      </c>
      <c r="J43" s="90">
        <f t="shared" si="1"/>
        <v>0.14768496189833125</v>
      </c>
      <c r="K43" s="91">
        <v>24314</v>
      </c>
      <c r="L43" s="400">
        <f t="shared" si="2"/>
        <v>2.3453265168322562E-2</v>
      </c>
      <c r="M43" s="89">
        <v>2390</v>
      </c>
      <c r="N43" s="402">
        <f t="shared" si="4"/>
        <v>2.3053921095784703E-3</v>
      </c>
      <c r="O43" s="189">
        <f t="shared" si="3"/>
        <v>395.18461538461537</v>
      </c>
      <c r="P43" s="191"/>
    </row>
    <row r="44" spans="1:16" x14ac:dyDescent="0.35">
      <c r="A44" s="79"/>
      <c r="B44" s="229"/>
      <c r="C44" s="87" t="s">
        <v>71</v>
      </c>
      <c r="D44" s="88">
        <v>276</v>
      </c>
      <c r="E44" s="89"/>
      <c r="F44" s="89"/>
      <c r="G44" s="89"/>
      <c r="H44" s="86">
        <v>11190</v>
      </c>
      <c r="I44" s="393">
        <v>191857</v>
      </c>
      <c r="J44" s="90">
        <f t="shared" si="1"/>
        <v>0.17145397676496874</v>
      </c>
      <c r="K44" s="91">
        <v>20847</v>
      </c>
      <c r="L44" s="400">
        <f t="shared" si="2"/>
        <v>1.8630026809651475E-2</v>
      </c>
      <c r="M44" s="89">
        <v>1687</v>
      </c>
      <c r="N44" s="402">
        <f t="shared" si="4"/>
        <v>1.5075960679177837E-3</v>
      </c>
      <c r="O44" s="189">
        <f t="shared" si="3"/>
        <v>776.77898550724638</v>
      </c>
      <c r="P44" s="191"/>
    </row>
    <row r="45" spans="1:16" x14ac:dyDescent="0.35">
      <c r="A45" s="79"/>
      <c r="B45" s="229"/>
      <c r="C45" s="87" t="s">
        <v>216</v>
      </c>
      <c r="D45" s="89">
        <v>313</v>
      </c>
      <c r="E45" s="89"/>
      <c r="F45" s="89"/>
      <c r="G45" s="89"/>
      <c r="H45" s="86">
        <v>13794</v>
      </c>
      <c r="I45" s="393">
        <v>182597</v>
      </c>
      <c r="J45" s="90">
        <f t="shared" ref="J45" si="5">I45/(100*H45)</f>
        <v>0.13237422067565607</v>
      </c>
      <c r="K45" s="91">
        <v>1446</v>
      </c>
      <c r="L45" s="400">
        <f t="shared" ref="L45" si="6">K45/(100*H45)</f>
        <v>1.0482818616789908E-3</v>
      </c>
      <c r="M45" s="89">
        <v>3351</v>
      </c>
      <c r="N45" s="402">
        <f t="shared" ref="N45" si="7">M45/(100*H45)</f>
        <v>2.4293170943888646E-3</v>
      </c>
      <c r="O45" s="189">
        <f t="shared" si="3"/>
        <v>598.70287539936101</v>
      </c>
      <c r="P45" s="191"/>
    </row>
    <row r="46" spans="1:16" x14ac:dyDescent="0.35">
      <c r="A46" s="79"/>
      <c r="B46" s="230"/>
      <c r="C46" s="87" t="s">
        <v>212</v>
      </c>
      <c r="D46" s="89">
        <v>167</v>
      </c>
      <c r="E46" s="89"/>
      <c r="F46" s="89"/>
      <c r="G46" s="89"/>
      <c r="H46" s="86">
        <v>6156</v>
      </c>
      <c r="I46" s="393">
        <v>48510</v>
      </c>
      <c r="J46" s="90">
        <f t="shared" si="1"/>
        <v>7.8801169590643275E-2</v>
      </c>
      <c r="K46" s="91">
        <v>14949</v>
      </c>
      <c r="L46" s="400">
        <f t="shared" si="2"/>
        <v>2.4283625730994154E-2</v>
      </c>
      <c r="M46" s="89">
        <v>174</v>
      </c>
      <c r="N46" s="402">
        <f t="shared" si="4"/>
        <v>2.8265107212475634E-4</v>
      </c>
      <c r="O46" s="189">
        <f t="shared" si="3"/>
        <v>381.03592814371257</v>
      </c>
      <c r="P46" s="191"/>
    </row>
    <row r="47" spans="1:16" ht="23" x14ac:dyDescent="0.35">
      <c r="A47" s="79"/>
      <c r="B47" s="228" t="s">
        <v>365</v>
      </c>
      <c r="C47" s="87" t="s">
        <v>214</v>
      </c>
      <c r="D47" s="89">
        <v>169</v>
      </c>
      <c r="E47" s="89"/>
      <c r="F47" s="89"/>
      <c r="G47" s="89"/>
      <c r="H47" s="88">
        <v>3713</v>
      </c>
      <c r="I47" s="393">
        <v>37102</v>
      </c>
      <c r="J47" s="90">
        <f t="shared" si="1"/>
        <v>9.9924589280904932E-2</v>
      </c>
      <c r="K47" s="91">
        <v>10419</v>
      </c>
      <c r="L47" s="400">
        <f t="shared" si="2"/>
        <v>2.8060867223269594E-2</v>
      </c>
      <c r="M47" s="89">
        <v>9236</v>
      </c>
      <c r="N47" s="402">
        <f t="shared" si="4"/>
        <v>2.4874764341502827E-2</v>
      </c>
      <c r="O47" s="189">
        <f t="shared" si="3"/>
        <v>335.84023668639054</v>
      </c>
      <c r="P47" s="191"/>
    </row>
    <row r="48" spans="1:16" ht="34.5" x14ac:dyDescent="0.35">
      <c r="A48" s="79"/>
      <c r="B48" s="230"/>
      <c r="C48" s="87" t="s">
        <v>213</v>
      </c>
      <c r="D48" s="89">
        <v>79</v>
      </c>
      <c r="E48" s="89"/>
      <c r="F48" s="89"/>
      <c r="G48" s="89"/>
      <c r="H48" s="88">
        <v>5693</v>
      </c>
      <c r="I48" s="393">
        <v>5550</v>
      </c>
      <c r="J48" s="90">
        <f t="shared" si="1"/>
        <v>9.748814333391885E-3</v>
      </c>
      <c r="K48" s="91">
        <v>2194</v>
      </c>
      <c r="L48" s="400">
        <f t="shared" si="2"/>
        <v>3.8538556121552785E-3</v>
      </c>
      <c r="M48" s="89">
        <v>3955</v>
      </c>
      <c r="N48" s="402">
        <f t="shared" si="4"/>
        <v>6.9471280519936762E-3</v>
      </c>
      <c r="O48" s="189">
        <f t="shared" si="3"/>
        <v>148.08860759493672</v>
      </c>
      <c r="P48" s="191"/>
    </row>
    <row r="49" spans="1:16" ht="15" thickBot="1" x14ac:dyDescent="0.4">
      <c r="A49" s="79"/>
      <c r="B49" s="179" t="s">
        <v>366</v>
      </c>
      <c r="C49" s="180" t="s">
        <v>217</v>
      </c>
      <c r="D49" s="181">
        <v>119</v>
      </c>
      <c r="E49" s="181"/>
      <c r="F49" s="181"/>
      <c r="G49" s="181"/>
      <c r="H49" s="182">
        <v>9540</v>
      </c>
      <c r="I49" s="395">
        <v>86676</v>
      </c>
      <c r="J49" s="183">
        <f t="shared" si="1"/>
        <v>9.0855345911949686E-2</v>
      </c>
      <c r="K49" s="184">
        <v>154</v>
      </c>
      <c r="L49" s="401">
        <f t="shared" si="2"/>
        <v>1.6142557651991615E-4</v>
      </c>
      <c r="M49" s="181">
        <v>5140</v>
      </c>
      <c r="N49" s="404">
        <f t="shared" si="4"/>
        <v>5.3878406708595386E-3</v>
      </c>
      <c r="O49" s="196">
        <f t="shared" si="3"/>
        <v>772.85714285714289</v>
      </c>
      <c r="P49" s="197"/>
    </row>
    <row r="50" spans="1:16" x14ac:dyDescent="0.35">
      <c r="N50" t="s">
        <v>372</v>
      </c>
      <c r="O50" s="149">
        <f>AVERAGE(O5:O49)</f>
        <v>1441.3929556705689</v>
      </c>
    </row>
    <row r="51" spans="1:16" x14ac:dyDescent="0.35">
      <c r="N51" t="s">
        <v>373</v>
      </c>
      <c r="O51" s="38">
        <f>MEDIAN(O5:O49)</f>
        <v>853.23781529164478</v>
      </c>
    </row>
    <row r="53" spans="1:16" ht="21.5" hidden="1" thickBot="1" x14ac:dyDescent="0.55000000000000004">
      <c r="A53" s="37" t="s">
        <v>259</v>
      </c>
    </row>
    <row r="54" spans="1:16" hidden="1" x14ac:dyDescent="0.35">
      <c r="A54" s="40" t="s">
        <v>185</v>
      </c>
      <c r="B54" s="48" t="s">
        <v>178</v>
      </c>
      <c r="C54" s="48"/>
      <c r="D54" s="48"/>
      <c r="E54" s="48"/>
      <c r="F54" s="48"/>
      <c r="G54" s="48"/>
      <c r="H54" s="48"/>
      <c r="I54" s="67">
        <v>194259</v>
      </c>
      <c r="J54" s="48"/>
      <c r="K54" s="68">
        <v>103257</v>
      </c>
      <c r="L54" s="48"/>
      <c r="M54" s="48">
        <v>3156</v>
      </c>
      <c r="N54" s="41"/>
    </row>
    <row r="55" spans="1:16" hidden="1" x14ac:dyDescent="0.35">
      <c r="A55" s="42"/>
      <c r="B55" s="9"/>
      <c r="C55" s="9" t="s">
        <v>179</v>
      </c>
      <c r="D55" s="55">
        <v>482</v>
      </c>
      <c r="E55" s="9"/>
      <c r="F55" s="9"/>
      <c r="G55" s="9"/>
      <c r="H55" s="9">
        <v>4868</v>
      </c>
      <c r="I55" s="47">
        <v>296960</v>
      </c>
      <c r="J55" s="9"/>
      <c r="K55" s="39">
        <v>77128</v>
      </c>
      <c r="L55" s="9"/>
      <c r="M55" s="9">
        <v>1248</v>
      </c>
      <c r="N55" s="49"/>
    </row>
    <row r="56" spans="1:16" ht="23" hidden="1" x14ac:dyDescent="0.35">
      <c r="A56" s="42"/>
      <c r="B56" s="9"/>
      <c r="C56" s="35" t="s">
        <v>180</v>
      </c>
      <c r="D56" s="55">
        <v>225</v>
      </c>
      <c r="E56" s="9"/>
      <c r="F56" s="9"/>
      <c r="G56" s="9"/>
      <c r="H56" s="9">
        <v>4338</v>
      </c>
      <c r="I56" s="47">
        <v>115169</v>
      </c>
      <c r="J56" s="9"/>
      <c r="K56" s="39">
        <v>42532</v>
      </c>
      <c r="L56" s="9"/>
      <c r="M56" s="9">
        <v>192</v>
      </c>
      <c r="N56" s="49"/>
    </row>
    <row r="57" spans="1:16" hidden="1" x14ac:dyDescent="0.35">
      <c r="A57" s="42"/>
      <c r="B57" s="9"/>
      <c r="C57" s="9" t="s">
        <v>181</v>
      </c>
      <c r="D57" s="55">
        <v>201</v>
      </c>
      <c r="E57" s="9"/>
      <c r="F57" s="9"/>
      <c r="G57" s="9"/>
      <c r="H57" s="9">
        <v>4291</v>
      </c>
      <c r="I57" s="47">
        <v>114870</v>
      </c>
      <c r="J57" s="9"/>
      <c r="K57" s="39">
        <v>106759</v>
      </c>
      <c r="L57" s="9"/>
      <c r="M57" s="9">
        <v>3617</v>
      </c>
      <c r="N57" s="49"/>
    </row>
    <row r="58" spans="1:16" hidden="1" x14ac:dyDescent="0.35">
      <c r="A58" s="42"/>
      <c r="B58" s="9"/>
      <c r="C58" s="35" t="s">
        <v>182</v>
      </c>
      <c r="D58" s="55">
        <v>426</v>
      </c>
      <c r="E58" s="9"/>
      <c r="F58" s="9"/>
      <c r="G58" s="9"/>
      <c r="H58" s="9">
        <v>5611</v>
      </c>
      <c r="I58" s="47">
        <v>308426</v>
      </c>
      <c r="J58" s="9"/>
      <c r="K58" s="39">
        <v>68737</v>
      </c>
      <c r="L58" s="9"/>
      <c r="M58" s="9">
        <v>1895</v>
      </c>
      <c r="N58" s="49"/>
    </row>
    <row r="59" spans="1:16" hidden="1" x14ac:dyDescent="0.35">
      <c r="A59" s="42"/>
      <c r="B59" s="9"/>
      <c r="C59" s="9" t="s">
        <v>183</v>
      </c>
      <c r="D59" s="55">
        <v>381</v>
      </c>
      <c r="E59" s="9"/>
      <c r="F59" s="9"/>
      <c r="G59" s="9"/>
      <c r="H59" s="9">
        <v>8196</v>
      </c>
      <c r="I59" s="47">
        <v>243895</v>
      </c>
      <c r="J59" s="9"/>
      <c r="K59" s="39">
        <v>146848</v>
      </c>
      <c r="L59" s="9"/>
      <c r="M59" s="9">
        <v>632</v>
      </c>
      <c r="N59" s="49"/>
    </row>
    <row r="60" spans="1:16" hidden="1" x14ac:dyDescent="0.35">
      <c r="A60" s="42"/>
      <c r="B60" s="9"/>
      <c r="C60" s="35" t="s">
        <v>184</v>
      </c>
      <c r="D60" s="55">
        <v>456</v>
      </c>
      <c r="E60" s="9"/>
      <c r="F60" s="9"/>
      <c r="G60" s="9"/>
      <c r="H60" s="9">
        <v>5431</v>
      </c>
      <c r="I60" s="9"/>
      <c r="J60" s="9"/>
      <c r="K60" s="9"/>
      <c r="L60" s="9"/>
      <c r="M60" s="9"/>
      <c r="N60" s="49"/>
    </row>
    <row r="61" spans="1:16" hidden="1" x14ac:dyDescent="0.35">
      <c r="A61" s="42"/>
      <c r="B61" s="9"/>
      <c r="C61" s="9"/>
      <c r="D61" s="9"/>
      <c r="E61" s="9"/>
      <c r="F61" s="9"/>
      <c r="G61" s="9"/>
      <c r="H61" s="9"/>
      <c r="I61" s="9"/>
      <c r="J61" s="9"/>
      <c r="K61" s="9"/>
      <c r="L61" s="9"/>
      <c r="M61" s="9"/>
      <c r="N61" s="49"/>
    </row>
    <row r="62" spans="1:16" hidden="1" x14ac:dyDescent="0.35">
      <c r="A62" s="42" t="s">
        <v>5</v>
      </c>
      <c r="B62" s="9" t="s">
        <v>154</v>
      </c>
      <c r="C62" s="9" t="s">
        <v>155</v>
      </c>
      <c r="D62" s="55">
        <v>224</v>
      </c>
      <c r="E62" s="9"/>
      <c r="F62" s="9"/>
      <c r="G62" s="9"/>
      <c r="H62" s="9">
        <v>3973</v>
      </c>
      <c r="I62" s="47">
        <v>75639</v>
      </c>
      <c r="J62" s="47">
        <f t="shared" ref="J62:J69" si="8">I62/(100*H62)</f>
        <v>0.19038258243141204</v>
      </c>
      <c r="K62" s="39">
        <v>19942</v>
      </c>
      <c r="L62" s="59">
        <f t="shared" ref="L62:L69" si="9">K62/(100*H62)</f>
        <v>5.019380820538636E-2</v>
      </c>
      <c r="M62" s="9">
        <v>125</v>
      </c>
      <c r="N62" s="69">
        <f t="shared" ref="N62:N69" si="10">M62/(100*H62)</f>
        <v>3.1462371004278882E-4</v>
      </c>
    </row>
    <row r="63" spans="1:16" hidden="1" x14ac:dyDescent="0.35">
      <c r="A63" s="42"/>
      <c r="B63" s="9" t="s">
        <v>158</v>
      </c>
      <c r="C63" s="9" t="s">
        <v>160</v>
      </c>
      <c r="D63" s="55">
        <v>599</v>
      </c>
      <c r="E63" s="9"/>
      <c r="F63" s="9"/>
      <c r="G63" s="9"/>
      <c r="H63" s="9">
        <v>6398</v>
      </c>
      <c r="I63" s="47">
        <v>112714</v>
      </c>
      <c r="J63" s="47">
        <f t="shared" si="8"/>
        <v>0.1761706783369803</v>
      </c>
      <c r="K63" s="39">
        <v>45531</v>
      </c>
      <c r="L63" s="59">
        <f t="shared" si="9"/>
        <v>7.1164426383244758E-2</v>
      </c>
      <c r="M63" s="9">
        <v>199</v>
      </c>
      <c r="N63" s="69">
        <f t="shared" si="10"/>
        <v>3.1103469834323227E-4</v>
      </c>
    </row>
    <row r="64" spans="1:16" hidden="1" x14ac:dyDescent="0.35">
      <c r="A64" s="42"/>
      <c r="B64" s="9"/>
      <c r="C64" s="35" t="s">
        <v>161</v>
      </c>
      <c r="D64" s="55">
        <v>316</v>
      </c>
      <c r="E64" s="9"/>
      <c r="F64" s="9"/>
      <c r="G64" s="9"/>
      <c r="H64" s="9">
        <v>4671</v>
      </c>
      <c r="I64" s="47">
        <v>100437</v>
      </c>
      <c r="J64" s="47">
        <f t="shared" si="8"/>
        <v>0.21502247912652536</v>
      </c>
      <c r="K64" s="39">
        <v>65907</v>
      </c>
      <c r="L64" s="59">
        <f t="shared" si="9"/>
        <v>0.14109826589595376</v>
      </c>
      <c r="M64" s="9">
        <v>27</v>
      </c>
      <c r="N64" s="69">
        <f t="shared" si="10"/>
        <v>5.7803468208092484E-5</v>
      </c>
    </row>
    <row r="65" spans="1:14" hidden="1" x14ac:dyDescent="0.35">
      <c r="A65" s="42"/>
      <c r="B65" s="9"/>
      <c r="C65" s="35" t="s">
        <v>159</v>
      </c>
      <c r="D65" s="55">
        <v>288</v>
      </c>
      <c r="E65" s="9"/>
      <c r="F65" s="9"/>
      <c r="G65" s="9"/>
      <c r="H65" s="9">
        <v>3602</v>
      </c>
      <c r="I65" s="47">
        <v>173290</v>
      </c>
      <c r="J65" s="47">
        <f t="shared" si="8"/>
        <v>0.48109383675735701</v>
      </c>
      <c r="K65" s="39">
        <v>21075</v>
      </c>
      <c r="L65" s="59">
        <f t="shared" si="9"/>
        <v>5.8509161576901718E-2</v>
      </c>
      <c r="M65" s="9">
        <v>116</v>
      </c>
      <c r="N65" s="69">
        <f t="shared" si="10"/>
        <v>3.2204330927262633E-4</v>
      </c>
    </row>
    <row r="66" spans="1:14" hidden="1" x14ac:dyDescent="0.35">
      <c r="A66" s="42"/>
      <c r="B66" s="9" t="s">
        <v>167</v>
      </c>
      <c r="C66" s="9" t="s">
        <v>171</v>
      </c>
      <c r="D66" s="55">
        <v>48</v>
      </c>
      <c r="E66" s="9"/>
      <c r="F66" s="9"/>
      <c r="G66" s="9"/>
      <c r="H66" s="9">
        <v>4884</v>
      </c>
      <c r="I66" s="47">
        <v>62317</v>
      </c>
      <c r="J66" s="47">
        <f t="shared" si="8"/>
        <v>0.1275941850941851</v>
      </c>
      <c r="K66" s="39">
        <v>23004</v>
      </c>
      <c r="L66" s="59">
        <f t="shared" si="9"/>
        <v>4.7100737100737103E-2</v>
      </c>
      <c r="M66" s="9">
        <v>13</v>
      </c>
      <c r="N66" s="69">
        <f t="shared" si="10"/>
        <v>2.6617526617526617E-5</v>
      </c>
    </row>
    <row r="67" spans="1:14" hidden="1" x14ac:dyDescent="0.35">
      <c r="A67" s="42"/>
      <c r="B67" s="9"/>
      <c r="C67" s="35" t="s">
        <v>172</v>
      </c>
      <c r="D67" s="55">
        <v>543</v>
      </c>
      <c r="E67" s="9"/>
      <c r="F67" s="9"/>
      <c r="G67" s="9"/>
      <c r="H67" s="9">
        <v>5875</v>
      </c>
      <c r="I67" s="47">
        <v>239630</v>
      </c>
      <c r="J67" s="47">
        <f t="shared" si="8"/>
        <v>0.40788085106382976</v>
      </c>
      <c r="K67" s="39">
        <v>189489</v>
      </c>
      <c r="L67" s="59">
        <f t="shared" si="9"/>
        <v>0.32253446808510638</v>
      </c>
      <c r="M67" s="9">
        <v>135</v>
      </c>
      <c r="N67" s="69">
        <f t="shared" si="10"/>
        <v>2.297872340425532E-4</v>
      </c>
    </row>
    <row r="68" spans="1:14" hidden="1" x14ac:dyDescent="0.35">
      <c r="A68" s="42"/>
      <c r="B68" s="9" t="s">
        <v>162</v>
      </c>
      <c r="C68" s="9" t="s">
        <v>164</v>
      </c>
      <c r="D68" s="55">
        <v>169</v>
      </c>
      <c r="E68" s="9"/>
      <c r="F68" s="9"/>
      <c r="G68" s="9"/>
      <c r="H68" s="9">
        <v>3654</v>
      </c>
      <c r="I68" s="47">
        <v>39356</v>
      </c>
      <c r="J68" s="47">
        <f t="shared" si="8"/>
        <v>0.10770662287903668</v>
      </c>
      <c r="K68" s="39">
        <v>2657</v>
      </c>
      <c r="L68" s="59">
        <f t="shared" si="9"/>
        <v>7.2714833059660646E-3</v>
      </c>
      <c r="M68" s="9">
        <v>557</v>
      </c>
      <c r="N68" s="69">
        <f t="shared" si="10"/>
        <v>1.5243568691844555E-3</v>
      </c>
    </row>
    <row r="69" spans="1:14" hidden="1" x14ac:dyDescent="0.35">
      <c r="A69" s="42"/>
      <c r="B69" s="9"/>
      <c r="C69" s="35" t="s">
        <v>165</v>
      </c>
      <c r="D69" s="55">
        <v>321</v>
      </c>
      <c r="E69" s="66"/>
      <c r="F69" s="66"/>
      <c r="G69" s="66"/>
      <c r="H69" s="66">
        <v>3614</v>
      </c>
      <c r="I69" s="66">
        <v>177003</v>
      </c>
      <c r="J69" s="47">
        <f t="shared" si="8"/>
        <v>0.48977033757609295</v>
      </c>
      <c r="K69" s="39">
        <v>76918</v>
      </c>
      <c r="L69" s="59">
        <f t="shared" si="9"/>
        <v>0.21283342556723853</v>
      </c>
      <c r="M69" s="9"/>
      <c r="N69" s="69">
        <f t="shared" si="10"/>
        <v>0</v>
      </c>
    </row>
    <row r="70" spans="1:14" hidden="1" x14ac:dyDescent="0.35">
      <c r="A70" s="42"/>
      <c r="B70" s="9"/>
      <c r="C70" s="9"/>
      <c r="D70" s="9"/>
      <c r="E70" s="9"/>
      <c r="F70" s="9"/>
      <c r="G70" s="9"/>
      <c r="H70" s="9"/>
      <c r="I70" s="9"/>
      <c r="J70" s="9"/>
      <c r="K70" s="9"/>
      <c r="L70" s="9"/>
      <c r="M70" s="9"/>
      <c r="N70" s="49"/>
    </row>
    <row r="71" spans="1:14" hidden="1" x14ac:dyDescent="0.35">
      <c r="A71" s="42" t="s">
        <v>4</v>
      </c>
      <c r="B71" s="9" t="s">
        <v>186</v>
      </c>
      <c r="C71" s="9" t="s">
        <v>187</v>
      </c>
      <c r="D71" s="55">
        <v>117</v>
      </c>
      <c r="E71" s="9"/>
      <c r="F71" s="9"/>
      <c r="G71" s="9"/>
      <c r="H71" s="9">
        <v>5559</v>
      </c>
      <c r="I71" s="47">
        <v>176540</v>
      </c>
      <c r="J71" s="47">
        <f>I71/(100*H71)</f>
        <v>0.31757510343586975</v>
      </c>
      <c r="K71" s="39">
        <v>58625</v>
      </c>
      <c r="L71" s="59">
        <f>K71/(100*H71)</f>
        <v>0.10545961503867603</v>
      </c>
      <c r="M71" s="9">
        <v>204</v>
      </c>
      <c r="N71" s="69">
        <f>M71/(100*H71)</f>
        <v>3.6697247706422018E-4</v>
      </c>
    </row>
    <row r="72" spans="1:14" ht="15" hidden="1" thickBot="1" x14ac:dyDescent="0.4">
      <c r="A72" s="45"/>
      <c r="B72" s="50"/>
      <c r="C72" s="70" t="s">
        <v>192</v>
      </c>
      <c r="D72" s="71">
        <v>155</v>
      </c>
      <c r="E72" s="50"/>
      <c r="F72" s="50"/>
      <c r="G72" s="50"/>
      <c r="H72" s="50">
        <v>4882</v>
      </c>
      <c r="I72" s="72">
        <v>71158</v>
      </c>
      <c r="J72" s="72">
        <f>I72/(100*H72)</f>
        <v>0.14575583777140516</v>
      </c>
      <c r="K72" s="73">
        <v>35784</v>
      </c>
      <c r="L72" s="74">
        <f>K72/(100*H72)</f>
        <v>7.3297828758705455E-2</v>
      </c>
      <c r="M72" s="50">
        <v>137</v>
      </c>
      <c r="N72" s="75">
        <f>M72/(100*H72)</f>
        <v>2.8062269561655059E-4</v>
      </c>
    </row>
    <row r="73" spans="1:14" hidden="1" x14ac:dyDescent="0.35">
      <c r="A73" s="9"/>
      <c r="B73" s="9"/>
      <c r="C73" s="9"/>
      <c r="D73" s="9"/>
      <c r="E73" s="9"/>
      <c r="F73" s="9"/>
      <c r="G73" s="9"/>
      <c r="H73" s="9"/>
      <c r="I73" s="9"/>
      <c r="J73" s="9"/>
      <c r="K73" s="9"/>
      <c r="L73" s="9"/>
      <c r="M73" s="9"/>
      <c r="N73" s="9"/>
    </row>
  </sheetData>
  <mergeCells count="17">
    <mergeCell ref="B3:C4"/>
    <mergeCell ref="B1:D2"/>
    <mergeCell ref="H1:N2"/>
    <mergeCell ref="I3:J3"/>
    <mergeCell ref="K3:L3"/>
    <mergeCell ref="M3:N3"/>
    <mergeCell ref="B42:B46"/>
    <mergeCell ref="B47:B48"/>
    <mergeCell ref="B18:B20"/>
    <mergeCell ref="B13:B17"/>
    <mergeCell ref="B5:B7"/>
    <mergeCell ref="B8:B11"/>
    <mergeCell ref="B22:B23"/>
    <mergeCell ref="B24:B26"/>
    <mergeCell ref="B27:B29"/>
    <mergeCell ref="B30:B35"/>
    <mergeCell ref="B36:B41"/>
  </mergeCells>
  <conditionalFormatting sqref="K54:K59">
    <cfRule type="colorScale" priority="36">
      <colorScale>
        <cfvo type="min"/>
        <cfvo type="max"/>
        <color rgb="FFFCFCFF"/>
        <color rgb="FF63BE7B"/>
      </colorScale>
    </cfRule>
  </conditionalFormatting>
  <conditionalFormatting sqref="I54:I59">
    <cfRule type="colorScale" priority="40">
      <colorScale>
        <cfvo type="min"/>
        <cfvo type="max"/>
        <color rgb="FFFCFCFF"/>
        <color rgb="FF63BE7B"/>
      </colorScale>
    </cfRule>
  </conditionalFormatting>
  <conditionalFormatting sqref="L62:L69 L71:L72 L5:L44 L46:L49">
    <cfRule type="cellIs" dxfId="17" priority="20" operator="greaterThan">
      <formula>0.2</formula>
    </cfRule>
    <cfRule type="cellIs" dxfId="16" priority="21" operator="between">
      <formula>0.1</formula>
      <formula>0.2</formula>
    </cfRule>
    <cfRule type="cellIs" dxfId="15" priority="22" operator="between">
      <formula>0.02</formula>
      <formula>0.1</formula>
    </cfRule>
  </conditionalFormatting>
  <conditionalFormatting sqref="J62:J69 J71:J72 J10:J44 J46:J49">
    <cfRule type="cellIs" dxfId="14" priority="17" operator="greaterThan">
      <formula>0.8</formula>
    </cfRule>
    <cfRule type="cellIs" dxfId="13" priority="18" operator="between">
      <formula>0.6</formula>
      <formula>0.8</formula>
    </cfRule>
    <cfRule type="cellIs" dxfId="12" priority="19" operator="between">
      <formula>0.4</formula>
      <formula>0.6</formula>
    </cfRule>
  </conditionalFormatting>
  <conditionalFormatting sqref="M5:M33 M62:M69 M71:M72 M36:M44 M46:M49">
    <cfRule type="cellIs" dxfId="11" priority="14" operator="greaterThan">
      <formula>7000</formula>
    </cfRule>
    <cfRule type="cellIs" dxfId="10" priority="15" operator="between">
      <formula>4000</formula>
      <formula>7000</formula>
    </cfRule>
    <cfRule type="cellIs" dxfId="9" priority="16" operator="between">
      <formula>1000</formula>
      <formula>4000</formula>
    </cfRule>
  </conditionalFormatting>
  <conditionalFormatting sqref="L45">
    <cfRule type="cellIs" dxfId="8" priority="7" operator="greaterThan">
      <formula>0.2</formula>
    </cfRule>
    <cfRule type="cellIs" dxfId="7" priority="8" operator="between">
      <formula>0.1</formula>
      <formula>0.2</formula>
    </cfRule>
    <cfRule type="cellIs" dxfId="6" priority="9" operator="between">
      <formula>0.02</formula>
      <formula>0.1</formula>
    </cfRule>
  </conditionalFormatting>
  <conditionalFormatting sqref="J45">
    <cfRule type="cellIs" dxfId="5" priority="4" operator="greaterThan">
      <formula>0.8</formula>
    </cfRule>
    <cfRule type="cellIs" dxfId="4" priority="5" operator="between">
      <formula>0.6</formula>
      <formula>0.8</formula>
    </cfRule>
    <cfRule type="cellIs" dxfId="3" priority="6" operator="between">
      <formula>0.4</formula>
      <formula>0.6</formula>
    </cfRule>
  </conditionalFormatting>
  <conditionalFormatting sqref="M45">
    <cfRule type="cellIs" dxfId="2" priority="1" operator="greaterThan">
      <formula>7000</formula>
    </cfRule>
    <cfRule type="cellIs" dxfId="1" priority="2" operator="between">
      <formula>4000</formula>
      <formula>7000</formula>
    </cfRule>
    <cfRule type="cellIs" dxfId="0" priority="3" operator="between">
      <formula>1000</formula>
      <formula>4000</formula>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41D1C-33E5-4C8E-A492-C9FF48C15BE0}">
  <dimension ref="B1:R38"/>
  <sheetViews>
    <sheetView zoomScale="85" zoomScaleNormal="85" workbookViewId="0">
      <selection activeCell="P13" sqref="P13"/>
    </sheetView>
  </sheetViews>
  <sheetFormatPr defaultRowHeight="14.5" x14ac:dyDescent="0.35"/>
  <cols>
    <col min="2" max="2" width="26.90625" bestFit="1" customWidth="1"/>
    <col min="3" max="3" width="20.7265625" bestFit="1" customWidth="1"/>
    <col min="4" max="4" width="20.7265625" customWidth="1"/>
    <col min="5" max="5" width="14.36328125" customWidth="1"/>
    <col min="7" max="7" width="14.54296875" customWidth="1"/>
    <col min="8" max="8" width="15.7265625" customWidth="1"/>
    <col min="9" max="9" width="8.36328125" customWidth="1"/>
    <col min="10" max="10" width="17.36328125" customWidth="1"/>
    <col min="11" max="11" width="17.6328125" customWidth="1"/>
    <col min="12" max="12" width="31" customWidth="1"/>
    <col min="13" max="13" width="26" customWidth="1"/>
  </cols>
  <sheetData>
    <row r="1" spans="2:18" ht="21.5" thickBot="1" x14ac:dyDescent="0.55000000000000004">
      <c r="B1" s="241" t="s">
        <v>265</v>
      </c>
      <c r="C1" s="242"/>
      <c r="D1" s="242"/>
      <c r="E1" s="242"/>
      <c r="F1" s="242"/>
      <c r="G1" s="296" t="s">
        <v>415</v>
      </c>
      <c r="H1" s="296"/>
      <c r="I1" s="296"/>
      <c r="J1" s="296"/>
      <c r="K1" s="296"/>
      <c r="L1" s="296"/>
      <c r="M1" s="297"/>
      <c r="O1" s="291" t="s">
        <v>266</v>
      </c>
      <c r="P1" s="292"/>
    </row>
    <row r="2" spans="2:18" ht="29" x14ac:dyDescent="0.35">
      <c r="B2" s="52" t="s">
        <v>116</v>
      </c>
      <c r="C2" s="53" t="s">
        <v>124</v>
      </c>
      <c r="D2" s="53" t="s">
        <v>326</v>
      </c>
      <c r="E2" s="411" t="s">
        <v>117</v>
      </c>
      <c r="F2" s="53" t="s">
        <v>122</v>
      </c>
      <c r="G2" s="53" t="s">
        <v>295</v>
      </c>
      <c r="H2" s="412" t="s">
        <v>121</v>
      </c>
      <c r="I2" s="53" t="s">
        <v>122</v>
      </c>
      <c r="J2" s="53" t="s">
        <v>118</v>
      </c>
      <c r="K2" s="53" t="s">
        <v>119</v>
      </c>
      <c r="L2" s="53" t="s">
        <v>141</v>
      </c>
      <c r="M2" s="54" t="s">
        <v>325</v>
      </c>
      <c r="O2" s="108" t="s">
        <v>8</v>
      </c>
      <c r="P2" s="417">
        <f>O4+P4*2</f>
        <v>119.97499999999999</v>
      </c>
    </row>
    <row r="3" spans="2:18" ht="29" x14ac:dyDescent="0.35">
      <c r="B3" s="134" t="s">
        <v>120</v>
      </c>
      <c r="C3" s="106" t="s">
        <v>278</v>
      </c>
      <c r="D3" s="106" t="s">
        <v>344</v>
      </c>
      <c r="E3" s="9">
        <v>5</v>
      </c>
      <c r="F3" s="9" t="s">
        <v>74</v>
      </c>
      <c r="G3" s="405">
        <f>100-(0.33+0.832+0.475+0.001+0.001+0.026+0.003)*2</f>
        <v>96.664000000000001</v>
      </c>
      <c r="H3" s="408">
        <f>E3*G3/100</f>
        <v>4.8331999999999997</v>
      </c>
      <c r="I3" s="9" t="s">
        <v>74</v>
      </c>
      <c r="J3" s="135" t="s">
        <v>138</v>
      </c>
      <c r="K3" s="135" t="s">
        <v>123</v>
      </c>
      <c r="L3" s="132" t="s">
        <v>142</v>
      </c>
      <c r="M3" s="49" t="s">
        <v>330</v>
      </c>
      <c r="O3" s="42" t="s">
        <v>9</v>
      </c>
      <c r="P3" s="49" t="s">
        <v>10</v>
      </c>
    </row>
    <row r="4" spans="2:18" ht="15" thickBot="1" x14ac:dyDescent="0.4">
      <c r="B4" s="287" t="s">
        <v>350</v>
      </c>
      <c r="C4" s="293" t="s">
        <v>277</v>
      </c>
      <c r="D4" s="293" t="s">
        <v>345</v>
      </c>
      <c r="E4" s="170">
        <v>40</v>
      </c>
      <c r="F4" s="170" t="s">
        <v>125</v>
      </c>
      <c r="G4" s="406">
        <f>(165.6-24.4)*P2/100000</f>
        <v>0.16940469999999996</v>
      </c>
      <c r="H4" s="409">
        <f>E4*$P$2/(2*$P$4)/1000*(165.6-24.4)/165.6</f>
        <v>6.3806345956394436E-2</v>
      </c>
      <c r="I4" s="170" t="s">
        <v>74</v>
      </c>
      <c r="J4" s="293" t="s">
        <v>140</v>
      </c>
      <c r="K4" s="295" t="s">
        <v>126</v>
      </c>
      <c r="L4" s="295" t="s">
        <v>142</v>
      </c>
      <c r="M4" s="298" t="s">
        <v>346</v>
      </c>
      <c r="O4" s="196">
        <v>55.844999999999999</v>
      </c>
      <c r="P4" s="105">
        <v>32.064999999999998</v>
      </c>
    </row>
    <row r="5" spans="2:18" x14ac:dyDescent="0.35">
      <c r="B5" s="287"/>
      <c r="C5" s="293"/>
      <c r="D5" s="293"/>
      <c r="E5" s="170">
        <v>160</v>
      </c>
      <c r="F5" s="170" t="s">
        <v>125</v>
      </c>
      <c r="G5" s="406"/>
      <c r="H5" s="409">
        <f>E5*$P$2/(2*$P$4)/1000*(165.6-24.4)/165.6</f>
        <v>0.25522538382557775</v>
      </c>
      <c r="I5" s="170" t="s">
        <v>74</v>
      </c>
      <c r="J5" s="293"/>
      <c r="K5" s="295"/>
      <c r="L5" s="295"/>
      <c r="M5" s="298"/>
      <c r="O5" s="52" t="s">
        <v>411</v>
      </c>
      <c r="P5" s="41">
        <f>O7+P4+P7*4</f>
        <v>136.065</v>
      </c>
      <c r="Q5" s="9"/>
      <c r="R5" s="9"/>
    </row>
    <row r="6" spans="2:18" x14ac:dyDescent="0.35">
      <c r="B6" s="294" t="s">
        <v>127</v>
      </c>
      <c r="C6" s="277" t="s">
        <v>276</v>
      </c>
      <c r="D6" s="277" t="s">
        <v>347</v>
      </c>
      <c r="E6" s="102">
        <v>3</v>
      </c>
      <c r="F6" s="9" t="s">
        <v>131</v>
      </c>
      <c r="G6" s="407">
        <f>40.7/O4*P2</f>
        <v>87.438132330557792</v>
      </c>
      <c r="H6" s="408">
        <f>E6*K$31/1000000*G6/100</f>
        <v>6.7152485629868384</v>
      </c>
      <c r="I6" s="9" t="s">
        <v>74</v>
      </c>
      <c r="J6" s="289" t="s">
        <v>139</v>
      </c>
      <c r="K6" s="278" t="s">
        <v>334</v>
      </c>
      <c r="L6" s="278" t="s">
        <v>142</v>
      </c>
      <c r="M6" s="299" t="s">
        <v>348</v>
      </c>
      <c r="O6" s="42" t="s">
        <v>412</v>
      </c>
      <c r="P6" s="49" t="s">
        <v>413</v>
      </c>
    </row>
    <row r="7" spans="2:18" ht="15" thickBot="1" x14ac:dyDescent="0.4">
      <c r="B7" s="294"/>
      <c r="C7" s="277"/>
      <c r="D7" s="277"/>
      <c r="E7" s="102">
        <v>10</v>
      </c>
      <c r="F7" s="9" t="s">
        <v>131</v>
      </c>
      <c r="G7" s="407"/>
      <c r="H7" s="408">
        <f>E7*K$31/1000000*G6/100</f>
        <v>22.384161876622798</v>
      </c>
      <c r="I7" s="9" t="s">
        <v>74</v>
      </c>
      <c r="J7" s="289"/>
      <c r="K7" s="278"/>
      <c r="L7" s="278"/>
      <c r="M7" s="299"/>
      <c r="O7" s="45">
        <v>40</v>
      </c>
      <c r="P7" s="51">
        <v>16</v>
      </c>
    </row>
    <row r="8" spans="2:18" x14ac:dyDescent="0.35">
      <c r="B8" s="294" t="s">
        <v>349</v>
      </c>
      <c r="C8" s="282" t="s">
        <v>351</v>
      </c>
      <c r="D8" s="277" t="s">
        <v>347</v>
      </c>
      <c r="E8" s="102">
        <v>8.56</v>
      </c>
      <c r="F8" s="12" t="s">
        <v>74</v>
      </c>
      <c r="G8" s="407">
        <f>G6</f>
        <v>87.438132330557792</v>
      </c>
      <c r="H8" s="408">
        <f>E8*G8/100</f>
        <v>7.4847041274957471</v>
      </c>
      <c r="I8" s="12" t="s">
        <v>74</v>
      </c>
      <c r="J8" s="277" t="s">
        <v>139</v>
      </c>
      <c r="K8" s="290" t="s">
        <v>334</v>
      </c>
      <c r="L8" s="278" t="s">
        <v>142</v>
      </c>
      <c r="M8" s="299" t="s">
        <v>352</v>
      </c>
    </row>
    <row r="9" spans="2:18" x14ac:dyDescent="0.35">
      <c r="B9" s="294"/>
      <c r="C9" s="282"/>
      <c r="D9" s="277"/>
      <c r="E9" s="102">
        <v>28.03</v>
      </c>
      <c r="F9" s="12" t="s">
        <v>74</v>
      </c>
      <c r="G9" s="407"/>
      <c r="H9" s="408">
        <f>E9*G8/100</f>
        <v>24.508908492255351</v>
      </c>
      <c r="I9" s="12" t="s">
        <v>74</v>
      </c>
      <c r="J9" s="277"/>
      <c r="K9" s="290"/>
      <c r="L9" s="278"/>
      <c r="M9" s="299"/>
    </row>
    <row r="10" spans="2:18" ht="15.5" customHeight="1" x14ac:dyDescent="0.35">
      <c r="B10" s="274" t="s">
        <v>318</v>
      </c>
      <c r="C10" s="281" t="s">
        <v>322</v>
      </c>
      <c r="D10" s="277" t="s">
        <v>327</v>
      </c>
      <c r="E10" s="102">
        <v>190</v>
      </c>
      <c r="F10" s="12" t="s">
        <v>319</v>
      </c>
      <c r="G10" s="407">
        <f>(47.7+44.4)/2/(P4*2)*P2</f>
        <v>86.150767971308269</v>
      </c>
      <c r="H10" s="408">
        <f>E10*G10/100/1000</f>
        <v>0.16368645914548571</v>
      </c>
      <c r="I10" s="12" t="s">
        <v>74</v>
      </c>
      <c r="J10" s="289" t="s">
        <v>324</v>
      </c>
      <c r="K10" s="288" t="s">
        <v>323</v>
      </c>
      <c r="L10" s="277" t="s">
        <v>328</v>
      </c>
      <c r="M10" s="279" t="s">
        <v>329</v>
      </c>
    </row>
    <row r="11" spans="2:18" x14ac:dyDescent="0.35">
      <c r="B11" s="274"/>
      <c r="C11" s="281"/>
      <c r="D11" s="277"/>
      <c r="E11" s="102">
        <v>760</v>
      </c>
      <c r="F11" s="12" t="s">
        <v>319</v>
      </c>
      <c r="G11" s="407"/>
      <c r="H11" s="408">
        <f>E11*G10/100/1000</f>
        <v>0.65474583658194285</v>
      </c>
      <c r="I11" s="12" t="s">
        <v>74</v>
      </c>
      <c r="J11" s="289"/>
      <c r="K11" s="288"/>
      <c r="L11" s="277"/>
      <c r="M11" s="279"/>
    </row>
    <row r="12" spans="2:18" x14ac:dyDescent="0.35">
      <c r="B12" s="274" t="s">
        <v>320</v>
      </c>
      <c r="C12" s="280" t="s">
        <v>331</v>
      </c>
      <c r="D12" s="277" t="s">
        <v>332</v>
      </c>
      <c r="E12" s="102">
        <v>45</v>
      </c>
      <c r="F12" s="12" t="s">
        <v>125</v>
      </c>
      <c r="G12" s="300" t="s">
        <v>333</v>
      </c>
      <c r="H12" s="408">
        <f>E12/($P$4*2)*$P$2/1000</f>
        <v>8.4186418213004849E-2</v>
      </c>
      <c r="I12" s="12" t="s">
        <v>74</v>
      </c>
      <c r="J12" s="278" t="s">
        <v>334</v>
      </c>
      <c r="K12" s="290" t="s">
        <v>334</v>
      </c>
      <c r="L12" s="278" t="s">
        <v>142</v>
      </c>
      <c r="M12" s="299" t="s">
        <v>335</v>
      </c>
    </row>
    <row r="13" spans="2:18" x14ac:dyDescent="0.35">
      <c r="B13" s="274"/>
      <c r="C13" s="280"/>
      <c r="D13" s="277"/>
      <c r="E13" s="102">
        <v>360</v>
      </c>
      <c r="F13" s="12" t="s">
        <v>125</v>
      </c>
      <c r="G13" s="300"/>
      <c r="H13" s="408">
        <f>E13/($P$4*2)*$P$2/1000</f>
        <v>0.67349134570403879</v>
      </c>
      <c r="I13" s="12" t="s">
        <v>74</v>
      </c>
      <c r="J13" s="278"/>
      <c r="K13" s="290"/>
      <c r="L13" s="278"/>
      <c r="M13" s="299"/>
    </row>
    <row r="14" spans="2:18" x14ac:dyDescent="0.35">
      <c r="B14" s="274" t="s">
        <v>321</v>
      </c>
      <c r="C14" s="280" t="s">
        <v>338</v>
      </c>
      <c r="D14" s="277" t="s">
        <v>339</v>
      </c>
      <c r="E14" s="102">
        <v>60</v>
      </c>
      <c r="F14" s="12" t="s">
        <v>125</v>
      </c>
      <c r="G14" s="407">
        <f>30/(P4*2)*P2</f>
        <v>56.124278808669885</v>
      </c>
      <c r="H14" s="408">
        <f>E14/($P$4*2)*$P$2/1000</f>
        <v>0.11224855761733978</v>
      </c>
      <c r="I14" s="12" t="s">
        <v>74</v>
      </c>
      <c r="J14" s="278" t="s">
        <v>334</v>
      </c>
      <c r="K14" s="277" t="s">
        <v>336</v>
      </c>
      <c r="L14" s="278" t="s">
        <v>337</v>
      </c>
      <c r="M14" s="279" t="s">
        <v>340</v>
      </c>
    </row>
    <row r="15" spans="2:18" x14ac:dyDescent="0.35">
      <c r="B15" s="274"/>
      <c r="C15" s="280"/>
      <c r="D15" s="277"/>
      <c r="E15" s="102">
        <v>120</v>
      </c>
      <c r="F15" s="12" t="s">
        <v>125</v>
      </c>
      <c r="G15" s="407"/>
      <c r="H15" s="408">
        <f>E15/($P$4*2)*$P$2/1000</f>
        <v>0.22449711523467955</v>
      </c>
      <c r="I15" s="12" t="s">
        <v>74</v>
      </c>
      <c r="J15" s="278"/>
      <c r="K15" s="277"/>
      <c r="L15" s="278"/>
      <c r="M15" s="279"/>
    </row>
    <row r="16" spans="2:18" ht="29" customHeight="1" x14ac:dyDescent="0.35">
      <c r="B16" s="274" t="s">
        <v>353</v>
      </c>
      <c r="C16" s="280" t="s">
        <v>408</v>
      </c>
      <c r="D16" s="277" t="s">
        <v>354</v>
      </c>
      <c r="E16" s="102">
        <v>50</v>
      </c>
      <c r="F16" s="12" t="s">
        <v>410</v>
      </c>
      <c r="G16" s="407">
        <f>20.8/P4/2*P2</f>
        <v>38.912833307344457</v>
      </c>
      <c r="H16" s="408">
        <f>30/$P$5/2*$P$2*E16/100</f>
        <v>6.6131077058758683</v>
      </c>
      <c r="I16" s="12" t="s">
        <v>74</v>
      </c>
      <c r="J16" s="278" t="s">
        <v>414</v>
      </c>
      <c r="K16" s="277" t="s">
        <v>334</v>
      </c>
      <c r="L16" s="278" t="s">
        <v>355</v>
      </c>
      <c r="M16" s="279" t="s">
        <v>409</v>
      </c>
    </row>
    <row r="17" spans="2:14" x14ac:dyDescent="0.35">
      <c r="B17" s="274"/>
      <c r="C17" s="280"/>
      <c r="D17" s="277"/>
      <c r="E17" s="102">
        <v>75</v>
      </c>
      <c r="F17" s="12" t="s">
        <v>410</v>
      </c>
      <c r="G17" s="407"/>
      <c r="H17" s="408">
        <f>30/$P$5/2*$P$2*E17/100</f>
        <v>9.919661558813802</v>
      </c>
      <c r="I17" s="12" t="s">
        <v>74</v>
      </c>
      <c r="J17" s="278"/>
      <c r="K17" s="277"/>
      <c r="L17" s="278"/>
      <c r="M17" s="279"/>
    </row>
    <row r="18" spans="2:14" x14ac:dyDescent="0.35">
      <c r="B18" s="274"/>
      <c r="C18" s="280"/>
      <c r="D18" s="277"/>
      <c r="E18" s="102">
        <v>50</v>
      </c>
      <c r="F18" s="12" t="s">
        <v>410</v>
      </c>
      <c r="G18" s="407"/>
      <c r="H18" s="408">
        <f>40/$P$5/2*$P$2*E18/100</f>
        <v>8.8174769411678238</v>
      </c>
      <c r="I18" s="12" t="s">
        <v>74</v>
      </c>
      <c r="J18" s="278"/>
      <c r="K18" s="277"/>
      <c r="L18" s="278"/>
      <c r="M18" s="279"/>
    </row>
    <row r="19" spans="2:14" x14ac:dyDescent="0.35">
      <c r="B19" s="274"/>
      <c r="C19" s="280"/>
      <c r="D19" s="277"/>
      <c r="E19" s="150">
        <v>75</v>
      </c>
      <c r="F19" s="12" t="s">
        <v>410</v>
      </c>
      <c r="G19" s="407"/>
      <c r="H19" s="408">
        <f>40/$P$5/2*$P$2*E19/100</f>
        <v>13.226215411751737</v>
      </c>
      <c r="I19" s="12" t="s">
        <v>74</v>
      </c>
      <c r="J19" s="278"/>
      <c r="K19" s="277"/>
      <c r="L19" s="278"/>
      <c r="M19" s="279"/>
    </row>
    <row r="20" spans="2:14" x14ac:dyDescent="0.35">
      <c r="B20" s="274" t="s">
        <v>402</v>
      </c>
      <c r="C20" s="281" t="s">
        <v>403</v>
      </c>
      <c r="D20" s="282" t="s">
        <v>404</v>
      </c>
      <c r="E20" s="102">
        <v>40</v>
      </c>
      <c r="F20" s="166" t="s">
        <v>74</v>
      </c>
      <c r="G20" s="407">
        <f>45*P2/P4/2</f>
        <v>84.186418213004842</v>
      </c>
      <c r="H20" s="408">
        <f>E20*G20/100</f>
        <v>33.674567285201938</v>
      </c>
      <c r="I20" s="12" t="s">
        <v>74</v>
      </c>
      <c r="J20" s="278" t="s">
        <v>406</v>
      </c>
      <c r="K20" s="277" t="s">
        <v>405</v>
      </c>
      <c r="L20" s="278" t="s">
        <v>142</v>
      </c>
      <c r="M20" s="279" t="s">
        <v>407</v>
      </c>
    </row>
    <row r="21" spans="2:14" x14ac:dyDescent="0.35">
      <c r="B21" s="274"/>
      <c r="C21" s="281"/>
      <c r="D21" s="282"/>
      <c r="E21" s="102">
        <v>80</v>
      </c>
      <c r="F21" s="166" t="s">
        <v>74</v>
      </c>
      <c r="G21" s="407"/>
      <c r="H21" s="408">
        <f>E21*G20/100</f>
        <v>67.349134570403876</v>
      </c>
      <c r="I21" s="12" t="s">
        <v>74</v>
      </c>
      <c r="J21" s="278"/>
      <c r="K21" s="277"/>
      <c r="L21" s="278"/>
      <c r="M21" s="279"/>
    </row>
    <row r="22" spans="2:14" ht="15" thickBot="1" x14ac:dyDescent="0.4">
      <c r="B22" s="45" t="s">
        <v>128</v>
      </c>
      <c r="C22" s="50" t="s">
        <v>129</v>
      </c>
      <c r="D22" s="50" t="s">
        <v>341</v>
      </c>
      <c r="E22" s="50">
        <v>10</v>
      </c>
      <c r="F22" s="50" t="s">
        <v>131</v>
      </c>
      <c r="G22" s="50">
        <v>100</v>
      </c>
      <c r="H22" s="410">
        <f>E22*K31/1000000</f>
        <v>25.6</v>
      </c>
      <c r="I22" s="50" t="s">
        <v>74</v>
      </c>
      <c r="J22" s="50" t="s">
        <v>334</v>
      </c>
      <c r="K22" s="50" t="s">
        <v>342</v>
      </c>
      <c r="L22" s="50" t="s">
        <v>143</v>
      </c>
      <c r="M22" s="51" t="s">
        <v>343</v>
      </c>
    </row>
    <row r="23" spans="2:14" ht="15" thickBot="1" x14ac:dyDescent="0.4"/>
    <row r="24" spans="2:14" ht="14.5" customHeight="1" x14ac:dyDescent="0.35">
      <c r="B24" s="259" t="s">
        <v>195</v>
      </c>
      <c r="C24" s="260"/>
      <c r="D24" s="261"/>
      <c r="E24" s="254" t="s">
        <v>289</v>
      </c>
      <c r="F24" s="247"/>
      <c r="G24" s="248"/>
      <c r="H24" s="106"/>
      <c r="I24" s="106"/>
      <c r="K24" s="283" t="s">
        <v>291</v>
      </c>
      <c r="L24" s="284"/>
      <c r="M24" s="133"/>
      <c r="N24" s="122"/>
    </row>
    <row r="25" spans="2:14" ht="15.5" customHeight="1" thickBot="1" x14ac:dyDescent="0.4">
      <c r="B25" s="262"/>
      <c r="C25" s="263"/>
      <c r="D25" s="264"/>
      <c r="E25" s="255"/>
      <c r="F25" s="256"/>
      <c r="G25" s="257"/>
      <c r="H25" s="106"/>
      <c r="I25" s="106"/>
      <c r="K25" s="285"/>
      <c r="L25" s="286"/>
      <c r="M25" s="133"/>
      <c r="N25" s="122"/>
    </row>
    <row r="26" spans="2:14" x14ac:dyDescent="0.35">
      <c r="B26" s="98" t="s">
        <v>196</v>
      </c>
      <c r="C26" s="413">
        <f>H3</f>
        <v>4.8331999999999997</v>
      </c>
      <c r="D26" s="120" t="s">
        <v>74</v>
      </c>
      <c r="E26" s="255"/>
      <c r="F26" s="256"/>
      <c r="G26" s="257"/>
      <c r="H26" s="106"/>
      <c r="I26" s="106"/>
      <c r="K26" s="42">
        <v>1.28</v>
      </c>
      <c r="L26" s="49" t="s">
        <v>136</v>
      </c>
      <c r="M26" s="9"/>
      <c r="N26" s="9"/>
    </row>
    <row r="27" spans="2:14" ht="15" thickBot="1" x14ac:dyDescent="0.4">
      <c r="B27" s="107" t="s">
        <v>102</v>
      </c>
      <c r="C27" s="414">
        <f>(H6+H7+H8+H9)/4</f>
        <v>15.273255764840183</v>
      </c>
      <c r="D27" s="121" t="s">
        <v>74</v>
      </c>
      <c r="E27" s="258"/>
      <c r="F27" s="249"/>
      <c r="G27" s="250"/>
      <c r="H27" s="106"/>
      <c r="I27" s="106"/>
      <c r="K27" s="98">
        <v>20</v>
      </c>
      <c r="L27" s="49" t="s">
        <v>132</v>
      </c>
      <c r="M27" s="9"/>
      <c r="N27" s="9"/>
    </row>
    <row r="28" spans="2:14" ht="15" thickBot="1" x14ac:dyDescent="0.4">
      <c r="K28" s="42">
        <f>K26*K27</f>
        <v>25.6</v>
      </c>
      <c r="L28" s="49" t="s">
        <v>137</v>
      </c>
      <c r="M28" s="9"/>
      <c r="N28" s="9"/>
    </row>
    <row r="29" spans="2:14" ht="21" customHeight="1" thickBot="1" x14ac:dyDescent="0.55000000000000004">
      <c r="B29" s="271" t="s">
        <v>202</v>
      </c>
      <c r="C29" s="272"/>
      <c r="D29" s="272"/>
      <c r="E29" s="273"/>
      <c r="F29" s="265" t="s">
        <v>290</v>
      </c>
      <c r="G29" s="266"/>
      <c r="H29" s="9"/>
      <c r="I29" s="169"/>
      <c r="K29" s="42">
        <v>100000000</v>
      </c>
      <c r="L29" s="49" t="s">
        <v>133</v>
      </c>
      <c r="M29" s="9"/>
      <c r="N29" s="9"/>
    </row>
    <row r="30" spans="2:14" x14ac:dyDescent="0.35">
      <c r="B30" s="98" t="s">
        <v>197</v>
      </c>
      <c r="C30" s="12" t="s">
        <v>196</v>
      </c>
      <c r="D30" s="150">
        <f>'Application rates'!C26</f>
        <v>4.8331999999999997</v>
      </c>
      <c r="E30" s="12" t="s">
        <v>390</v>
      </c>
      <c r="F30" s="267"/>
      <c r="G30" s="268"/>
      <c r="H30" s="169"/>
      <c r="I30" s="169"/>
      <c r="K30" s="42">
        <v>1000</v>
      </c>
      <c r="L30" s="49" t="s">
        <v>134</v>
      </c>
      <c r="M30" s="9"/>
      <c r="N30" s="9"/>
    </row>
    <row r="31" spans="2:14" ht="15" thickBot="1" x14ac:dyDescent="0.4">
      <c r="B31" s="98"/>
      <c r="C31" s="12" t="s">
        <v>102</v>
      </c>
      <c r="D31" s="150">
        <f>'Application rates'!C27</f>
        <v>15.273255764840183</v>
      </c>
      <c r="E31" s="12" t="s">
        <v>390</v>
      </c>
      <c r="F31" s="267"/>
      <c r="G31" s="268"/>
      <c r="H31" s="169"/>
      <c r="I31" s="169"/>
      <c r="K31" s="45">
        <f>K28*K29/K30</f>
        <v>2560000</v>
      </c>
      <c r="L31" s="51" t="s">
        <v>135</v>
      </c>
      <c r="M31" s="9"/>
      <c r="N31" s="9"/>
    </row>
    <row r="32" spans="2:14" x14ac:dyDescent="0.35">
      <c r="B32" s="111" t="s">
        <v>428</v>
      </c>
      <c r="C32" s="12"/>
      <c r="D32" s="168">
        <v>0.158</v>
      </c>
      <c r="E32" s="12" t="s">
        <v>200</v>
      </c>
      <c r="F32" s="267"/>
      <c r="G32" s="268"/>
      <c r="H32" s="169"/>
      <c r="I32" s="169"/>
    </row>
    <row r="33" spans="2:9" x14ac:dyDescent="0.35">
      <c r="B33" s="98" t="s">
        <v>429</v>
      </c>
      <c r="C33" s="12"/>
      <c r="D33" s="168">
        <f>15/100</f>
        <v>0.15</v>
      </c>
      <c r="E33" s="12" t="s">
        <v>201</v>
      </c>
      <c r="F33" s="267"/>
      <c r="G33" s="268"/>
      <c r="H33" s="169"/>
      <c r="I33" s="169"/>
    </row>
    <row r="34" spans="2:9" x14ac:dyDescent="0.35">
      <c r="B34" s="98" t="s">
        <v>198</v>
      </c>
      <c r="C34" s="12"/>
      <c r="D34" s="12"/>
      <c r="E34" s="12"/>
      <c r="F34" s="267"/>
      <c r="G34" s="268"/>
      <c r="H34" s="169"/>
      <c r="I34" s="169"/>
    </row>
    <row r="35" spans="2:9" x14ac:dyDescent="0.35">
      <c r="B35" s="275" t="s">
        <v>444</v>
      </c>
      <c r="C35" s="120" t="s">
        <v>196</v>
      </c>
      <c r="D35" s="415">
        <f>D30/D32</f>
        <v>30.589873417721517</v>
      </c>
      <c r="E35" s="120" t="s">
        <v>74</v>
      </c>
      <c r="F35" s="267"/>
      <c r="G35" s="268"/>
      <c r="H35" s="169"/>
      <c r="I35" s="169"/>
    </row>
    <row r="36" spans="2:9" x14ac:dyDescent="0.35">
      <c r="B36" s="275"/>
      <c r="C36" s="120" t="s">
        <v>199</v>
      </c>
      <c r="D36" s="415">
        <f>D31/D32</f>
        <v>96.666175726836599</v>
      </c>
      <c r="E36" s="120" t="s">
        <v>74</v>
      </c>
      <c r="F36" s="267"/>
      <c r="G36" s="268"/>
      <c r="H36" s="169"/>
      <c r="I36" s="169"/>
    </row>
    <row r="37" spans="2:9" x14ac:dyDescent="0.35">
      <c r="B37" s="275" t="s">
        <v>445</v>
      </c>
      <c r="C37" s="120" t="s">
        <v>196</v>
      </c>
      <c r="D37" s="415">
        <f>D30/D32/(1-D33)</f>
        <v>35.988086373790019</v>
      </c>
      <c r="E37" s="120" t="s">
        <v>74</v>
      </c>
      <c r="F37" s="267"/>
      <c r="G37" s="268"/>
      <c r="H37" s="169"/>
      <c r="I37" s="169"/>
    </row>
    <row r="38" spans="2:9" ht="15" thickBot="1" x14ac:dyDescent="0.4">
      <c r="B38" s="276"/>
      <c r="C38" s="121" t="s">
        <v>199</v>
      </c>
      <c r="D38" s="416">
        <f>D31/D32/(1-D33)</f>
        <v>113.72491261980777</v>
      </c>
      <c r="E38" s="121" t="s">
        <v>74</v>
      </c>
      <c r="F38" s="269"/>
      <c r="G38" s="270"/>
      <c r="H38" s="169"/>
      <c r="I38" s="169"/>
    </row>
  </sheetData>
  <mergeCells count="74">
    <mergeCell ref="B14:B15"/>
    <mergeCell ref="C8:C9"/>
    <mergeCell ref="D8:D9"/>
    <mergeCell ref="G8:G9"/>
    <mergeCell ref="B8:B9"/>
    <mergeCell ref="C14:C15"/>
    <mergeCell ref="B12:B13"/>
    <mergeCell ref="D12:D13"/>
    <mergeCell ref="C12:C13"/>
    <mergeCell ref="G12:G13"/>
    <mergeCell ref="M14:M15"/>
    <mergeCell ref="D4:D5"/>
    <mergeCell ref="M4:M5"/>
    <mergeCell ref="D6:D7"/>
    <mergeCell ref="M6:M7"/>
    <mergeCell ref="J8:J9"/>
    <mergeCell ref="L8:L9"/>
    <mergeCell ref="M8:M9"/>
    <mergeCell ref="K6:K7"/>
    <mergeCell ref="K4:K5"/>
    <mergeCell ref="K8:K9"/>
    <mergeCell ref="G14:G15"/>
    <mergeCell ref="L14:L15"/>
    <mergeCell ref="J14:J15"/>
    <mergeCell ref="M10:M11"/>
    <mergeCell ref="M12:M13"/>
    <mergeCell ref="O1:P1"/>
    <mergeCell ref="C4:C5"/>
    <mergeCell ref="C6:C7"/>
    <mergeCell ref="B6:B7"/>
    <mergeCell ref="J6:J7"/>
    <mergeCell ref="J4:J5"/>
    <mergeCell ref="L6:L7"/>
    <mergeCell ref="L4:L5"/>
    <mergeCell ref="G1:M1"/>
    <mergeCell ref="B1:F1"/>
    <mergeCell ref="K24:L25"/>
    <mergeCell ref="G6:G7"/>
    <mergeCell ref="G4:G5"/>
    <mergeCell ref="B4:B5"/>
    <mergeCell ref="B10:B11"/>
    <mergeCell ref="C10:C11"/>
    <mergeCell ref="G10:G11"/>
    <mergeCell ref="K10:K11"/>
    <mergeCell ref="J10:J11"/>
    <mergeCell ref="D10:D11"/>
    <mergeCell ref="L10:L11"/>
    <mergeCell ref="K14:K15"/>
    <mergeCell ref="J12:J13"/>
    <mergeCell ref="K12:K13"/>
    <mergeCell ref="L12:L13"/>
    <mergeCell ref="D14:D15"/>
    <mergeCell ref="M20:M21"/>
    <mergeCell ref="L20:L21"/>
    <mergeCell ref="C20:C21"/>
    <mergeCell ref="D20:D21"/>
    <mergeCell ref="G20:G21"/>
    <mergeCell ref="J20:J21"/>
    <mergeCell ref="K20:K21"/>
    <mergeCell ref="B16:B19"/>
    <mergeCell ref="D16:D19"/>
    <mergeCell ref="L16:L19"/>
    <mergeCell ref="M16:M19"/>
    <mergeCell ref="G16:G19"/>
    <mergeCell ref="J16:J19"/>
    <mergeCell ref="K16:K19"/>
    <mergeCell ref="C16:C19"/>
    <mergeCell ref="E24:G27"/>
    <mergeCell ref="B24:D25"/>
    <mergeCell ref="F29:G38"/>
    <mergeCell ref="B29:E29"/>
    <mergeCell ref="B20:B21"/>
    <mergeCell ref="B35:B36"/>
    <mergeCell ref="B37:B38"/>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88FCA-623E-4E9E-B403-2F0445F3A977}">
  <dimension ref="A1:AF59"/>
  <sheetViews>
    <sheetView zoomScale="85" zoomScaleNormal="85" workbookViewId="0">
      <selection activeCell="AC14" sqref="AC14"/>
    </sheetView>
  </sheetViews>
  <sheetFormatPr defaultRowHeight="14.5" x14ac:dyDescent="0.35"/>
  <cols>
    <col min="10" max="10" width="38.81640625" customWidth="1"/>
    <col min="11" max="11" width="21" customWidth="1"/>
    <col min="12" max="12" width="24.54296875" customWidth="1"/>
    <col min="13" max="13" width="22.26953125" customWidth="1"/>
    <col min="14" max="14" width="11" customWidth="1"/>
    <col min="15" max="15" width="10.1796875" customWidth="1"/>
    <col min="16" max="16" width="10.6328125" customWidth="1"/>
    <col min="17" max="17" width="16.453125" customWidth="1"/>
    <col min="27" max="27" width="25.7265625" customWidth="1"/>
  </cols>
  <sheetData>
    <row r="1" spans="2:32" ht="16" customHeight="1" x14ac:dyDescent="0.35">
      <c r="J1" s="301" t="s">
        <v>427</v>
      </c>
      <c r="K1" s="302"/>
      <c r="L1" s="302"/>
      <c r="M1" s="303"/>
      <c r="N1" s="326" t="s">
        <v>426</v>
      </c>
      <c r="O1" s="327"/>
      <c r="P1" s="327"/>
      <c r="Q1" s="327"/>
      <c r="R1" s="327"/>
      <c r="S1" s="327"/>
      <c r="T1" s="327"/>
      <c r="U1" s="327"/>
      <c r="V1" s="327"/>
      <c r="W1" s="327"/>
      <c r="X1" s="328"/>
    </row>
    <row r="2" spans="2:32" ht="13" customHeight="1" x14ac:dyDescent="0.35">
      <c r="J2" s="304"/>
      <c r="K2" s="305"/>
      <c r="L2" s="305"/>
      <c r="M2" s="306"/>
      <c r="N2" s="329"/>
      <c r="O2" s="330"/>
      <c r="P2" s="330"/>
      <c r="Q2" s="330"/>
      <c r="R2" s="330"/>
      <c r="S2" s="330"/>
      <c r="T2" s="330"/>
      <c r="U2" s="330"/>
      <c r="V2" s="330"/>
      <c r="W2" s="330"/>
      <c r="X2" s="331"/>
    </row>
    <row r="3" spans="2:32" ht="15" customHeight="1" thickBot="1" x14ac:dyDescent="0.4">
      <c r="J3" s="307"/>
      <c r="K3" s="308"/>
      <c r="L3" s="308"/>
      <c r="M3" s="309"/>
      <c r="N3" s="332"/>
      <c r="O3" s="333"/>
      <c r="P3" s="333"/>
      <c r="Q3" s="333"/>
      <c r="R3" s="333"/>
      <c r="S3" s="333"/>
      <c r="T3" s="333"/>
      <c r="U3" s="333"/>
      <c r="V3" s="333"/>
      <c r="W3" s="333"/>
      <c r="X3" s="334"/>
    </row>
    <row r="4" spans="2:32" ht="14.5" customHeight="1" x14ac:dyDescent="0.35">
      <c r="B4" s="364" t="s">
        <v>11</v>
      </c>
      <c r="C4" s="365"/>
      <c r="D4" s="366"/>
      <c r="E4" s="310" t="s">
        <v>268</v>
      </c>
      <c r="F4" s="311"/>
      <c r="G4" s="312"/>
      <c r="J4" s="113" t="s">
        <v>50</v>
      </c>
      <c r="K4" s="15"/>
      <c r="L4" s="15"/>
      <c r="M4" s="15"/>
      <c r="N4" s="352" t="s">
        <v>267</v>
      </c>
      <c r="O4" s="353"/>
      <c r="P4" s="357"/>
      <c r="Q4" s="354" t="s">
        <v>203</v>
      </c>
      <c r="R4" s="355"/>
      <c r="S4" s="355"/>
      <c r="T4" s="356"/>
      <c r="U4" s="352" t="s">
        <v>209</v>
      </c>
      <c r="V4" s="353"/>
      <c r="W4" s="335" t="s">
        <v>425</v>
      </c>
      <c r="X4" s="336"/>
    </row>
    <row r="5" spans="2:32" ht="58" x14ac:dyDescent="0.35">
      <c r="B5" s="4" t="s">
        <v>43</v>
      </c>
      <c r="C5" s="56">
        <v>922</v>
      </c>
      <c r="D5" s="9" t="s">
        <v>12</v>
      </c>
      <c r="E5" s="313"/>
      <c r="F5" s="300"/>
      <c r="G5" s="314"/>
      <c r="J5" s="114" t="s">
        <v>148</v>
      </c>
      <c r="K5" s="17" t="s">
        <v>218</v>
      </c>
      <c r="L5" s="17" t="s">
        <v>251</v>
      </c>
      <c r="M5" s="17" t="s">
        <v>252</v>
      </c>
      <c r="N5" s="438" t="s">
        <v>45</v>
      </c>
      <c r="O5" s="439" t="s">
        <v>46</v>
      </c>
      <c r="P5" s="440" t="s">
        <v>59</v>
      </c>
      <c r="Q5" s="438" t="s">
        <v>204</v>
      </c>
      <c r="R5" s="439" t="s">
        <v>205</v>
      </c>
      <c r="S5" s="439" t="s">
        <v>206</v>
      </c>
      <c r="T5" s="440" t="s">
        <v>207</v>
      </c>
      <c r="U5" s="439" t="s">
        <v>208</v>
      </c>
      <c r="V5" s="439" t="s">
        <v>273</v>
      </c>
      <c r="W5" s="220"/>
      <c r="X5" s="222"/>
      <c r="AA5" s="14" t="s">
        <v>13</v>
      </c>
      <c r="AB5" s="2"/>
      <c r="AC5" s="3"/>
      <c r="AD5" s="441" t="s">
        <v>272</v>
      </c>
      <c r="AE5" s="442"/>
      <c r="AF5" s="443"/>
    </row>
    <row r="6" spans="2:32" x14ac:dyDescent="0.35">
      <c r="B6" s="4" t="s">
        <v>35</v>
      </c>
      <c r="C6">
        <f>C8*2</f>
        <v>1.28</v>
      </c>
      <c r="D6" s="9" t="s">
        <v>37</v>
      </c>
      <c r="E6" s="313"/>
      <c r="F6" s="300"/>
      <c r="G6" s="314"/>
      <c r="J6" s="115" t="s">
        <v>47</v>
      </c>
      <c r="K6" s="15"/>
      <c r="L6" s="15"/>
      <c r="M6" s="15"/>
      <c r="N6" s="4"/>
      <c r="O6" s="9"/>
      <c r="P6" s="5" t="s">
        <v>33</v>
      </c>
      <c r="Q6" s="4"/>
      <c r="R6" s="9"/>
      <c r="S6" s="9"/>
      <c r="T6" s="5"/>
      <c r="U6" s="9"/>
      <c r="V6" s="9"/>
      <c r="W6" s="220"/>
      <c r="X6" s="222"/>
      <c r="AA6" s="4" t="s">
        <v>14</v>
      </c>
      <c r="AB6" s="36">
        <f>AB8/AB7</f>
        <v>1.2032786885245901</v>
      </c>
      <c r="AC6" s="5"/>
      <c r="AD6" s="444"/>
      <c r="AE6" s="445"/>
      <c r="AF6" s="446"/>
    </row>
    <row r="7" spans="2:32" x14ac:dyDescent="0.35">
      <c r="B7" s="4" t="s">
        <v>35</v>
      </c>
      <c r="C7" s="1">
        <f>C6*C5</f>
        <v>1180.1600000000001</v>
      </c>
      <c r="D7" s="9" t="s">
        <v>34</v>
      </c>
      <c r="E7" s="313"/>
      <c r="F7" s="300"/>
      <c r="G7" s="314"/>
      <c r="J7" s="116" t="s">
        <v>177</v>
      </c>
      <c r="K7" s="9" t="s">
        <v>248</v>
      </c>
      <c r="L7" s="61" t="s">
        <v>231</v>
      </c>
      <c r="M7" s="61" t="s">
        <v>220</v>
      </c>
      <c r="N7" s="4">
        <v>253</v>
      </c>
      <c r="O7" s="9">
        <v>444</v>
      </c>
      <c r="P7" s="5">
        <v>157</v>
      </c>
      <c r="Q7" s="418">
        <f>C$6*'Application rates'!D$37*MIN(N7:O7)</f>
        <v>11654.38189128816</v>
      </c>
      <c r="R7" s="419">
        <f>'Application rates'!D$37*C$8*MIN(N7:O7)</f>
        <v>5827.1909456440799</v>
      </c>
      <c r="S7" s="419">
        <f>'Application rates'!D$38*C$6*MIN(N7:O7)</f>
        <v>36828.675702798551</v>
      </c>
      <c r="T7" s="420">
        <f>'Application rates'!D$38*C$8*MIN(N7:O7)</f>
        <v>18414.337851399276</v>
      </c>
      <c r="U7" s="421">
        <f>C$6*F$14*P7+F$14*C$15</f>
        <v>5675.5599999999995</v>
      </c>
      <c r="V7" s="421">
        <f>C$8*F$14*P7+F$14*C$15</f>
        <v>4570.28</v>
      </c>
      <c r="W7" s="220"/>
      <c r="X7" s="222"/>
      <c r="AA7" s="10" t="s">
        <v>24</v>
      </c>
      <c r="AB7">
        <v>91.5</v>
      </c>
      <c r="AC7" s="5"/>
      <c r="AD7" s="444"/>
      <c r="AE7" s="445"/>
      <c r="AF7" s="446"/>
    </row>
    <row r="8" spans="2:32" x14ac:dyDescent="0.35">
      <c r="B8" s="4" t="s">
        <v>38</v>
      </c>
      <c r="C8" s="126">
        <f>AB12</f>
        <v>0.64</v>
      </c>
      <c r="D8" s="9" t="s">
        <v>39</v>
      </c>
      <c r="E8" s="313"/>
      <c r="F8" s="300"/>
      <c r="G8" s="314"/>
      <c r="J8" s="116" t="s">
        <v>236</v>
      </c>
      <c r="K8" s="9" t="s">
        <v>235</v>
      </c>
      <c r="L8" s="61" t="s">
        <v>231</v>
      </c>
      <c r="M8" s="61" t="s">
        <v>220</v>
      </c>
      <c r="N8" s="4">
        <v>232</v>
      </c>
      <c r="O8" s="9">
        <v>475</v>
      </c>
      <c r="P8" s="5">
        <v>162</v>
      </c>
      <c r="Q8" s="418">
        <f>C$6*'Application rates'!D$37*MIN(N8:O8)</f>
        <v>10687.022129560684</v>
      </c>
      <c r="R8" s="419">
        <f>'Application rates'!D$37*C$8*MIN(N8:O8)</f>
        <v>5343.5110647803422</v>
      </c>
      <c r="S8" s="419">
        <f>'Application rates'!D$38*C$6*MIN(N8:O8)</f>
        <v>33771.750051578114</v>
      </c>
      <c r="T8" s="420">
        <f>'Application rates'!D$38*C$8*MIN(N8:O8)</f>
        <v>16885.875025789057</v>
      </c>
      <c r="U8" s="421">
        <f>C$6*F$14*P8+F$14*C$15</f>
        <v>5745.96</v>
      </c>
      <c r="V8" s="421">
        <f>C$8*F$14*P8+F$14*C$15</f>
        <v>4605.4799999999996</v>
      </c>
      <c r="W8" s="220"/>
      <c r="X8" s="222"/>
      <c r="AA8" s="10" t="s">
        <v>25</v>
      </c>
      <c r="AB8">
        <v>110.1</v>
      </c>
      <c r="AC8" s="5"/>
      <c r="AD8" s="444"/>
      <c r="AE8" s="445"/>
      <c r="AF8" s="446"/>
    </row>
    <row r="9" spans="2:32" x14ac:dyDescent="0.35">
      <c r="B9" s="6" t="s">
        <v>36</v>
      </c>
      <c r="C9" s="16">
        <f>C5*C8</f>
        <v>590.08000000000004</v>
      </c>
      <c r="D9" s="7" t="s">
        <v>34</v>
      </c>
      <c r="E9" s="315"/>
      <c r="F9" s="316"/>
      <c r="G9" s="317"/>
      <c r="J9" s="116" t="s">
        <v>175</v>
      </c>
      <c r="K9" s="9" t="s">
        <v>247</v>
      </c>
      <c r="L9" s="61" t="s">
        <v>231</v>
      </c>
      <c r="M9" s="61" t="s">
        <v>102</v>
      </c>
      <c r="N9" s="4">
        <v>214</v>
      </c>
      <c r="O9" s="9">
        <v>415</v>
      </c>
      <c r="P9" s="5">
        <v>103</v>
      </c>
      <c r="Q9" s="418">
        <f>C$6*'Application rates'!D$37*MIN(N9:O9)</f>
        <v>9857.8566195085623</v>
      </c>
      <c r="R9" s="419">
        <f>'Application rates'!D$37*C$8*MIN(N9:O9)</f>
        <v>4928.9283097542811</v>
      </c>
      <c r="S9" s="419">
        <f>'Application rates'!D$38*C$6*MIN(N9:O9)</f>
        <v>31151.528064817743</v>
      </c>
      <c r="T9" s="420">
        <f>'Application rates'!D$38*C$8*MIN(N9:O9)</f>
        <v>15575.764032408872</v>
      </c>
      <c r="U9" s="421">
        <f>C$6*F$14*P9+F$14*C$15</f>
        <v>4915.24</v>
      </c>
      <c r="V9" s="421">
        <f>C$8*F$14*P9+F$14*C$15</f>
        <v>4190.12</v>
      </c>
      <c r="W9" s="220"/>
      <c r="X9" s="222"/>
      <c r="AA9" s="11" t="s">
        <v>15</v>
      </c>
      <c r="AC9" s="5"/>
      <c r="AD9" s="444"/>
      <c r="AE9" s="445"/>
      <c r="AF9" s="446"/>
    </row>
    <row r="10" spans="2:32" x14ac:dyDescent="0.35">
      <c r="D10" s="5"/>
      <c r="J10" s="115" t="s">
        <v>5</v>
      </c>
      <c r="K10" s="15"/>
      <c r="L10" s="15"/>
      <c r="M10" s="15"/>
      <c r="N10" s="4"/>
      <c r="O10" s="9"/>
      <c r="P10" s="5" t="s">
        <v>31</v>
      </c>
      <c r="Q10" s="418"/>
      <c r="R10" s="419"/>
      <c r="S10" s="419"/>
      <c r="T10" s="420"/>
      <c r="U10" s="421"/>
      <c r="V10" s="421"/>
      <c r="W10" s="220"/>
      <c r="X10" s="222"/>
      <c r="AA10" s="4" t="s">
        <v>18</v>
      </c>
      <c r="AB10">
        <v>0.39</v>
      </c>
      <c r="AC10" s="5" t="s">
        <v>16</v>
      </c>
      <c r="AD10" s="444"/>
      <c r="AE10" s="445"/>
      <c r="AF10" s="446"/>
    </row>
    <row r="11" spans="2:32" ht="14.5" customHeight="1" x14ac:dyDescent="0.35">
      <c r="B11" s="346" t="s">
        <v>44</v>
      </c>
      <c r="C11" s="347"/>
      <c r="D11" s="348"/>
      <c r="F11" s="358" t="s">
        <v>210</v>
      </c>
      <c r="G11" s="359"/>
      <c r="H11" s="360"/>
      <c r="J11" s="116" t="s">
        <v>230</v>
      </c>
      <c r="K11" s="9" t="s">
        <v>48</v>
      </c>
      <c r="L11" s="61" t="s">
        <v>231</v>
      </c>
      <c r="M11" s="61" t="s">
        <v>232</v>
      </c>
      <c r="N11" s="4">
        <v>171</v>
      </c>
      <c r="O11" s="9">
        <v>273</v>
      </c>
      <c r="P11" s="5">
        <v>87</v>
      </c>
      <c r="Q11" s="418">
        <f>C$6*'Application rates'!D$37*MIN(N11:O11)</f>
        <v>7877.0723454951594</v>
      </c>
      <c r="R11" s="419">
        <f>'Application rates'!D$37*C$8*MIN(N11:O11)</f>
        <v>3938.5361727475797</v>
      </c>
      <c r="S11" s="419">
        <f>'Application rates'!D$38*C$6*MIN(N11:O11)</f>
        <v>24892.108874223526</v>
      </c>
      <c r="T11" s="420">
        <f>'Application rates'!D$38*C$8*MIN(N11:O11)</f>
        <v>12446.054437111763</v>
      </c>
      <c r="U11" s="421">
        <f>C$6*F$14*P11+F$14*C$13</f>
        <v>3809.96</v>
      </c>
      <c r="V11" s="421">
        <f>C$8*F$14*P11+F$14*C$13</f>
        <v>3197.48</v>
      </c>
      <c r="W11" s="220"/>
      <c r="X11" s="222"/>
      <c r="AA11" s="4" t="s">
        <v>17</v>
      </c>
      <c r="AB11" s="36">
        <f>AB10*AB6</f>
        <v>0.46927868852459015</v>
      </c>
      <c r="AC11" s="5" t="s">
        <v>16</v>
      </c>
      <c r="AD11" s="444"/>
      <c r="AE11" s="445"/>
      <c r="AF11" s="446"/>
    </row>
    <row r="12" spans="2:32" x14ac:dyDescent="0.35">
      <c r="B12" s="349"/>
      <c r="C12" s="350"/>
      <c r="D12" s="351"/>
      <c r="F12" s="361"/>
      <c r="G12" s="362"/>
      <c r="H12" s="363"/>
      <c r="J12" s="116" t="s">
        <v>149</v>
      </c>
      <c r="K12" s="12" t="s">
        <v>150</v>
      </c>
      <c r="L12" s="61" t="s">
        <v>223</v>
      </c>
      <c r="M12" s="61" t="s">
        <v>196</v>
      </c>
      <c r="N12" s="4">
        <v>546</v>
      </c>
      <c r="O12" s="9">
        <v>653</v>
      </c>
      <c r="P12" s="5">
        <v>389</v>
      </c>
      <c r="Q12" s="418">
        <f>C$6*'Application rates'!D$37*MIN(N12:O12)</f>
        <v>25151.353804914368</v>
      </c>
      <c r="R12" s="419">
        <f>'Application rates'!D$37*C$8*MIN(N12:O12)</f>
        <v>12575.676902457184</v>
      </c>
      <c r="S12" s="419">
        <f>'Application rates'!D$38*C$6*MIN(N12:O12)</f>
        <v>79480.066931731257</v>
      </c>
      <c r="T12" s="420">
        <f>'Application rates'!D$38*C$8*MIN(N12:O12)</f>
        <v>39740.033465865628</v>
      </c>
      <c r="U12" s="421">
        <f>C$6*F$14*P12+F$14*C$13</f>
        <v>8062.12</v>
      </c>
      <c r="V12" s="421">
        <f>C$8*F$14*P12+F$14*C$13</f>
        <v>5323.5599999999995</v>
      </c>
      <c r="W12" s="220"/>
      <c r="X12" s="222"/>
      <c r="AA12" s="6" t="s">
        <v>19</v>
      </c>
      <c r="AB12" s="100">
        <v>0.64</v>
      </c>
      <c r="AC12" s="8" t="s">
        <v>16</v>
      </c>
      <c r="AD12" s="447"/>
      <c r="AE12" s="448"/>
      <c r="AF12" s="449"/>
    </row>
    <row r="13" spans="2:32" ht="16" customHeight="1" x14ac:dyDescent="0.35">
      <c r="B13" s="4" t="s">
        <v>31</v>
      </c>
      <c r="C13" s="120">
        <v>235</v>
      </c>
      <c r="D13" s="123" t="s">
        <v>34</v>
      </c>
      <c r="F13" s="19" t="s">
        <v>211</v>
      </c>
      <c r="G13" s="12"/>
      <c r="H13" s="5"/>
      <c r="J13" s="116" t="s">
        <v>166</v>
      </c>
      <c r="K13" s="9" t="s">
        <v>49</v>
      </c>
      <c r="L13" s="61" t="s">
        <v>223</v>
      </c>
      <c r="M13" s="61" t="s">
        <v>228</v>
      </c>
      <c r="N13" s="4">
        <v>520</v>
      </c>
      <c r="O13" s="9">
        <v>585</v>
      </c>
      <c r="P13" s="5">
        <v>322</v>
      </c>
      <c r="Q13" s="418">
        <f>C$6*'Application rates'!D$37*MIN(N13:O13)</f>
        <v>23953.670290394635</v>
      </c>
      <c r="R13" s="419">
        <f>'Application rates'!D$37*C$8*MIN(N13:O13)</f>
        <v>11976.835145197318</v>
      </c>
      <c r="S13" s="419">
        <f>'Application rates'!D$38*C$6*MIN(N13:O13)</f>
        <v>75695.301839744046</v>
      </c>
      <c r="T13" s="420">
        <f>'Application rates'!D$38*C$8*MIN(N13:O13)</f>
        <v>37847.650919872023</v>
      </c>
      <c r="U13" s="421">
        <f>C$6*F$14*P13+F$14*C$13</f>
        <v>7118.76</v>
      </c>
      <c r="V13" s="421">
        <f>C$8*F$14*P13+F$14*C$13</f>
        <v>4851.88</v>
      </c>
      <c r="W13" s="220"/>
      <c r="X13" s="222"/>
    </row>
    <row r="14" spans="2:32" ht="14.5" customHeight="1" x14ac:dyDescent="0.35">
      <c r="B14" s="4" t="s">
        <v>32</v>
      </c>
      <c r="C14" s="120">
        <v>240</v>
      </c>
      <c r="D14" s="123" t="s">
        <v>34</v>
      </c>
      <c r="F14" s="124">
        <v>11</v>
      </c>
      <c r="G14" s="125" t="s">
        <v>74</v>
      </c>
      <c r="H14" s="5"/>
      <c r="J14" s="116" t="s">
        <v>229</v>
      </c>
      <c r="K14" s="12" t="s">
        <v>229</v>
      </c>
      <c r="L14" s="61" t="s">
        <v>223</v>
      </c>
      <c r="M14" s="61" t="s">
        <v>102</v>
      </c>
      <c r="N14" s="4">
        <v>420</v>
      </c>
      <c r="O14" s="12">
        <v>446</v>
      </c>
      <c r="P14" s="5">
        <v>201</v>
      </c>
      <c r="Q14" s="418">
        <f>C$6*'Application rates'!D$37*MIN(N14:O14)</f>
        <v>19347.195234549512</v>
      </c>
      <c r="R14" s="419">
        <f>'Application rates'!D$37*C$8*MIN(N14:O14)</f>
        <v>9673.597617274756</v>
      </c>
      <c r="S14" s="419">
        <f>'Application rates'!D$38*C$6*MIN(N14:O14)</f>
        <v>61138.513024408661</v>
      </c>
      <c r="T14" s="420">
        <f>'Application rates'!D$38*C$8*MIN(N14:O14)</f>
        <v>30569.256512204331</v>
      </c>
      <c r="U14" s="421">
        <f>C$6*F$14*P14+F$14*C$13</f>
        <v>5415.08</v>
      </c>
      <c r="V14" s="421">
        <f>C$8*F$14*P14+F$14*C$13</f>
        <v>4000.04</v>
      </c>
      <c r="W14" s="220"/>
      <c r="X14" s="222"/>
    </row>
    <row r="15" spans="2:32" x14ac:dyDescent="0.35">
      <c r="B15" s="4" t="s">
        <v>33</v>
      </c>
      <c r="C15" s="120">
        <v>315</v>
      </c>
      <c r="D15" s="123" t="s">
        <v>34</v>
      </c>
      <c r="F15" s="20"/>
      <c r="G15" s="58"/>
      <c r="H15" s="8"/>
      <c r="J15" s="115" t="s">
        <v>1</v>
      </c>
      <c r="K15" s="15"/>
      <c r="L15" s="15"/>
      <c r="M15" s="15"/>
      <c r="N15" s="4"/>
      <c r="O15" s="9"/>
      <c r="P15" s="5" t="s">
        <v>31</v>
      </c>
      <c r="Q15" s="418"/>
      <c r="R15" s="419"/>
      <c r="S15" s="419"/>
      <c r="T15" s="420"/>
      <c r="U15" s="421"/>
      <c r="V15" s="421"/>
      <c r="W15" s="220"/>
      <c r="X15" s="222"/>
    </row>
    <row r="16" spans="2:32" x14ac:dyDescent="0.35">
      <c r="B16" s="4" t="s">
        <v>40</v>
      </c>
      <c r="C16" s="17">
        <f>N27</f>
        <v>99</v>
      </c>
      <c r="D16" s="5" t="s">
        <v>12</v>
      </c>
      <c r="F16" s="9"/>
      <c r="G16" s="9"/>
      <c r="J16" s="116" t="s">
        <v>146</v>
      </c>
      <c r="K16" s="9" t="s">
        <v>51</v>
      </c>
      <c r="L16" s="61" t="s">
        <v>223</v>
      </c>
      <c r="M16" s="61" t="s">
        <v>222</v>
      </c>
      <c r="N16" s="4">
        <v>648</v>
      </c>
      <c r="O16" s="9">
        <v>729</v>
      </c>
      <c r="P16" s="5">
        <v>485</v>
      </c>
      <c r="Q16" s="418">
        <f>C$6*'Application rates'!D$37*MIN(N16:O16)</f>
        <v>29849.958361876394</v>
      </c>
      <c r="R16" s="419">
        <f>'Application rates'!D$37*C$8*MIN(N16:O16)</f>
        <v>14924.979180938197</v>
      </c>
      <c r="S16" s="419">
        <f>'Application rates'!D$38*C$6*MIN(N16:O16)</f>
        <v>94327.991523373363</v>
      </c>
      <c r="T16" s="420">
        <f>'Application rates'!D$38*C$8*MIN(N16:O16)</f>
        <v>47163.995761686681</v>
      </c>
      <c r="U16" s="421">
        <f t="shared" ref="U16:U24" si="0">C$6*F$14*P16+F$14*C$13</f>
        <v>9413.7999999999993</v>
      </c>
      <c r="V16" s="421">
        <f t="shared" ref="V16:V24" si="1">C$8*F$14*P16+F$14*C$13</f>
        <v>5999.4</v>
      </c>
      <c r="W16" s="220"/>
      <c r="X16" s="222"/>
      <c r="AA16" s="14" t="s">
        <v>20</v>
      </c>
      <c r="AB16" s="2"/>
      <c r="AC16" s="2"/>
      <c r="AD16" s="3"/>
      <c r="AE16" s="310" t="s">
        <v>271</v>
      </c>
      <c r="AF16" s="312"/>
    </row>
    <row r="17" spans="1:32" x14ac:dyDescent="0.35">
      <c r="B17" s="4" t="s">
        <v>41</v>
      </c>
      <c r="C17" s="9">
        <f>C6*C16</f>
        <v>126.72</v>
      </c>
      <c r="D17" s="5" t="s">
        <v>34</v>
      </c>
      <c r="F17" s="9"/>
      <c r="G17" s="9"/>
      <c r="J17" s="117" t="s">
        <v>227</v>
      </c>
      <c r="K17" s="60" t="s">
        <v>246</v>
      </c>
      <c r="L17" s="61" t="s">
        <v>223</v>
      </c>
      <c r="M17" s="61" t="s">
        <v>222</v>
      </c>
      <c r="N17" s="4">
        <v>755</v>
      </c>
      <c r="O17" s="9">
        <v>867</v>
      </c>
      <c r="P17" s="5">
        <v>603</v>
      </c>
      <c r="Q17" s="418">
        <f>C$6*'Application rates'!D$37*MIN(N17:O17)</f>
        <v>34778.886671630673</v>
      </c>
      <c r="R17" s="419">
        <f>'Application rates'!D$37*C$8*MIN(N17:O17)</f>
        <v>17389.443335815336</v>
      </c>
      <c r="S17" s="419">
        <f>'Application rates'!D$38*C$6*MIN(N17:O17)</f>
        <v>109903.75555578223</v>
      </c>
      <c r="T17" s="420">
        <f>'Application rates'!D$38*C$8*MIN(N17:O17)</f>
        <v>54951.877777891117</v>
      </c>
      <c r="U17" s="421">
        <f t="shared" si="0"/>
        <v>11075.24</v>
      </c>
      <c r="V17" s="421">
        <f t="shared" si="1"/>
        <v>6830.12</v>
      </c>
      <c r="W17" s="220"/>
      <c r="X17" s="222"/>
      <c r="AA17" s="4"/>
      <c r="AB17" t="s">
        <v>26</v>
      </c>
      <c r="AC17" t="s">
        <v>27</v>
      </c>
      <c r="AD17" s="5"/>
      <c r="AE17" s="313"/>
      <c r="AF17" s="314"/>
    </row>
    <row r="18" spans="1:32" x14ac:dyDescent="0.35">
      <c r="B18" s="6" t="s">
        <v>42</v>
      </c>
      <c r="C18" s="16">
        <f>C17+C13</f>
        <v>361.72</v>
      </c>
      <c r="D18" s="8" t="s">
        <v>34</v>
      </c>
      <c r="J18" s="116" t="s">
        <v>145</v>
      </c>
      <c r="K18" s="9" t="s">
        <v>52</v>
      </c>
      <c r="L18" s="61" t="s">
        <v>219</v>
      </c>
      <c r="M18" s="61" t="s">
        <v>220</v>
      </c>
      <c r="N18" s="4">
        <v>800</v>
      </c>
      <c r="O18" s="9">
        <v>854</v>
      </c>
      <c r="P18" s="5">
        <v>610</v>
      </c>
      <c r="Q18" s="418">
        <f>C$6*'Application rates'!D$37*MIN(N18:O18)</f>
        <v>36851.800446760979</v>
      </c>
      <c r="R18" s="419">
        <f>'Application rates'!D$37*C$8*MIN(N18:O18)</f>
        <v>18425.900223380489</v>
      </c>
      <c r="S18" s="419">
        <f>'Application rates'!D$38*C$6*MIN(N18:O18)</f>
        <v>116454.31052268315</v>
      </c>
      <c r="T18" s="420">
        <f>'Application rates'!D$38*C$8*MIN(N18:O18)</f>
        <v>58227.155261341577</v>
      </c>
      <c r="U18" s="421">
        <f t="shared" si="0"/>
        <v>11173.8</v>
      </c>
      <c r="V18" s="421">
        <f t="shared" si="1"/>
        <v>6879.4</v>
      </c>
      <c r="W18" s="220"/>
      <c r="X18" s="222"/>
      <c r="AA18" s="4" t="s">
        <v>21</v>
      </c>
      <c r="AB18" s="36">
        <f>AB20/AB19</f>
        <v>1.0029562251279136</v>
      </c>
      <c r="AC18" s="36">
        <f>AC20/AC19</f>
        <v>1.2212867910087684</v>
      </c>
      <c r="AD18" s="5"/>
      <c r="AE18" s="313"/>
      <c r="AF18" s="314"/>
    </row>
    <row r="19" spans="1:32" x14ac:dyDescent="0.35">
      <c r="B19" s="318" t="s">
        <v>269</v>
      </c>
      <c r="C19" s="319"/>
      <c r="D19" s="320"/>
      <c r="J19" s="116" t="s">
        <v>147</v>
      </c>
      <c r="K19" s="9" t="s">
        <v>53</v>
      </c>
      <c r="L19" s="61" t="s">
        <v>219</v>
      </c>
      <c r="M19" s="61" t="s">
        <v>222</v>
      </c>
      <c r="N19" s="4">
        <v>1012</v>
      </c>
      <c r="O19" s="9">
        <v>1076</v>
      </c>
      <c r="P19" s="5">
        <v>814</v>
      </c>
      <c r="Q19" s="418">
        <f>C$6*'Application rates'!D$37*MIN(N19:O19)</f>
        <v>46617.527565152639</v>
      </c>
      <c r="R19" s="419">
        <f>'Application rates'!D$37*C$8*MIN(N19:O19)</f>
        <v>23308.763782576319</v>
      </c>
      <c r="S19" s="419">
        <f>'Application rates'!D$38*C$6*MIN(N19:O19)</f>
        <v>147314.70281119421</v>
      </c>
      <c r="T19" s="420">
        <f>'Application rates'!D$38*C$8*MIN(N19:O19)</f>
        <v>73657.351405597103</v>
      </c>
      <c r="U19" s="421">
        <f t="shared" si="0"/>
        <v>14046.12</v>
      </c>
      <c r="V19" s="421">
        <f t="shared" si="1"/>
        <v>8315.5600000000013</v>
      </c>
      <c r="W19" s="220"/>
      <c r="X19" s="222"/>
      <c r="AA19" s="4" t="s">
        <v>22</v>
      </c>
      <c r="AB19">
        <v>615.65</v>
      </c>
      <c r="AC19">
        <v>601.03</v>
      </c>
      <c r="AD19" s="5" t="s">
        <v>28</v>
      </c>
      <c r="AE19" s="313"/>
      <c r="AF19" s="314"/>
    </row>
    <row r="20" spans="1:32" x14ac:dyDescent="0.35">
      <c r="B20" s="321"/>
      <c r="C20" s="221"/>
      <c r="D20" s="322"/>
      <c r="J20" s="116" t="s">
        <v>226</v>
      </c>
      <c r="K20" s="9" t="s">
        <v>54</v>
      </c>
      <c r="L20" s="61" t="s">
        <v>219</v>
      </c>
      <c r="M20" s="61" t="s">
        <v>196</v>
      </c>
      <c r="N20" s="4">
        <v>1073</v>
      </c>
      <c r="O20" s="9">
        <v>1127</v>
      </c>
      <c r="P20" s="5">
        <v>883</v>
      </c>
      <c r="Q20" s="418">
        <f>C$6*'Application rates'!D$37*MIN(N20:O20)</f>
        <v>49427.477349218163</v>
      </c>
      <c r="R20" s="419">
        <f>'Application rates'!D$37*C$8*MIN(N20:O20)</f>
        <v>24713.738674609081</v>
      </c>
      <c r="S20" s="419">
        <f>'Application rates'!D$38*C$6*MIN(N20:O20)</f>
        <v>156194.34398854879</v>
      </c>
      <c r="T20" s="420">
        <f>'Application rates'!D$38*C$8*MIN(N20:O20)</f>
        <v>78097.171994274395</v>
      </c>
      <c r="U20" s="421">
        <f t="shared" si="0"/>
        <v>15017.64</v>
      </c>
      <c r="V20" s="421">
        <f t="shared" si="1"/>
        <v>8801.32</v>
      </c>
      <c r="W20" s="220"/>
      <c r="X20" s="222"/>
      <c r="AA20" s="4" t="s">
        <v>23</v>
      </c>
      <c r="AB20">
        <v>617.47</v>
      </c>
      <c r="AC20">
        <v>734.03</v>
      </c>
      <c r="AD20" s="5" t="s">
        <v>28</v>
      </c>
      <c r="AE20" s="313"/>
      <c r="AF20" s="314"/>
    </row>
    <row r="21" spans="1:32" x14ac:dyDescent="0.35">
      <c r="B21" s="321"/>
      <c r="C21" s="221"/>
      <c r="D21" s="322"/>
      <c r="J21" s="116" t="s">
        <v>221</v>
      </c>
      <c r="K21" s="9" t="s">
        <v>55</v>
      </c>
      <c r="L21" s="61" t="s">
        <v>219</v>
      </c>
      <c r="M21" s="61" t="s">
        <v>196</v>
      </c>
      <c r="N21" s="4">
        <v>900</v>
      </c>
      <c r="O21" s="9">
        <v>977</v>
      </c>
      <c r="P21" s="5">
        <v>733</v>
      </c>
      <c r="Q21" s="418">
        <f>C$6*'Application rates'!D$37*MIN(N21:O21)</f>
        <v>41458.275502606099</v>
      </c>
      <c r="R21" s="419">
        <f>'Application rates'!D$37*C$8*MIN(N21:O21)</f>
        <v>20729.137751303049</v>
      </c>
      <c r="S21" s="419">
        <f>'Application rates'!D$38*C$6*MIN(N21:O21)</f>
        <v>131011.09933801855</v>
      </c>
      <c r="T21" s="420">
        <f>'Application rates'!D$38*C$8*MIN(N21:O21)</f>
        <v>65505.549669009277</v>
      </c>
      <c r="U21" s="421">
        <f t="shared" si="0"/>
        <v>12905.64</v>
      </c>
      <c r="V21" s="421">
        <f t="shared" si="1"/>
        <v>7745.32</v>
      </c>
      <c r="W21" s="220"/>
      <c r="X21" s="222"/>
      <c r="AA21" s="11" t="s">
        <v>30</v>
      </c>
      <c r="AD21" s="5"/>
      <c r="AE21" s="313"/>
      <c r="AF21" s="314"/>
    </row>
    <row r="22" spans="1:32" x14ac:dyDescent="0.35">
      <c r="B22" s="321"/>
      <c r="C22" s="221"/>
      <c r="D22" s="322"/>
      <c r="E22" s="9"/>
      <c r="F22" s="9"/>
      <c r="G22" s="9"/>
      <c r="H22" s="112"/>
      <c r="J22" s="116" t="s">
        <v>144</v>
      </c>
      <c r="K22" s="9" t="s">
        <v>56</v>
      </c>
      <c r="L22" s="61" t="s">
        <v>223</v>
      </c>
      <c r="M22" s="61" t="s">
        <v>102</v>
      </c>
      <c r="N22" s="4">
        <v>725</v>
      </c>
      <c r="O22" s="9">
        <v>845</v>
      </c>
      <c r="P22" s="5">
        <v>601</v>
      </c>
      <c r="Q22" s="418">
        <f>C$6*'Application rates'!D$37*MIN(N22:O22)</f>
        <v>33396.944154877136</v>
      </c>
      <c r="R22" s="419">
        <f>'Application rates'!D$37*C$8*MIN(N22:O22)</f>
        <v>16698.472077438568</v>
      </c>
      <c r="S22" s="419">
        <f>'Application rates'!D$38*C$6*MIN(N22:O22)</f>
        <v>105536.71891118161</v>
      </c>
      <c r="T22" s="420">
        <f>'Application rates'!D$38*C$8*MIN(N22:O22)</f>
        <v>52768.359455590806</v>
      </c>
      <c r="U22" s="421">
        <f t="shared" si="0"/>
        <v>11047.08</v>
      </c>
      <c r="V22" s="421">
        <f t="shared" si="1"/>
        <v>6816.04</v>
      </c>
      <c r="W22" s="220"/>
      <c r="X22" s="222"/>
      <c r="AA22" s="11" t="s">
        <v>29</v>
      </c>
      <c r="AD22" s="5"/>
      <c r="AE22" s="313"/>
      <c r="AF22" s="314"/>
    </row>
    <row r="23" spans="1:32" x14ac:dyDescent="0.35">
      <c r="B23" s="321"/>
      <c r="C23" s="221"/>
      <c r="D23" s="322"/>
      <c r="E23" s="9"/>
      <c r="F23" s="9"/>
      <c r="G23" s="9"/>
      <c r="H23" s="12"/>
      <c r="J23" s="116" t="s">
        <v>225</v>
      </c>
      <c r="K23" s="12" t="s">
        <v>245</v>
      </c>
      <c r="L23" s="61" t="s">
        <v>223</v>
      </c>
      <c r="M23" s="61" t="s">
        <v>222</v>
      </c>
      <c r="N23" s="4">
        <v>915</v>
      </c>
      <c r="O23" s="9">
        <v>1018</v>
      </c>
      <c r="P23" s="5">
        <v>1047</v>
      </c>
      <c r="Q23" s="418">
        <f>C$6*'Application rates'!D$37*MIN(N23:O23)</f>
        <v>42149.246760982867</v>
      </c>
      <c r="R23" s="419">
        <f>'Application rates'!D$37*C$8*MIN(N23:O23)</f>
        <v>21074.623380491434</v>
      </c>
      <c r="S23" s="419">
        <f>'Application rates'!D$38*C$6*MIN(N23:O23)</f>
        <v>133194.61766031885</v>
      </c>
      <c r="T23" s="420">
        <f>'Application rates'!D$38*C$8*MIN(N23:O23)</f>
        <v>66597.308830159425</v>
      </c>
      <c r="U23" s="421">
        <f t="shared" si="0"/>
        <v>17326.760000000002</v>
      </c>
      <c r="V23" s="421">
        <f t="shared" si="1"/>
        <v>9955.880000000001</v>
      </c>
      <c r="W23" s="220"/>
      <c r="X23" s="222"/>
      <c r="AA23" s="6"/>
      <c r="AB23" s="7"/>
      <c r="AC23" s="7"/>
      <c r="AD23" s="8"/>
      <c r="AE23" s="315"/>
      <c r="AF23" s="317"/>
    </row>
    <row r="24" spans="1:32" x14ac:dyDescent="0.35">
      <c r="B24" s="323"/>
      <c r="C24" s="324"/>
      <c r="D24" s="325"/>
      <c r="E24" s="99"/>
      <c r="F24" s="99"/>
      <c r="G24" s="9"/>
      <c r="H24" s="12"/>
      <c r="J24" s="116" t="s">
        <v>151</v>
      </c>
      <c r="K24" s="9" t="s">
        <v>57</v>
      </c>
      <c r="L24" s="61" t="s">
        <v>223</v>
      </c>
      <c r="M24" s="61" t="s">
        <v>224</v>
      </c>
      <c r="N24" s="4">
        <v>927</v>
      </c>
      <c r="O24" s="9">
        <v>988</v>
      </c>
      <c r="P24" s="5">
        <v>729</v>
      </c>
      <c r="Q24" s="418">
        <f>C$6*'Application rates'!D$37*MIN(N24:O24)</f>
        <v>42702.023767684281</v>
      </c>
      <c r="R24" s="419">
        <f>'Application rates'!D$37*C$8*MIN(N24:O24)</f>
        <v>21351.01188384214</v>
      </c>
      <c r="S24" s="419">
        <f>'Application rates'!D$38*C$6*MIN(N24:O24)</f>
        <v>134941.43231815912</v>
      </c>
      <c r="T24" s="420">
        <f>'Application rates'!D$38*C$8*MIN(N24:O24)</f>
        <v>67470.716159079559</v>
      </c>
      <c r="U24" s="421">
        <f t="shared" si="0"/>
        <v>12849.32</v>
      </c>
      <c r="V24" s="421">
        <f t="shared" si="1"/>
        <v>7717.16</v>
      </c>
      <c r="W24" s="220"/>
      <c r="X24" s="222"/>
    </row>
    <row r="25" spans="1:32" x14ac:dyDescent="0.35">
      <c r="B25" s="9"/>
      <c r="C25" s="99"/>
      <c r="D25" s="99"/>
      <c r="E25" s="99"/>
      <c r="F25" s="99"/>
      <c r="G25" s="9"/>
      <c r="H25" s="12"/>
      <c r="J25" s="115" t="s">
        <v>4</v>
      </c>
      <c r="K25" s="15"/>
      <c r="L25" s="15"/>
      <c r="M25" s="15"/>
      <c r="N25" s="4"/>
      <c r="O25" s="9"/>
      <c r="P25" s="5" t="s">
        <v>32</v>
      </c>
      <c r="Q25" s="418"/>
      <c r="R25" s="419"/>
      <c r="S25" s="419"/>
      <c r="T25" s="420"/>
      <c r="U25" s="421"/>
      <c r="V25" s="421"/>
      <c r="W25" s="220"/>
      <c r="X25" s="222"/>
    </row>
    <row r="26" spans="1:32" x14ac:dyDescent="0.35">
      <c r="B26" s="9"/>
      <c r="C26" s="99"/>
      <c r="D26" s="99"/>
      <c r="E26" s="99"/>
      <c r="F26" s="99"/>
      <c r="G26" s="9"/>
      <c r="H26" s="15"/>
      <c r="J26" s="116" t="s">
        <v>238</v>
      </c>
      <c r="K26" s="9" t="s">
        <v>58</v>
      </c>
      <c r="L26" s="61" t="s">
        <v>231</v>
      </c>
      <c r="M26" s="61" t="s">
        <v>102</v>
      </c>
      <c r="N26" s="4">
        <v>128</v>
      </c>
      <c r="O26" s="9">
        <v>411</v>
      </c>
      <c r="P26" s="5">
        <v>159</v>
      </c>
      <c r="Q26" s="418">
        <f>C$6*'Application rates'!D$37*MIN(N26:O26)</f>
        <v>5896.2880714817566</v>
      </c>
      <c r="R26" s="419">
        <f>'Application rates'!D$37*C$8*MIN(N26:O26)</f>
        <v>2948.1440357408783</v>
      </c>
      <c r="S26" s="419">
        <f>'Application rates'!D$38*C$6*MIN(N26:O26)</f>
        <v>18632.689683629305</v>
      </c>
      <c r="T26" s="420">
        <f>'Application rates'!D$38*C$8*MIN(N26:O26)</f>
        <v>9316.3448418146527</v>
      </c>
      <c r="U26" s="421">
        <f t="shared" ref="U26:U31" si="2">C$6*F$14*P26+F$14*C$14</f>
        <v>4878.7199999999993</v>
      </c>
      <c r="V26" s="421">
        <f t="shared" ref="V26:V31" si="3">C$8*F$14*P26+F$14*C$14</f>
        <v>3759.3599999999997</v>
      </c>
      <c r="W26" s="220"/>
      <c r="X26" s="222"/>
    </row>
    <row r="27" spans="1:32" x14ac:dyDescent="0.35">
      <c r="B27" s="9"/>
      <c r="C27" s="99"/>
      <c r="D27" s="99"/>
      <c r="E27" s="99"/>
      <c r="F27" s="99"/>
      <c r="G27" s="9"/>
      <c r="H27" s="9"/>
      <c r="J27" s="116" t="s">
        <v>190</v>
      </c>
      <c r="K27" s="9" t="s">
        <v>249</v>
      </c>
      <c r="L27" s="9" t="s">
        <v>231</v>
      </c>
      <c r="M27" s="12" t="s">
        <v>102</v>
      </c>
      <c r="N27" s="4">
        <v>99</v>
      </c>
      <c r="O27" s="9">
        <v>445</v>
      </c>
      <c r="P27" s="5">
        <v>111</v>
      </c>
      <c r="Q27" s="418">
        <f>C$6*'Application rates'!D$37*MIN(N27:O27)</f>
        <v>4560.4103052866712</v>
      </c>
      <c r="R27" s="419">
        <f>'Application rates'!D$37*C$8*MIN(N27:O27)</f>
        <v>2280.2051526433356</v>
      </c>
      <c r="S27" s="419">
        <f>'Application rates'!D$38*C$6*MIN(N27:O27)</f>
        <v>14411.220927182041</v>
      </c>
      <c r="T27" s="420">
        <f>'Application rates'!D$38*C$8*MIN(N27:O27)</f>
        <v>7205.6104635910206</v>
      </c>
      <c r="U27" s="421">
        <f t="shared" si="2"/>
        <v>4202.88</v>
      </c>
      <c r="V27" s="421">
        <f t="shared" si="3"/>
        <v>3421.44</v>
      </c>
      <c r="W27" s="220"/>
      <c r="X27" s="222"/>
      <c r="AA27" s="14" t="s">
        <v>60</v>
      </c>
      <c r="AB27" s="2"/>
      <c r="AC27" s="2"/>
      <c r="AD27" s="2"/>
      <c r="AE27" s="3"/>
    </row>
    <row r="28" spans="1:32" x14ac:dyDescent="0.35">
      <c r="B28" s="9"/>
      <c r="C28" s="99"/>
      <c r="D28" s="99"/>
      <c r="E28" s="99"/>
      <c r="F28" s="99"/>
      <c r="G28" s="9"/>
      <c r="J28" s="116" t="s">
        <v>189</v>
      </c>
      <c r="K28" s="9" t="s">
        <v>250</v>
      </c>
      <c r="L28" s="9" t="s">
        <v>231</v>
      </c>
      <c r="M28" s="12" t="s">
        <v>234</v>
      </c>
      <c r="N28" s="4">
        <v>199</v>
      </c>
      <c r="O28" s="9">
        <v>564</v>
      </c>
      <c r="P28" s="5">
        <v>199</v>
      </c>
      <c r="Q28" s="418">
        <f>C$6*'Application rates'!D$37*MIN(N28:O28)</f>
        <v>9166.8853611317936</v>
      </c>
      <c r="R28" s="419">
        <f>'Application rates'!D$37*C$8*MIN(N28:O28)</f>
        <v>4583.4426805658968</v>
      </c>
      <c r="S28" s="419">
        <f>'Application rates'!D$38*C$6*MIN(N28:O28)</f>
        <v>28968.009742517435</v>
      </c>
      <c r="T28" s="420">
        <f>'Application rates'!D$38*C$8*MIN(N28:O28)</f>
        <v>14484.004871258718</v>
      </c>
      <c r="U28" s="421">
        <f t="shared" si="2"/>
        <v>5441.92</v>
      </c>
      <c r="V28" s="421">
        <f t="shared" si="3"/>
        <v>4040.96</v>
      </c>
      <c r="W28" s="220"/>
      <c r="X28" s="222"/>
      <c r="AA28" s="4"/>
      <c r="AB28" s="56" t="s">
        <v>62</v>
      </c>
      <c r="AC28" s="56" t="s">
        <v>63</v>
      </c>
      <c r="AD28" s="56" t="s">
        <v>64</v>
      </c>
      <c r="AE28" s="18" t="s">
        <v>65</v>
      </c>
    </row>
    <row r="29" spans="1:32" x14ac:dyDescent="0.35">
      <c r="B29" s="9"/>
      <c r="C29" s="99"/>
      <c r="D29" s="99"/>
      <c r="E29" s="99"/>
      <c r="F29" s="99"/>
      <c r="G29" s="9"/>
      <c r="J29" s="116" t="s">
        <v>191</v>
      </c>
      <c r="K29" s="9" t="s">
        <v>237</v>
      </c>
      <c r="L29" s="61" t="s">
        <v>231</v>
      </c>
      <c r="M29" s="61" t="s">
        <v>102</v>
      </c>
      <c r="N29" s="4">
        <v>149</v>
      </c>
      <c r="O29" s="9">
        <v>484</v>
      </c>
      <c r="P29" s="5">
        <v>145</v>
      </c>
      <c r="Q29" s="418">
        <f>C$6*'Application rates'!D$37*MIN(N29:O29)</f>
        <v>6863.647833209232</v>
      </c>
      <c r="R29" s="419">
        <f>'Application rates'!D$37*C$8*MIN(N29:O29)</f>
        <v>3431.823916604616</v>
      </c>
      <c r="S29" s="419">
        <f>'Application rates'!D$38*C$6*MIN(N29:O29)</f>
        <v>21689.615334849739</v>
      </c>
      <c r="T29" s="420">
        <f>'Application rates'!D$38*C$8*MIN(N29:O29)</f>
        <v>10844.80766742487</v>
      </c>
      <c r="U29" s="421">
        <f t="shared" si="2"/>
        <v>4681.6000000000004</v>
      </c>
      <c r="V29" s="421">
        <f t="shared" si="3"/>
        <v>3660.8</v>
      </c>
      <c r="W29" s="220"/>
      <c r="X29" s="222"/>
      <c r="AA29" s="4" t="s">
        <v>68</v>
      </c>
      <c r="AB29">
        <v>9500</v>
      </c>
      <c r="AC29">
        <v>11784</v>
      </c>
      <c r="AD29">
        <v>34716</v>
      </c>
      <c r="AE29" s="454">
        <f>AD29/(SUM(AB29:AD29))</f>
        <v>0.61992857142857138</v>
      </c>
    </row>
    <row r="30" spans="1:32" x14ac:dyDescent="0.35">
      <c r="B30" s="9"/>
      <c r="C30" s="99"/>
      <c r="D30" s="99"/>
      <c r="E30" s="99"/>
      <c r="F30" s="99"/>
      <c r="G30" s="9"/>
      <c r="J30" s="115" t="s">
        <v>0</v>
      </c>
      <c r="K30" s="15"/>
      <c r="L30" s="15"/>
      <c r="M30" s="15"/>
      <c r="N30" s="4"/>
      <c r="O30" s="9"/>
      <c r="P30" s="5" t="s">
        <v>451</v>
      </c>
      <c r="Q30" s="418"/>
      <c r="R30" s="419"/>
      <c r="S30" s="419"/>
      <c r="T30" s="420"/>
      <c r="U30" s="421"/>
      <c r="V30" s="421"/>
      <c r="W30" s="220"/>
      <c r="X30" s="222"/>
      <c r="AA30" s="4" t="s">
        <v>69</v>
      </c>
      <c r="AB30">
        <v>9500</v>
      </c>
      <c r="AC30">
        <v>9760</v>
      </c>
      <c r="AD30">
        <v>36740</v>
      </c>
      <c r="AE30" s="454">
        <f>AD30/(SUM(AB30:AD30))</f>
        <v>0.65607142857142853</v>
      </c>
    </row>
    <row r="31" spans="1:32" x14ac:dyDescent="0.35">
      <c r="B31" s="9"/>
      <c r="C31" s="99"/>
      <c r="D31" s="99"/>
      <c r="E31" s="99"/>
      <c r="F31" s="99"/>
      <c r="G31" s="9"/>
      <c r="J31" s="116" t="s">
        <v>242</v>
      </c>
      <c r="K31" s="9" t="s">
        <v>243</v>
      </c>
      <c r="L31" s="9" t="s">
        <v>244</v>
      </c>
      <c r="M31" s="9" t="s">
        <v>222</v>
      </c>
      <c r="N31" s="4">
        <v>1462</v>
      </c>
      <c r="O31" s="9">
        <v>1516</v>
      </c>
      <c r="P31" s="5">
        <v>276</v>
      </c>
      <c r="Q31" s="418">
        <f>C$6*'Application rates'!D$37*MIN(N31:O31)</f>
        <v>67346.665316455692</v>
      </c>
      <c r="R31" s="419">
        <f>'Application rates'!D$37*C$8*MIN(N31:O31)</f>
        <v>33673.332658227846</v>
      </c>
      <c r="S31" s="419">
        <f>'Application rates'!D$38*C$6*MIN(N31:O31)</f>
        <v>212820.25248020346</v>
      </c>
      <c r="T31" s="420">
        <f>'Application rates'!D$38*C$8*MIN(N31:O31)</f>
        <v>106410.12624010173</v>
      </c>
      <c r="U31" s="421">
        <f t="shared" si="2"/>
        <v>6526.08</v>
      </c>
      <c r="V31" s="421">
        <f t="shared" si="3"/>
        <v>4583.04</v>
      </c>
      <c r="W31" s="220"/>
      <c r="X31" s="222"/>
      <c r="AA31" s="4" t="s">
        <v>66</v>
      </c>
      <c r="AB31">
        <v>9500</v>
      </c>
      <c r="AC31">
        <v>9882</v>
      </c>
      <c r="AD31">
        <v>36618</v>
      </c>
      <c r="AE31" s="454">
        <f>AD31/(SUM(AB31:AD31))</f>
        <v>0.65389285714285716</v>
      </c>
    </row>
    <row r="32" spans="1:32" x14ac:dyDescent="0.35">
      <c r="A32" s="9"/>
      <c r="B32" s="9"/>
      <c r="C32" s="99"/>
      <c r="D32" s="99"/>
      <c r="E32" s="99"/>
      <c r="F32" s="99"/>
      <c r="G32" s="9"/>
      <c r="H32" s="9"/>
      <c r="J32" s="115" t="s">
        <v>3</v>
      </c>
      <c r="K32" s="15"/>
      <c r="L32" s="15"/>
      <c r="M32" s="15"/>
      <c r="N32" s="4"/>
      <c r="O32" s="9"/>
      <c r="P32" s="5" t="s">
        <v>33</v>
      </c>
      <c r="Q32" s="418"/>
      <c r="R32" s="419"/>
      <c r="S32" s="419"/>
      <c r="T32" s="420"/>
      <c r="U32" s="421"/>
      <c r="V32" s="421"/>
      <c r="W32" s="220"/>
      <c r="X32" s="222"/>
      <c r="AA32" s="4" t="s">
        <v>67</v>
      </c>
      <c r="AB32">
        <v>9500</v>
      </c>
      <c r="AC32">
        <v>8864</v>
      </c>
      <c r="AD32">
        <v>37635</v>
      </c>
      <c r="AE32" s="454">
        <f>AD32/(SUM(AB32:AD32))</f>
        <v>0.67206557259951072</v>
      </c>
    </row>
    <row r="33" spans="1:31" x14ac:dyDescent="0.35">
      <c r="A33" s="9"/>
      <c r="B33" s="9"/>
      <c r="C33" s="99"/>
      <c r="D33" s="99"/>
      <c r="E33" s="99"/>
      <c r="F33" s="99"/>
      <c r="G33" s="9"/>
      <c r="H33" s="9"/>
      <c r="J33" s="116" t="s">
        <v>70</v>
      </c>
      <c r="K33" s="9" t="s">
        <v>70</v>
      </c>
      <c r="L33" s="9" t="s">
        <v>231</v>
      </c>
      <c r="M33" s="61" t="s">
        <v>233</v>
      </c>
      <c r="N33" s="4">
        <v>207</v>
      </c>
      <c r="O33" s="9">
        <v>180</v>
      </c>
      <c r="P33" s="23">
        <v>156</v>
      </c>
      <c r="Q33" s="418">
        <f>C$6*'Application rates'!D$37*MIN(N33:O33)</f>
        <v>8291.6551005212204</v>
      </c>
      <c r="R33" s="419">
        <f>'Application rates'!D$37*C$8*MIN(N33:O33)</f>
        <v>4145.8275502606102</v>
      </c>
      <c r="S33" s="419">
        <f>'Application rates'!D$38*C$6*MIN(N33:O33)</f>
        <v>26202.219867603711</v>
      </c>
      <c r="T33" s="420">
        <f>'Application rates'!D$38*C$8*MIN(N33:O33)</f>
        <v>13101.109933801856</v>
      </c>
      <c r="U33" s="421">
        <f>C$6*F$14*P33+F$14*C$15</f>
        <v>5661.48</v>
      </c>
      <c r="V33" s="421">
        <f>C$8*F$14*P33+F$14*C$15</f>
        <v>4563.24</v>
      </c>
      <c r="W33" s="220"/>
      <c r="X33" s="222"/>
      <c r="AA33" s="21" t="s">
        <v>61</v>
      </c>
      <c r="AB33" s="7"/>
      <c r="AC33" s="7"/>
      <c r="AD33" s="7"/>
      <c r="AE33" s="8"/>
    </row>
    <row r="34" spans="1:31" x14ac:dyDescent="0.35">
      <c r="A34" s="9"/>
      <c r="B34" s="9"/>
      <c r="C34" s="99"/>
      <c r="D34" s="99"/>
      <c r="E34" s="99"/>
      <c r="F34" s="99"/>
      <c r="G34" s="9"/>
      <c r="H34" s="99"/>
      <c r="J34" s="118" t="s">
        <v>239</v>
      </c>
      <c r="K34" s="9" t="s">
        <v>216</v>
      </c>
      <c r="L34" s="9" t="s">
        <v>223</v>
      </c>
      <c r="M34" s="12" t="s">
        <v>222</v>
      </c>
      <c r="N34" s="4">
        <v>384</v>
      </c>
      <c r="O34" s="9">
        <v>0</v>
      </c>
      <c r="P34" s="5">
        <v>320</v>
      </c>
      <c r="Q34" s="418">
        <f>C$6*'Application rates'!D$37*MIN(N34:O34)</f>
        <v>0</v>
      </c>
      <c r="R34" s="419">
        <f>'Application rates'!D$37*C$8*MIN(N34:O34)</f>
        <v>0</v>
      </c>
      <c r="S34" s="419">
        <f>'Application rates'!D$38*C$6*MIN(N34:O34)</f>
        <v>0</v>
      </c>
      <c r="T34" s="420">
        <f>'Application rates'!D$38*C$8*MIN(N34:O34)</f>
        <v>0</v>
      </c>
      <c r="U34" s="421">
        <f>C$6*F$14*P34+F$14*C$15</f>
        <v>7970.6</v>
      </c>
      <c r="V34" s="421">
        <f>C$8*F$14*P34+F$14*C$15</f>
        <v>5717.8</v>
      </c>
      <c r="W34" s="220"/>
      <c r="X34" s="222"/>
      <c r="AA34" s="337" t="s">
        <v>270</v>
      </c>
      <c r="AB34" s="338"/>
      <c r="AC34" s="338"/>
      <c r="AD34" s="338"/>
      <c r="AE34" s="339"/>
    </row>
    <row r="35" spans="1:31" x14ac:dyDescent="0.35">
      <c r="A35" s="9"/>
      <c r="B35" s="9"/>
      <c r="C35" s="99"/>
      <c r="D35" s="99"/>
      <c r="E35" s="99"/>
      <c r="F35" s="99"/>
      <c r="G35" s="9"/>
      <c r="H35" s="99"/>
      <c r="J35" s="118" t="s">
        <v>240</v>
      </c>
      <c r="K35" s="9" t="s">
        <v>241</v>
      </c>
      <c r="L35" s="9" t="s">
        <v>223</v>
      </c>
      <c r="M35" s="12" t="s">
        <v>222</v>
      </c>
      <c r="N35" s="4">
        <v>366</v>
      </c>
      <c r="O35" s="9">
        <v>199</v>
      </c>
      <c r="P35" s="5">
        <v>386</v>
      </c>
      <c r="Q35" s="418">
        <f>C$6*'Application rates'!D$37*MIN(N35:O35)</f>
        <v>9166.8853611317936</v>
      </c>
      <c r="R35" s="419">
        <f>'Application rates'!D$37*C$8*MIN(N35:O35)</f>
        <v>4583.4426805658968</v>
      </c>
      <c r="S35" s="419">
        <f>'Application rates'!D$38*C$6*MIN(N35:O35)</f>
        <v>28968.009742517435</v>
      </c>
      <c r="T35" s="420">
        <f>'Application rates'!D$38*C$8*MIN(N35:O35)</f>
        <v>14484.004871258718</v>
      </c>
      <c r="U35" s="421">
        <f>C$6*F$14*P35+F$14*C$15</f>
        <v>8899.880000000001</v>
      </c>
      <c r="V35" s="421">
        <f>C$8*F$14*P35+F$14*C$15</f>
        <v>6182.4400000000005</v>
      </c>
      <c r="W35" s="220"/>
      <c r="X35" s="222"/>
      <c r="AA35" s="340"/>
      <c r="AB35" s="341"/>
      <c r="AC35" s="341"/>
      <c r="AD35" s="341"/>
      <c r="AE35" s="342"/>
    </row>
    <row r="36" spans="1:31" ht="15" thickBot="1" x14ac:dyDescent="0.4">
      <c r="A36" s="9"/>
      <c r="H36" s="99"/>
      <c r="J36" s="119" t="s">
        <v>71</v>
      </c>
      <c r="K36" s="50" t="s">
        <v>71</v>
      </c>
      <c r="L36" s="50" t="s">
        <v>231</v>
      </c>
      <c r="M36" s="50" t="s">
        <v>222</v>
      </c>
      <c r="N36" s="62">
        <v>334</v>
      </c>
      <c r="O36" s="50">
        <v>131</v>
      </c>
      <c r="P36" s="63">
        <v>219</v>
      </c>
      <c r="Q36" s="422">
        <f>C$6*'Application rates'!D$37*MIN(N36:O36)</f>
        <v>6034.4823231571099</v>
      </c>
      <c r="R36" s="423">
        <f>'Application rates'!D$37*C$8*MIN(N36:O36)</f>
        <v>3017.241161578555</v>
      </c>
      <c r="S36" s="423">
        <f>'Application rates'!D$38*C$6*MIN(N36:O36)</f>
        <v>19069.393348089368</v>
      </c>
      <c r="T36" s="424">
        <f>'Application rates'!D$38*C$8*MIN(N36:O36)</f>
        <v>9534.6966740446842</v>
      </c>
      <c r="U36" s="425">
        <f>C$6*F$14*P36+F$14*C$15</f>
        <v>6548.52</v>
      </c>
      <c r="V36" s="425">
        <f>C$8*F$14*P36+F$14*C$15</f>
        <v>5006.76</v>
      </c>
      <c r="W36" s="223"/>
      <c r="X36" s="225"/>
      <c r="AA36" s="343"/>
      <c r="AB36" s="344"/>
      <c r="AC36" s="344"/>
      <c r="AD36" s="344"/>
      <c r="AE36" s="345"/>
    </row>
    <row r="37" spans="1:31" x14ac:dyDescent="0.35">
      <c r="A37" s="9"/>
      <c r="H37" s="99"/>
      <c r="J37" s="9"/>
      <c r="K37" s="9"/>
      <c r="L37" s="9"/>
      <c r="M37" s="9"/>
      <c r="N37" s="9"/>
      <c r="O37" s="9"/>
      <c r="P37" s="9"/>
      <c r="Q37" s="64"/>
      <c r="R37" s="64"/>
      <c r="S37" s="64"/>
      <c r="T37" s="64"/>
      <c r="U37" s="57"/>
      <c r="V37" s="57"/>
      <c r="W37" s="152"/>
      <c r="X37" s="152"/>
    </row>
    <row r="38" spans="1:31" x14ac:dyDescent="0.35">
      <c r="A38" s="9"/>
      <c r="H38" s="99"/>
      <c r="J38" s="9"/>
      <c r="K38" s="9"/>
      <c r="L38" s="9"/>
      <c r="M38" s="9"/>
      <c r="N38" s="9"/>
      <c r="O38" s="9"/>
      <c r="P38" s="9"/>
      <c r="Q38" s="64"/>
      <c r="R38" s="64"/>
      <c r="S38" s="64"/>
      <c r="T38" s="64"/>
      <c r="U38" s="57"/>
      <c r="V38" s="57"/>
      <c r="W38" s="152"/>
      <c r="X38" s="152"/>
    </row>
    <row r="39" spans="1:31" ht="15" thickBot="1" x14ac:dyDescent="0.4">
      <c r="A39" s="9"/>
      <c r="H39" s="99"/>
      <c r="I39" s="101"/>
      <c r="J39" s="101"/>
      <c r="K39" s="101"/>
      <c r="L39" s="101"/>
      <c r="M39" s="101"/>
      <c r="N39" s="101"/>
      <c r="O39" s="101"/>
      <c r="P39" s="101"/>
      <c r="Q39" s="101"/>
      <c r="R39" s="101"/>
      <c r="S39" s="101"/>
    </row>
    <row r="40" spans="1:31" ht="14.5" customHeight="1" x14ac:dyDescent="0.35">
      <c r="A40" s="9"/>
      <c r="H40" s="99"/>
      <c r="I40" s="101"/>
      <c r="J40" s="241" t="s">
        <v>274</v>
      </c>
      <c r="K40" s="242"/>
      <c r="L40" s="242"/>
      <c r="M40" s="242"/>
      <c r="N40" s="242"/>
      <c r="O40" s="242"/>
      <c r="P40" s="243"/>
      <c r="Q40" s="335" t="s">
        <v>275</v>
      </c>
      <c r="R40" s="336"/>
      <c r="S40" s="101"/>
    </row>
    <row r="41" spans="1:31" ht="15" customHeight="1" thickBot="1" x14ac:dyDescent="0.4">
      <c r="A41" s="9"/>
      <c r="H41" s="99"/>
      <c r="I41" s="101"/>
      <c r="J41" s="244"/>
      <c r="K41" s="245"/>
      <c r="L41" s="245"/>
      <c r="M41" s="245"/>
      <c r="N41" s="245"/>
      <c r="O41" s="245"/>
      <c r="P41" s="246"/>
      <c r="Q41" s="220"/>
      <c r="R41" s="222"/>
      <c r="S41" s="101"/>
    </row>
    <row r="42" spans="1:31" ht="29" x14ac:dyDescent="0.35">
      <c r="A42" s="9"/>
      <c r="H42" s="99"/>
      <c r="I42" s="101"/>
      <c r="J42" s="450" t="s">
        <v>257</v>
      </c>
      <c r="K42" s="411" t="s">
        <v>258</v>
      </c>
      <c r="L42" s="411" t="s">
        <v>253</v>
      </c>
      <c r="M42" s="451" t="s">
        <v>254</v>
      </c>
      <c r="N42" s="452" t="s">
        <v>255</v>
      </c>
      <c r="O42" s="452" t="s">
        <v>449</v>
      </c>
      <c r="P42" s="453" t="s">
        <v>256</v>
      </c>
      <c r="Q42" s="220"/>
      <c r="R42" s="222"/>
      <c r="S42" s="101"/>
    </row>
    <row r="43" spans="1:31" x14ac:dyDescent="0.35">
      <c r="A43" s="9"/>
      <c r="H43" s="99"/>
      <c r="I43" s="101"/>
      <c r="J43" s="42" t="s">
        <v>1</v>
      </c>
      <c r="K43" s="9" t="str">
        <f>K16</f>
        <v>Barkley-West</v>
      </c>
      <c r="L43" s="9">
        <f>N16</f>
        <v>648</v>
      </c>
      <c r="M43" s="102">
        <f>Q16</f>
        <v>29849.958361876394</v>
      </c>
      <c r="N43" s="102">
        <f>S16</f>
        <v>94327.991523373363</v>
      </c>
      <c r="O43" s="102">
        <f>P16</f>
        <v>485</v>
      </c>
      <c r="P43" s="103">
        <f>U16</f>
        <v>9413.7999999999993</v>
      </c>
      <c r="Q43" s="220"/>
      <c r="R43" s="222"/>
      <c r="S43" s="101"/>
    </row>
    <row r="44" spans="1:31" x14ac:dyDescent="0.35">
      <c r="A44" s="9"/>
      <c r="H44" s="99"/>
      <c r="I44" s="101"/>
      <c r="J44" s="42"/>
      <c r="K44" s="9" t="str">
        <f>K20</f>
        <v>Carnarvon</v>
      </c>
      <c r="L44" s="9">
        <f>N20</f>
        <v>1073</v>
      </c>
      <c r="M44" s="102">
        <f>Q20</f>
        <v>49427.477349218163</v>
      </c>
      <c r="N44" s="102">
        <f>S20</f>
        <v>156194.34398854879</v>
      </c>
      <c r="O44" s="102">
        <f>P20</f>
        <v>883</v>
      </c>
      <c r="P44" s="103">
        <f>U20</f>
        <v>15017.64</v>
      </c>
      <c r="Q44" s="220"/>
      <c r="R44" s="222"/>
      <c r="S44" s="101"/>
    </row>
    <row r="45" spans="1:31" x14ac:dyDescent="0.35">
      <c r="A45" s="9"/>
      <c r="H45" s="99"/>
      <c r="I45" s="101"/>
      <c r="J45" s="42" t="s">
        <v>0</v>
      </c>
      <c r="K45" s="9" t="str">
        <f>K31</f>
        <v>Vredendal</v>
      </c>
      <c r="L45" s="9">
        <f>N31</f>
        <v>1462</v>
      </c>
      <c r="M45" s="102">
        <f>Q31</f>
        <v>67346.665316455692</v>
      </c>
      <c r="N45" s="102">
        <f>S31</f>
        <v>212820.25248020346</v>
      </c>
      <c r="O45" s="102">
        <f>P31</f>
        <v>276</v>
      </c>
      <c r="P45" s="103">
        <f>U31</f>
        <v>6526.08</v>
      </c>
      <c r="Q45" s="220"/>
      <c r="R45" s="222"/>
      <c r="S45" s="101"/>
    </row>
    <row r="46" spans="1:31" ht="21" customHeight="1" x14ac:dyDescent="0.35">
      <c r="A46" s="12"/>
      <c r="H46" s="99"/>
      <c r="I46" s="101"/>
      <c r="J46" s="42" t="s">
        <v>5</v>
      </c>
      <c r="K46" s="9" t="str">
        <f>K11</f>
        <v xml:space="preserve">Brits </v>
      </c>
      <c r="L46" s="9">
        <f>N11</f>
        <v>171</v>
      </c>
      <c r="M46" s="102">
        <f>Q11</f>
        <v>7877.0723454951594</v>
      </c>
      <c r="N46" s="102">
        <f>S11</f>
        <v>24892.108874223526</v>
      </c>
      <c r="O46" s="102">
        <f>P11</f>
        <v>87</v>
      </c>
      <c r="P46" s="103">
        <f>U11</f>
        <v>3809.96</v>
      </c>
      <c r="Q46" s="220"/>
      <c r="R46" s="222"/>
      <c r="S46" s="101"/>
    </row>
    <row r="47" spans="1:31" x14ac:dyDescent="0.35">
      <c r="A47" s="9"/>
      <c r="H47" s="99"/>
      <c r="I47" s="101"/>
      <c r="J47" s="42"/>
      <c r="K47" s="9" t="str">
        <f>K12</f>
        <v>Taung</v>
      </c>
      <c r="L47" s="9">
        <f>N12</f>
        <v>546</v>
      </c>
      <c r="M47" s="102">
        <f>Q12</f>
        <v>25151.353804914368</v>
      </c>
      <c r="N47" s="102">
        <f>S12</f>
        <v>79480.066931731257</v>
      </c>
      <c r="O47" s="102">
        <f>P12</f>
        <v>389</v>
      </c>
      <c r="P47" s="103">
        <f>U12</f>
        <v>8062.12</v>
      </c>
      <c r="Q47" s="220"/>
      <c r="R47" s="222"/>
      <c r="S47" s="101"/>
    </row>
    <row r="48" spans="1:31" x14ac:dyDescent="0.35">
      <c r="I48" s="101"/>
      <c r="J48" s="42" t="s">
        <v>3</v>
      </c>
      <c r="K48" s="9" t="str">
        <f>K34</f>
        <v>Lephalale</v>
      </c>
      <c r="L48" s="9">
        <f>O34</f>
        <v>0</v>
      </c>
      <c r="M48" s="102">
        <f>Q34</f>
        <v>0</v>
      </c>
      <c r="N48" s="102">
        <f>S34</f>
        <v>0</v>
      </c>
      <c r="O48" s="102">
        <f>P34</f>
        <v>320</v>
      </c>
      <c r="P48" s="103">
        <f>U34</f>
        <v>7970.6</v>
      </c>
      <c r="Q48" s="220"/>
      <c r="R48" s="222"/>
      <c r="S48" s="101"/>
    </row>
    <row r="49" spans="9:19" x14ac:dyDescent="0.35">
      <c r="I49" s="101"/>
      <c r="J49" s="42"/>
      <c r="K49" s="9" t="str">
        <f>K35</f>
        <v>Senwabarwana</v>
      </c>
      <c r="L49" s="9">
        <f>O35</f>
        <v>199</v>
      </c>
      <c r="M49" s="102">
        <f>Q35</f>
        <v>9166.8853611317936</v>
      </c>
      <c r="N49" s="102">
        <f>S35</f>
        <v>28968.009742517435</v>
      </c>
      <c r="O49" s="102">
        <f>P35</f>
        <v>386</v>
      </c>
      <c r="P49" s="103">
        <f>U35</f>
        <v>8899.880000000001</v>
      </c>
      <c r="Q49" s="220"/>
      <c r="R49" s="222"/>
      <c r="S49" s="101"/>
    </row>
    <row r="50" spans="9:19" x14ac:dyDescent="0.35">
      <c r="I50" s="101"/>
      <c r="J50" s="42" t="s">
        <v>4</v>
      </c>
      <c r="K50" s="9" t="str">
        <f>K27</f>
        <v>Secunda</v>
      </c>
      <c r="L50" s="9">
        <f>N27</f>
        <v>99</v>
      </c>
      <c r="M50" s="102">
        <f>Q27</f>
        <v>4560.4103052866712</v>
      </c>
      <c r="N50" s="102">
        <f>S27</f>
        <v>14411.220927182041</v>
      </c>
      <c r="O50" s="102">
        <f>P27</f>
        <v>111</v>
      </c>
      <c r="P50" s="103">
        <f>U27</f>
        <v>4202.88</v>
      </c>
      <c r="Q50" s="220"/>
      <c r="R50" s="222"/>
      <c r="S50" s="101"/>
    </row>
    <row r="51" spans="9:19" x14ac:dyDescent="0.35">
      <c r="I51" s="101"/>
      <c r="J51" s="42"/>
      <c r="K51" s="9" t="str">
        <f>K28</f>
        <v>Volksrust</v>
      </c>
      <c r="L51" s="9">
        <f>N28</f>
        <v>199</v>
      </c>
      <c r="M51" s="102">
        <f>Q28</f>
        <v>9166.8853611317936</v>
      </c>
      <c r="N51" s="102">
        <f>S28</f>
        <v>28968.009742517435</v>
      </c>
      <c r="O51" s="102">
        <f>P28</f>
        <v>199</v>
      </c>
      <c r="P51" s="103">
        <f>U28</f>
        <v>5441.92</v>
      </c>
      <c r="Q51" s="220"/>
      <c r="R51" s="222"/>
      <c r="S51" s="101"/>
    </row>
    <row r="52" spans="9:19" x14ac:dyDescent="0.35">
      <c r="I52" s="101"/>
      <c r="J52" s="42" t="s">
        <v>47</v>
      </c>
      <c r="K52" s="9" t="str">
        <f>K9</f>
        <v>Sasolburg</v>
      </c>
      <c r="L52" s="9">
        <f>N9</f>
        <v>214</v>
      </c>
      <c r="M52" s="102">
        <f>Q9</f>
        <v>9857.8566195085623</v>
      </c>
      <c r="N52" s="102">
        <f>S9</f>
        <v>31151.528064817743</v>
      </c>
      <c r="O52" s="102">
        <f>P9</f>
        <v>103</v>
      </c>
      <c r="P52" s="103">
        <f>U9</f>
        <v>4915.24</v>
      </c>
      <c r="Q52" s="220"/>
      <c r="R52" s="222"/>
      <c r="S52" s="101"/>
    </row>
    <row r="53" spans="9:19" ht="15" thickBot="1" x14ac:dyDescent="0.4">
      <c r="I53" s="101"/>
      <c r="J53" s="45"/>
      <c r="K53" s="50" t="str">
        <f>K7</f>
        <v>Parys</v>
      </c>
      <c r="L53" s="50">
        <f>N7</f>
        <v>253</v>
      </c>
      <c r="M53" s="104">
        <f>Q7</f>
        <v>11654.38189128816</v>
      </c>
      <c r="N53" s="104">
        <f>S7</f>
        <v>36828.675702798551</v>
      </c>
      <c r="O53" s="104">
        <f>P7</f>
        <v>157</v>
      </c>
      <c r="P53" s="105">
        <f>U7</f>
        <v>5675.5599999999995</v>
      </c>
      <c r="Q53" s="223"/>
      <c r="R53" s="225"/>
      <c r="S53" s="101"/>
    </row>
    <row r="54" spans="9:19" x14ac:dyDescent="0.35">
      <c r="I54" s="101"/>
      <c r="J54" s="101"/>
      <c r="K54" s="101"/>
      <c r="L54" s="101"/>
      <c r="M54" s="101"/>
      <c r="N54" s="101"/>
      <c r="O54" s="101"/>
      <c r="P54" s="101"/>
      <c r="Q54" s="109"/>
      <c r="R54" s="101"/>
      <c r="S54" s="101"/>
    </row>
    <row r="55" spans="9:19" x14ac:dyDescent="0.35">
      <c r="Q55" s="38"/>
    </row>
    <row r="56" spans="9:19" x14ac:dyDescent="0.35">
      <c r="Q56" s="38"/>
    </row>
    <row r="59" spans="9:19" x14ac:dyDescent="0.35">
      <c r="I59" s="22"/>
    </row>
  </sheetData>
  <mergeCells count="16">
    <mergeCell ref="AA34:AE36"/>
    <mergeCell ref="AE16:AF23"/>
    <mergeCell ref="AD5:AF12"/>
    <mergeCell ref="B11:D12"/>
    <mergeCell ref="U4:V4"/>
    <mergeCell ref="Q4:T4"/>
    <mergeCell ref="N4:P4"/>
    <mergeCell ref="F11:H12"/>
    <mergeCell ref="W4:X36"/>
    <mergeCell ref="B4:D4"/>
    <mergeCell ref="J1:M3"/>
    <mergeCell ref="E4:G9"/>
    <mergeCell ref="B19:D24"/>
    <mergeCell ref="N1:X3"/>
    <mergeCell ref="Q40:R53"/>
    <mergeCell ref="J40:P41"/>
  </mergeCells>
  <hyperlinks>
    <hyperlink ref="AA9" r:id="rId1" xr:uid="{23025B06-5E73-41F2-81B3-E4CAEF760A6D}"/>
    <hyperlink ref="AA22" r:id="rId2" xr:uid="{03278385-FC3D-459B-9E93-AAAB0CC8FB38}"/>
    <hyperlink ref="AA21" r:id="rId3" xr:uid="{99F827D9-B23F-483D-B1E6-17A31A1E26C8}"/>
    <hyperlink ref="AA33" r:id="rId4" display="https://www.satruckbodies.co.za/" xr:uid="{561936D3-A2E3-4362-ABC3-8DBB1CB9F302}"/>
  </hyperlinks>
  <pageMargins left="0.7" right="0.7" top="0.75" bottom="0.75" header="0.3" footer="0.3"/>
  <pageSetup orientation="portrait" r:id="rId5"/>
  <legacyDrawing r:id="rId6"/>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9C5FC-F078-45DB-801A-FAFCF1A6E17F}">
  <dimension ref="B1:M22"/>
  <sheetViews>
    <sheetView workbookViewId="0">
      <selection activeCell="C5" sqref="C5"/>
    </sheetView>
  </sheetViews>
  <sheetFormatPr defaultRowHeight="14.5" x14ac:dyDescent="0.35"/>
  <cols>
    <col min="2" max="2" width="24.36328125" bestFit="1" customWidth="1"/>
    <col min="10" max="10" width="24.453125" bestFit="1" customWidth="1"/>
    <col min="13" max="13" width="20.6328125" bestFit="1" customWidth="1"/>
  </cols>
  <sheetData>
    <row r="1" spans="2:13" ht="15" thickBot="1" x14ac:dyDescent="0.4"/>
    <row r="2" spans="2:13" ht="42.5" customHeight="1" thickBot="1" x14ac:dyDescent="0.55000000000000004">
      <c r="B2" s="369" t="s">
        <v>369</v>
      </c>
      <c r="C2" s="370"/>
      <c r="D2" s="370"/>
      <c r="E2" s="371"/>
      <c r="F2" s="335" t="s">
        <v>363</v>
      </c>
      <c r="G2" s="336"/>
      <c r="J2" s="426" t="s">
        <v>362</v>
      </c>
      <c r="K2" s="427"/>
      <c r="L2" s="367" t="s">
        <v>424</v>
      </c>
      <c r="M2" s="368"/>
    </row>
    <row r="3" spans="2:13" ht="29" x14ac:dyDescent="0.35">
      <c r="B3" s="40" t="s">
        <v>73</v>
      </c>
      <c r="C3" s="429">
        <f>'Application rates'!D35</f>
        <v>30.589873417721517</v>
      </c>
      <c r="D3" s="48" t="s">
        <v>74</v>
      </c>
      <c r="E3" s="41"/>
      <c r="F3" s="220"/>
      <c r="G3" s="222"/>
      <c r="J3" s="210" t="s">
        <v>448</v>
      </c>
      <c r="K3" s="211">
        <f>(65+60)/2</f>
        <v>62.5</v>
      </c>
      <c r="L3" s="208" t="s">
        <v>446</v>
      </c>
      <c r="M3" s="209"/>
    </row>
    <row r="4" spans="2:13" ht="29" x14ac:dyDescent="0.35">
      <c r="B4" s="42" t="s">
        <v>75</v>
      </c>
      <c r="C4" s="150">
        <f>'2017 Detailed commodity stats'!O50</f>
        <v>1441.3929556705689</v>
      </c>
      <c r="D4" s="12" t="s">
        <v>76</v>
      </c>
      <c r="E4" s="49"/>
      <c r="F4" s="220"/>
      <c r="G4" s="222"/>
      <c r="J4" s="210" t="s">
        <v>450</v>
      </c>
      <c r="K4" s="211">
        <v>0.04</v>
      </c>
      <c r="L4" s="208"/>
      <c r="M4" s="209"/>
    </row>
    <row r="5" spans="2:13" x14ac:dyDescent="0.35">
      <c r="B5" s="42"/>
      <c r="C5" s="137" t="s">
        <v>417</v>
      </c>
      <c r="D5" s="137" t="s">
        <v>418</v>
      </c>
      <c r="E5" s="49"/>
      <c r="F5" s="220"/>
      <c r="G5" s="222"/>
      <c r="J5" s="42" t="s">
        <v>447</v>
      </c>
      <c r="K5" s="9">
        <f>K3*K4*1000000</f>
        <v>2500000</v>
      </c>
      <c r="L5" s="9" t="s">
        <v>7</v>
      </c>
      <c r="M5" s="49"/>
    </row>
    <row r="6" spans="2:13" x14ac:dyDescent="0.35">
      <c r="B6" s="42" t="s">
        <v>72</v>
      </c>
      <c r="C6" s="9">
        <f>K9</f>
        <v>20000</v>
      </c>
      <c r="D6" s="9">
        <f>L9</f>
        <v>575000</v>
      </c>
      <c r="E6" s="49" t="s">
        <v>7</v>
      </c>
      <c r="F6" s="220"/>
      <c r="G6" s="222"/>
      <c r="J6" s="42"/>
      <c r="K6" s="15" t="s">
        <v>357</v>
      </c>
      <c r="L6" s="15" t="s">
        <v>356</v>
      </c>
      <c r="M6" s="49"/>
    </row>
    <row r="7" spans="2:13" x14ac:dyDescent="0.35">
      <c r="B7" s="42" t="s">
        <v>77</v>
      </c>
      <c r="C7" s="161">
        <f>C6/C3</f>
        <v>653.8111396176447</v>
      </c>
      <c r="D7" s="161">
        <f>D6/C3</f>
        <v>18797.070264007285</v>
      </c>
      <c r="E7" s="49"/>
      <c r="F7" s="220"/>
      <c r="G7" s="222"/>
      <c r="J7" s="42"/>
      <c r="K7" s="9"/>
      <c r="L7" s="9"/>
      <c r="M7" s="49"/>
    </row>
    <row r="8" spans="2:13" ht="15" thickBot="1" x14ac:dyDescent="0.4">
      <c r="B8" s="45" t="s">
        <v>78</v>
      </c>
      <c r="C8" s="428">
        <f>C7/C4</f>
        <v>0.45359673574474829</v>
      </c>
      <c r="D8" s="428">
        <f>D7/C4</f>
        <v>13.040906152661513</v>
      </c>
      <c r="E8" s="51"/>
      <c r="F8" s="223"/>
      <c r="G8" s="225"/>
      <c r="J8" s="42" t="s">
        <v>359</v>
      </c>
      <c r="K8" s="9">
        <v>8.0000000000000002E-3</v>
      </c>
      <c r="L8" s="9">
        <v>0.23</v>
      </c>
      <c r="M8" s="49" t="s">
        <v>360</v>
      </c>
    </row>
    <row r="9" spans="2:13" ht="15" thickBot="1" x14ac:dyDescent="0.4">
      <c r="J9" s="45" t="s">
        <v>358</v>
      </c>
      <c r="K9" s="151">
        <f>K5*K8</f>
        <v>20000</v>
      </c>
      <c r="L9" s="151">
        <f>K5*L8</f>
        <v>575000</v>
      </c>
      <c r="M9" s="51" t="s">
        <v>361</v>
      </c>
    </row>
    <row r="11" spans="2:13" ht="15" thickBot="1" x14ac:dyDescent="0.4"/>
    <row r="12" spans="2:13" ht="42.5" customHeight="1" thickBot="1" x14ac:dyDescent="0.55000000000000004">
      <c r="B12" s="369" t="s">
        <v>370</v>
      </c>
      <c r="C12" s="370"/>
      <c r="D12" s="370"/>
      <c r="E12" s="371"/>
      <c r="F12" s="335" t="s">
        <v>364</v>
      </c>
      <c r="G12" s="336"/>
    </row>
    <row r="13" spans="2:13" x14ac:dyDescent="0.35">
      <c r="B13" s="40" t="s">
        <v>73</v>
      </c>
      <c r="C13" s="429">
        <f>'Application rates'!D36</f>
        <v>96.666175726836599</v>
      </c>
      <c r="D13" s="48" t="s">
        <v>74</v>
      </c>
      <c r="E13" s="41"/>
      <c r="F13" s="220"/>
      <c r="G13" s="222"/>
    </row>
    <row r="14" spans="2:13" ht="21" x14ac:dyDescent="0.5">
      <c r="B14" s="42" t="s">
        <v>75</v>
      </c>
      <c r="C14" s="150">
        <f>'2017 Detailed commodity stats'!O50</f>
        <v>1441.3929556705689</v>
      </c>
      <c r="D14" s="12" t="s">
        <v>76</v>
      </c>
      <c r="E14" s="49"/>
      <c r="F14" s="220"/>
      <c r="G14" s="222"/>
      <c r="J14" s="147"/>
      <c r="K14" s="9"/>
    </row>
    <row r="15" spans="2:13" x14ac:dyDescent="0.35">
      <c r="B15" s="42"/>
      <c r="C15" s="137" t="s">
        <v>417</v>
      </c>
      <c r="D15" s="137" t="s">
        <v>418</v>
      </c>
      <c r="E15" s="49"/>
      <c r="F15" s="220"/>
      <c r="G15" s="222"/>
      <c r="J15" s="15"/>
      <c r="K15" s="15"/>
    </row>
    <row r="16" spans="2:13" x14ac:dyDescent="0.35">
      <c r="B16" s="42" t="s">
        <v>72</v>
      </c>
      <c r="C16" s="9">
        <f>K9</f>
        <v>20000</v>
      </c>
      <c r="D16" s="9">
        <f>L9</f>
        <v>575000</v>
      </c>
      <c r="E16" s="49" t="s">
        <v>7</v>
      </c>
      <c r="F16" s="220"/>
      <c r="G16" s="222"/>
      <c r="J16" s="9"/>
      <c r="K16" s="9"/>
    </row>
    <row r="17" spans="2:11" x14ac:dyDescent="0.35">
      <c r="B17" s="42" t="s">
        <v>77</v>
      </c>
      <c r="C17" s="102">
        <f>C16/C13</f>
        <v>206.89760249248769</v>
      </c>
      <c r="D17" s="102">
        <f>D16/C13</f>
        <v>5948.3060716590207</v>
      </c>
      <c r="E17" s="49" t="s">
        <v>76</v>
      </c>
      <c r="F17" s="220"/>
      <c r="G17" s="222"/>
      <c r="J17" s="143"/>
      <c r="K17" s="9"/>
    </row>
    <row r="18" spans="2:11" ht="15" thickBot="1" x14ac:dyDescent="0.4">
      <c r="B18" s="45" t="s">
        <v>78</v>
      </c>
      <c r="C18" s="428">
        <f>C17/C14</f>
        <v>0.14354003998599688</v>
      </c>
      <c r="D18" s="428">
        <f>D17/C14</f>
        <v>4.1267761495974105</v>
      </c>
      <c r="E18" s="51"/>
      <c r="F18" s="223"/>
      <c r="G18" s="225"/>
      <c r="J18" s="143"/>
      <c r="K18" s="9"/>
    </row>
    <row r="19" spans="2:11" x14ac:dyDescent="0.35">
      <c r="J19" s="143"/>
      <c r="K19" s="9"/>
    </row>
    <row r="20" spans="2:11" x14ac:dyDescent="0.35">
      <c r="J20" s="143"/>
      <c r="K20" s="9"/>
    </row>
    <row r="21" spans="2:11" x14ac:dyDescent="0.35">
      <c r="J21" s="143"/>
      <c r="K21" s="9"/>
    </row>
    <row r="22" spans="2:11" x14ac:dyDescent="0.35">
      <c r="J22" s="148"/>
      <c r="K22" s="9"/>
    </row>
  </sheetData>
  <mergeCells count="6">
    <mergeCell ref="F2:G8"/>
    <mergeCell ref="J2:K2"/>
    <mergeCell ref="L2:M2"/>
    <mergeCell ref="F12:G18"/>
    <mergeCell ref="B2:E2"/>
    <mergeCell ref="B12:E12"/>
  </mergeCells>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02271-8CAD-4714-AF54-76CE8F28C997}">
  <dimension ref="B1:P25"/>
  <sheetViews>
    <sheetView workbookViewId="0">
      <selection activeCell="P12" sqref="P12"/>
    </sheetView>
  </sheetViews>
  <sheetFormatPr defaultRowHeight="14.5" x14ac:dyDescent="0.35"/>
  <cols>
    <col min="4" max="4" width="11.26953125" bestFit="1" customWidth="1"/>
    <col min="9" max="9" width="11.90625" customWidth="1"/>
    <col min="13" max="13" width="11.26953125" bestFit="1" customWidth="1"/>
  </cols>
  <sheetData>
    <row r="1" spans="2:16" ht="15" thickBot="1" x14ac:dyDescent="0.4"/>
    <row r="2" spans="2:16" ht="14.5" customHeight="1" x14ac:dyDescent="0.35">
      <c r="B2" s="241" t="s">
        <v>419</v>
      </c>
      <c r="C2" s="242"/>
      <c r="D2" s="242"/>
      <c r="E2" s="242"/>
      <c r="F2" s="242"/>
      <c r="G2" s="242"/>
      <c r="H2" s="243"/>
      <c r="I2" s="372" t="s">
        <v>441</v>
      </c>
      <c r="K2" s="52" t="s">
        <v>380</v>
      </c>
      <c r="L2" s="155" t="s">
        <v>383</v>
      </c>
      <c r="M2" s="301" t="s">
        <v>416</v>
      </c>
      <c r="N2" s="336"/>
    </row>
    <row r="3" spans="2:16" ht="15" customHeight="1" thickBot="1" x14ac:dyDescent="0.4">
      <c r="B3" s="244"/>
      <c r="C3" s="245"/>
      <c r="D3" s="245"/>
      <c r="E3" s="245"/>
      <c r="F3" s="245"/>
      <c r="G3" s="245"/>
      <c r="H3" s="246"/>
      <c r="I3" s="373"/>
      <c r="K3" s="153">
        <v>42917</v>
      </c>
      <c r="L3" s="49">
        <v>103.2</v>
      </c>
      <c r="M3" s="220"/>
      <c r="N3" s="222"/>
    </row>
    <row r="4" spans="2:16" x14ac:dyDescent="0.35">
      <c r="B4" s="52" t="s">
        <v>436</v>
      </c>
      <c r="C4" s="48"/>
      <c r="D4" s="48"/>
      <c r="E4" s="48"/>
      <c r="F4" s="48"/>
      <c r="G4" s="48"/>
      <c r="H4" s="41"/>
      <c r="I4" s="373"/>
      <c r="K4" s="153">
        <v>43282</v>
      </c>
      <c r="L4" s="49">
        <v>108.5</v>
      </c>
      <c r="M4" s="220"/>
      <c r="N4" s="222"/>
    </row>
    <row r="5" spans="2:16" x14ac:dyDescent="0.35">
      <c r="B5" s="42" t="s">
        <v>442</v>
      </c>
      <c r="C5" s="9">
        <f>'Transport &amp; mass balance'!AB12</f>
        <v>0.64</v>
      </c>
      <c r="D5" s="9">
        <f>(C5+E5)/2</f>
        <v>0.96</v>
      </c>
      <c r="E5" s="9">
        <f>'Transport &amp; mass balance'!C6</f>
        <v>1.28</v>
      </c>
      <c r="F5" s="9"/>
      <c r="G5" s="9"/>
      <c r="H5" s="49"/>
      <c r="I5" s="373"/>
      <c r="J5" s="202"/>
      <c r="K5" s="153">
        <v>43647</v>
      </c>
      <c r="L5" s="49">
        <v>112.8</v>
      </c>
      <c r="M5" s="220"/>
      <c r="N5" s="222"/>
    </row>
    <row r="6" spans="2:16" x14ac:dyDescent="0.35">
      <c r="B6" s="42" t="s">
        <v>436</v>
      </c>
      <c r="C6" s="205">
        <v>1</v>
      </c>
      <c r="D6" s="205">
        <v>0.75</v>
      </c>
      <c r="E6" s="205">
        <v>0.5</v>
      </c>
      <c r="F6" s="9"/>
      <c r="G6" s="9"/>
      <c r="H6" s="49"/>
      <c r="I6" s="373"/>
      <c r="J6" s="202"/>
      <c r="K6" s="153">
        <v>44013</v>
      </c>
      <c r="L6" s="49">
        <v>116.4</v>
      </c>
      <c r="M6" s="220"/>
      <c r="N6" s="222"/>
      <c r="P6" s="136"/>
    </row>
    <row r="7" spans="2:16" ht="15" thickBot="1" x14ac:dyDescent="0.4">
      <c r="B7" s="42" t="s">
        <v>432</v>
      </c>
      <c r="C7" s="9">
        <f>C6/$E6*100-100</f>
        <v>100</v>
      </c>
      <c r="D7" s="9">
        <f>D6/$E6*100-100</f>
        <v>50</v>
      </c>
      <c r="E7" s="9">
        <f>E6/$E6*100-100</f>
        <v>0</v>
      </c>
      <c r="F7" s="9"/>
      <c r="G7" s="9"/>
      <c r="H7" s="49"/>
      <c r="I7" s="373"/>
      <c r="J7" s="202"/>
      <c r="K7" s="154">
        <v>44228</v>
      </c>
      <c r="L7" s="51">
        <v>118.5</v>
      </c>
      <c r="M7" s="223"/>
      <c r="N7" s="225"/>
    </row>
    <row r="8" spans="2:16" ht="15" thickBot="1" x14ac:dyDescent="0.4">
      <c r="B8" s="42" t="s">
        <v>438</v>
      </c>
      <c r="C8" s="202">
        <f>$M$12/($M$13)/(1-$M$14)*C$5</f>
        <v>72.783944076676974</v>
      </c>
      <c r="D8" s="202">
        <f>$M$12/($M$13)/(1-$M$14)*D$5</f>
        <v>109.17591611501545</v>
      </c>
      <c r="E8" s="202">
        <f>$M$12/($M$13)/(1-$M$14)*E$5</f>
        <v>145.56788815335395</v>
      </c>
      <c r="F8" s="12"/>
      <c r="G8" s="9"/>
      <c r="H8" s="49"/>
      <c r="I8" s="373"/>
      <c r="J8" s="202"/>
    </row>
    <row r="9" spans="2:16" ht="21" customHeight="1" thickBot="1" x14ac:dyDescent="0.4">
      <c r="B9" s="42" t="s">
        <v>434</v>
      </c>
      <c r="C9" s="202">
        <f>C8/$E$8*100-100</f>
        <v>-50</v>
      </c>
      <c r="D9" s="202">
        <f t="shared" ref="D9:E9" si="0">D8/$E$8*100-100</f>
        <v>-25</v>
      </c>
      <c r="E9" s="202">
        <f t="shared" si="0"/>
        <v>0</v>
      </c>
      <c r="F9" s="12"/>
      <c r="G9" s="9"/>
      <c r="H9" s="49"/>
      <c r="I9" s="373"/>
      <c r="K9" s="241" t="s">
        <v>392</v>
      </c>
      <c r="L9" s="242"/>
      <c r="M9" s="242"/>
      <c r="N9" s="243"/>
    </row>
    <row r="10" spans="2:16" ht="15" thickBot="1" x14ac:dyDescent="0.4">
      <c r="B10" s="52" t="s">
        <v>437</v>
      </c>
      <c r="C10" s="206"/>
      <c r="D10" s="206"/>
      <c r="E10" s="206"/>
      <c r="F10" s="206"/>
      <c r="G10" s="48"/>
      <c r="H10" s="41"/>
      <c r="I10" s="373"/>
      <c r="K10" s="244"/>
      <c r="L10" s="245"/>
      <c r="M10" s="245"/>
      <c r="N10" s="246"/>
    </row>
    <row r="11" spans="2:16" x14ac:dyDescent="0.35">
      <c r="B11" s="42" t="s">
        <v>440</v>
      </c>
      <c r="C11" s="202">
        <v>2.2999999999999998</v>
      </c>
      <c r="D11" s="203">
        <f>(C11+E11)/2</f>
        <v>5.33</v>
      </c>
      <c r="E11" s="202">
        <v>8.36</v>
      </c>
      <c r="F11" s="202">
        <v>15.8</v>
      </c>
      <c r="G11" s="202">
        <f>F11+F11-E11</f>
        <v>23.240000000000002</v>
      </c>
      <c r="H11" s="162">
        <f>F11*2</f>
        <v>31.6</v>
      </c>
      <c r="I11" s="373"/>
      <c r="K11" s="40" t="s">
        <v>430</v>
      </c>
      <c r="L11" s="48"/>
      <c r="M11" s="48">
        <v>1.28</v>
      </c>
      <c r="N11" s="41" t="s">
        <v>439</v>
      </c>
    </row>
    <row r="12" spans="2:16" ht="21" customHeight="1" x14ac:dyDescent="0.35">
      <c r="B12" s="42" t="s">
        <v>433</v>
      </c>
      <c r="C12" s="150">
        <f t="shared" ref="C12:H12" si="1">(C11/$F11-1)*100</f>
        <v>-85.443037974683548</v>
      </c>
      <c r="D12" s="150">
        <f t="shared" si="1"/>
        <v>-66.265822784810126</v>
      </c>
      <c r="E12" s="150">
        <f t="shared" si="1"/>
        <v>-47.088607594936718</v>
      </c>
      <c r="F12" s="150">
        <f t="shared" si="1"/>
        <v>0</v>
      </c>
      <c r="G12" s="150">
        <f t="shared" si="1"/>
        <v>47.088607594936718</v>
      </c>
      <c r="H12" s="12">
        <f t="shared" si="1"/>
        <v>100</v>
      </c>
      <c r="I12" s="373"/>
      <c r="K12" s="42" t="s">
        <v>389</v>
      </c>
      <c r="L12" s="9" t="s">
        <v>102</v>
      </c>
      <c r="M12" s="431">
        <f>'Application rates'!D31</f>
        <v>15.273255764840183</v>
      </c>
      <c r="N12" s="49" t="s">
        <v>74</v>
      </c>
    </row>
    <row r="13" spans="2:16" x14ac:dyDescent="0.35">
      <c r="B13" s="42" t="s">
        <v>438</v>
      </c>
      <c r="C13" s="202">
        <f>$M$12/(C11*0.01)/(1-$M$14)*$M$11</f>
        <v>999.98810122738803</v>
      </c>
      <c r="D13" s="202">
        <f>$M$12/(D11*0.01)/(1-$M$14)*$M$11</f>
        <v>431.51456525759704</v>
      </c>
      <c r="E13" s="202">
        <f t="shared" ref="E13:H13" si="2">$M$12/(E11*0.01)/(1-$M$14)*$M$11</f>
        <v>275.11634363911389</v>
      </c>
      <c r="F13" s="202">
        <f t="shared" si="2"/>
        <v>145.56788815335395</v>
      </c>
      <c r="G13" s="202">
        <f t="shared" si="2"/>
        <v>98.966120173106376</v>
      </c>
      <c r="H13" s="202">
        <f t="shared" si="2"/>
        <v>72.783944076676974</v>
      </c>
      <c r="I13" s="373"/>
      <c r="K13" s="42" t="s">
        <v>387</v>
      </c>
      <c r="L13" s="9"/>
      <c r="M13" s="13">
        <v>0.158</v>
      </c>
      <c r="N13" s="49"/>
    </row>
    <row r="14" spans="2:16" ht="15" thickBot="1" x14ac:dyDescent="0.4">
      <c r="B14" s="45" t="s">
        <v>434</v>
      </c>
      <c r="C14" s="207">
        <f t="shared" ref="C14:H14" si="3">C13/$F$13*100-100</f>
        <v>586.95652173913049</v>
      </c>
      <c r="D14" s="207">
        <f t="shared" si="3"/>
        <v>196.43527204502811</v>
      </c>
      <c r="E14" s="207">
        <f t="shared" si="3"/>
        <v>88.995215311004756</v>
      </c>
      <c r="F14" s="207">
        <f t="shared" si="3"/>
        <v>0</v>
      </c>
      <c r="G14" s="207">
        <f t="shared" si="3"/>
        <v>-32.013769363166958</v>
      </c>
      <c r="H14" s="207">
        <f t="shared" si="3"/>
        <v>-50</v>
      </c>
      <c r="I14" s="373"/>
      <c r="K14" s="45" t="s">
        <v>391</v>
      </c>
      <c r="L14" s="50"/>
      <c r="M14" s="432">
        <f>'Application rates'!D33</f>
        <v>0.15</v>
      </c>
      <c r="N14" s="51" t="s">
        <v>201</v>
      </c>
    </row>
    <row r="15" spans="2:16" x14ac:dyDescent="0.35">
      <c r="B15" s="145" t="s">
        <v>443</v>
      </c>
      <c r="C15" s="12"/>
      <c r="D15" s="12"/>
      <c r="E15" s="12"/>
      <c r="F15" s="12"/>
      <c r="G15" s="9"/>
      <c r="H15" s="49"/>
      <c r="I15" s="373"/>
      <c r="J15" s="202"/>
    </row>
    <row r="16" spans="2:16" ht="14.5" customHeight="1" x14ac:dyDescent="0.5">
      <c r="B16" s="42" t="s">
        <v>431</v>
      </c>
      <c r="C16" s="430">
        <f>'Application rates'!D30</f>
        <v>4.8331999999999997</v>
      </c>
      <c r="D16" s="430">
        <f>'Application rates'!D31</f>
        <v>15.273255764840183</v>
      </c>
      <c r="E16" s="150">
        <f>D16*2</f>
        <v>30.546511529680366</v>
      </c>
      <c r="F16" s="12"/>
      <c r="G16" s="9"/>
      <c r="H16" s="49"/>
      <c r="I16" s="373"/>
      <c r="J16" s="202"/>
      <c r="K16" s="204"/>
      <c r="L16" s="106"/>
      <c r="M16" s="106"/>
      <c r="N16" s="106"/>
    </row>
    <row r="17" spans="2:14" x14ac:dyDescent="0.35">
      <c r="B17" s="42" t="s">
        <v>433</v>
      </c>
      <c r="C17" s="150">
        <f>(C16/$D16-1)*100</f>
        <v>-68.35514264662369</v>
      </c>
      <c r="D17" s="12">
        <f t="shared" ref="D17:E17" si="4">(D16/$D16-1)*100</f>
        <v>0</v>
      </c>
      <c r="E17" s="12">
        <f t="shared" si="4"/>
        <v>100</v>
      </c>
      <c r="F17" s="12"/>
      <c r="G17" s="9"/>
      <c r="H17" s="49"/>
      <c r="I17" s="373"/>
      <c r="J17" s="202"/>
      <c r="K17" s="106"/>
      <c r="L17" s="106"/>
      <c r="M17" s="106"/>
      <c r="N17" s="106"/>
    </row>
    <row r="18" spans="2:14" x14ac:dyDescent="0.35">
      <c r="B18" s="42" t="s">
        <v>438</v>
      </c>
      <c r="C18" s="202">
        <f>C16/($M$13)/(1-$M$14)*$M$11</f>
        <v>46.064750558451223</v>
      </c>
      <c r="D18" s="202">
        <f>D16/($M$13)/(1-$M$14)*$M$11</f>
        <v>145.56788815335395</v>
      </c>
      <c r="E18" s="202">
        <f>E16/($M$13)/(1-$M$14)*$M$11</f>
        <v>291.1357763067079</v>
      </c>
      <c r="F18" s="12"/>
      <c r="G18" s="9"/>
      <c r="H18" s="49"/>
      <c r="I18" s="373"/>
      <c r="K18" s="9"/>
      <c r="L18" s="9"/>
      <c r="M18" s="9"/>
      <c r="N18" s="9"/>
    </row>
    <row r="19" spans="2:14" ht="15" thickBot="1" x14ac:dyDescent="0.4">
      <c r="B19" s="45" t="s">
        <v>434</v>
      </c>
      <c r="C19" s="164">
        <f>C18/$D$18*100-100</f>
        <v>-68.35514264662369</v>
      </c>
      <c r="D19" s="164">
        <f t="shared" ref="D19:E19" si="5">D18/$D$18*100-100</f>
        <v>0</v>
      </c>
      <c r="E19" s="164">
        <f t="shared" si="5"/>
        <v>100</v>
      </c>
      <c r="F19" s="50"/>
      <c r="G19" s="50"/>
      <c r="H19" s="51"/>
      <c r="I19" s="374"/>
      <c r="K19" s="9"/>
      <c r="L19" s="9"/>
      <c r="M19" s="9"/>
      <c r="N19" s="9"/>
    </row>
    <row r="20" spans="2:14" x14ac:dyDescent="0.35">
      <c r="B20" s="52" t="s">
        <v>430</v>
      </c>
      <c r="C20" s="48"/>
      <c r="D20" s="48"/>
      <c r="E20" s="48"/>
      <c r="F20" s="48"/>
      <c r="G20" s="48"/>
      <c r="H20" s="41"/>
    </row>
    <row r="21" spans="2:14" x14ac:dyDescent="0.35">
      <c r="B21" s="98" t="s">
        <v>430</v>
      </c>
      <c r="C21" s="161">
        <v>1.17</v>
      </c>
      <c r="D21" s="161">
        <f>E21/L5*L4</f>
        <v>1.2312056737588652</v>
      </c>
      <c r="E21" s="161">
        <f>M11</f>
        <v>1.28</v>
      </c>
      <c r="F21" s="161">
        <f>E21/L5*L7</f>
        <v>1.34468085106383</v>
      </c>
      <c r="G21" s="161">
        <f>F21+F21-E21</f>
        <v>1.4093617021276599</v>
      </c>
      <c r="H21" s="49"/>
    </row>
    <row r="22" spans="2:14" x14ac:dyDescent="0.35">
      <c r="B22" s="98" t="s">
        <v>433</v>
      </c>
      <c r="C22" s="161">
        <f>(C21/$E$21-1)*100</f>
        <v>-8.5937500000000107</v>
      </c>
      <c r="D22" s="161">
        <f t="shared" ref="D22:G22" si="6">(D21/$E$21-1)*100</f>
        <v>-3.8120567375886538</v>
      </c>
      <c r="E22" s="161">
        <f t="shared" si="6"/>
        <v>0</v>
      </c>
      <c r="F22" s="161">
        <f t="shared" si="6"/>
        <v>5.0531914893617191</v>
      </c>
      <c r="G22" s="161">
        <f t="shared" si="6"/>
        <v>10.106382978723417</v>
      </c>
      <c r="H22" s="49"/>
    </row>
    <row r="23" spans="2:14" x14ac:dyDescent="0.35">
      <c r="B23" s="98" t="s">
        <v>438</v>
      </c>
      <c r="C23" s="202">
        <f>$M$12/($M$13)/(1-$M$14)*C21</f>
        <v>133.05814776517508</v>
      </c>
      <c r="D23" s="202">
        <f t="shared" ref="D23:G23" si="7">$M$12/($M$13)/(1-$M$14)*D21</f>
        <v>140.0187576652385</v>
      </c>
      <c r="E23" s="202">
        <f t="shared" si="7"/>
        <v>145.56788815335395</v>
      </c>
      <c r="F23" s="202">
        <f t="shared" si="7"/>
        <v>152.9237122887628</v>
      </c>
      <c r="G23" s="202">
        <f t="shared" si="7"/>
        <v>160.27953642417165</v>
      </c>
      <c r="H23" s="49"/>
    </row>
    <row r="24" spans="2:14" x14ac:dyDescent="0.35">
      <c r="B24" s="98" t="s">
        <v>434</v>
      </c>
      <c r="C24" s="161">
        <f>(C23/$E23-1)*100</f>
        <v>-8.5937500000000107</v>
      </c>
      <c r="D24" s="161">
        <f t="shared" ref="D24:G24" si="8">(D23/$E23-1)*100</f>
        <v>-3.8120567375886538</v>
      </c>
      <c r="E24" s="161">
        <f t="shared" si="8"/>
        <v>0</v>
      </c>
      <c r="F24" s="161">
        <f t="shared" si="8"/>
        <v>5.0531914893617191</v>
      </c>
      <c r="G24" s="161">
        <f t="shared" si="8"/>
        <v>10.106382978723417</v>
      </c>
      <c r="H24" s="49"/>
    </row>
    <row r="25" spans="2:14" ht="15" thickBot="1" x14ac:dyDescent="0.4">
      <c r="B25" s="45"/>
      <c r="C25" s="50"/>
      <c r="D25" s="50"/>
      <c r="E25" s="50"/>
      <c r="F25" s="50"/>
      <c r="G25" s="50"/>
      <c r="H25" s="51"/>
    </row>
  </sheetData>
  <mergeCells count="4">
    <mergeCell ref="K9:N10"/>
    <mergeCell ref="M2:N7"/>
    <mergeCell ref="I2:I19"/>
    <mergeCell ref="B2:H3"/>
  </mergeCells>
  <pageMargins left="0.7" right="0.7" top="0.75" bottom="0.75" header="0.3" footer="0.3"/>
  <pageSetup paperSize="9" orientation="portrait" verticalDpi="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F3A12-592D-4195-B745-FCCDE5351848}">
  <dimension ref="B1:S19"/>
  <sheetViews>
    <sheetView workbookViewId="0">
      <selection activeCell="P22" sqref="P22"/>
    </sheetView>
  </sheetViews>
  <sheetFormatPr defaultRowHeight="14.5" x14ac:dyDescent="0.35"/>
  <cols>
    <col min="3" max="3" width="17.36328125" bestFit="1" customWidth="1"/>
    <col min="16" max="16" width="11.26953125" bestFit="1" customWidth="1"/>
  </cols>
  <sheetData>
    <row r="1" spans="2:19" ht="21.5" thickBot="1" x14ac:dyDescent="0.55000000000000004">
      <c r="B1" s="37"/>
      <c r="C1" s="37"/>
    </row>
    <row r="2" spans="2:19" ht="14.5" customHeight="1" x14ac:dyDescent="0.35">
      <c r="B2" s="241" t="s">
        <v>395</v>
      </c>
      <c r="C2" s="242"/>
      <c r="D2" s="243"/>
      <c r="E2" s="387" t="s">
        <v>376</v>
      </c>
      <c r="F2" s="388"/>
      <c r="G2" s="389"/>
      <c r="H2" s="387" t="s">
        <v>377</v>
      </c>
      <c r="I2" s="388"/>
      <c r="J2" s="389"/>
      <c r="K2" s="335" t="s">
        <v>422</v>
      </c>
      <c r="L2" s="336"/>
      <c r="N2" s="52" t="s">
        <v>380</v>
      </c>
      <c r="O2" s="155" t="s">
        <v>383</v>
      </c>
      <c r="P2" s="301" t="s">
        <v>416</v>
      </c>
      <c r="Q2" s="336"/>
    </row>
    <row r="3" spans="2:19" x14ac:dyDescent="0.35">
      <c r="B3" s="378"/>
      <c r="C3" s="379"/>
      <c r="D3" s="380"/>
      <c r="E3" s="42" t="s">
        <v>394</v>
      </c>
      <c r="F3" s="9" t="s">
        <v>375</v>
      </c>
      <c r="G3" s="49" t="s">
        <v>381</v>
      </c>
      <c r="H3" s="42" t="s">
        <v>379</v>
      </c>
      <c r="I3" s="9" t="s">
        <v>378</v>
      </c>
      <c r="J3" s="49" t="s">
        <v>382</v>
      </c>
      <c r="K3" s="220"/>
      <c r="L3" s="222"/>
      <c r="N3" s="153">
        <v>42917</v>
      </c>
      <c r="O3" s="49">
        <v>103.2</v>
      </c>
      <c r="P3" s="220"/>
      <c r="Q3" s="222"/>
    </row>
    <row r="4" spans="2:19" x14ac:dyDescent="0.35">
      <c r="B4" s="378"/>
      <c r="C4" s="379"/>
      <c r="D4" s="380"/>
      <c r="E4" s="157">
        <f>'Transport &amp; mass balance'!AB11</f>
        <v>0.46927868852459015</v>
      </c>
      <c r="F4" s="15">
        <f>'Transport &amp; mass balance'!AB12</f>
        <v>0.64</v>
      </c>
      <c r="G4" s="146">
        <f>F4*O7/O5</f>
        <v>0.67234042553191498</v>
      </c>
      <c r="H4" s="145">
        <v>1.17</v>
      </c>
      <c r="I4" s="156">
        <f>'Transport &amp; mass balance'!C6</f>
        <v>1.28</v>
      </c>
      <c r="J4" s="159">
        <f>I4*O7/O5</f>
        <v>1.34468085106383</v>
      </c>
      <c r="K4" s="220"/>
      <c r="L4" s="222"/>
      <c r="N4" s="153">
        <v>43282</v>
      </c>
      <c r="O4" s="49">
        <v>108.5</v>
      </c>
      <c r="P4" s="220"/>
      <c r="Q4" s="222"/>
    </row>
    <row r="5" spans="2:19" ht="16.5" x14ac:dyDescent="0.35">
      <c r="B5" s="375" t="s">
        <v>371</v>
      </c>
      <c r="C5" s="158" t="s">
        <v>385</v>
      </c>
      <c r="D5" s="433">
        <v>2.2999999999999998</v>
      </c>
      <c r="E5" s="160">
        <f t="shared" ref="E5:J8" si="0">$P$11/($D5/100)/(1-$P$14)*E$4/$P$18</f>
        <v>2.5185473093371349</v>
      </c>
      <c r="F5" s="161">
        <f t="shared" si="0"/>
        <v>3.4347826086956528</v>
      </c>
      <c r="G5" s="162">
        <f t="shared" si="0"/>
        <v>3.6083487511563375</v>
      </c>
      <c r="H5" s="160">
        <f t="shared" si="0"/>
        <v>6.2792119565217392</v>
      </c>
      <c r="I5" s="161">
        <f t="shared" si="0"/>
        <v>6.8695652173913055</v>
      </c>
      <c r="J5" s="162">
        <f t="shared" si="0"/>
        <v>7.2166975023126749</v>
      </c>
      <c r="K5" s="220"/>
      <c r="L5" s="222"/>
      <c r="N5" s="153">
        <v>43647</v>
      </c>
      <c r="O5" s="49">
        <v>112.8</v>
      </c>
      <c r="P5" s="220"/>
      <c r="Q5" s="222"/>
    </row>
    <row r="6" spans="2:19" ht="29" x14ac:dyDescent="0.35">
      <c r="B6" s="375"/>
      <c r="C6" s="130" t="s">
        <v>386</v>
      </c>
      <c r="D6" s="433">
        <v>8.36</v>
      </c>
      <c r="E6" s="160">
        <f t="shared" si="0"/>
        <v>0.69290177170758493</v>
      </c>
      <c r="F6" s="161">
        <f t="shared" si="0"/>
        <v>0.94497607655502402</v>
      </c>
      <c r="G6" s="162">
        <f t="shared" si="0"/>
        <v>0.99272752723200686</v>
      </c>
      <c r="H6" s="160">
        <f t="shared" si="0"/>
        <v>1.7275343899521534</v>
      </c>
      <c r="I6" s="161">
        <f t="shared" si="0"/>
        <v>1.889952153110048</v>
      </c>
      <c r="J6" s="162">
        <f t="shared" si="0"/>
        <v>1.9854550544640137</v>
      </c>
      <c r="K6" s="220"/>
      <c r="L6" s="222"/>
      <c r="N6" s="153">
        <v>44013</v>
      </c>
      <c r="O6" s="49">
        <v>116.4</v>
      </c>
      <c r="P6" s="220"/>
      <c r="Q6" s="222"/>
      <c r="S6" s="136"/>
    </row>
    <row r="7" spans="2:19" ht="29.5" thickBot="1" x14ac:dyDescent="0.4">
      <c r="B7" s="375"/>
      <c r="C7" s="130" t="s">
        <v>387</v>
      </c>
      <c r="D7" s="434">
        <v>15.8</v>
      </c>
      <c r="E7" s="160">
        <f t="shared" si="0"/>
        <v>0.3666239754098361</v>
      </c>
      <c r="F7" s="161">
        <f t="shared" si="0"/>
        <v>0.5</v>
      </c>
      <c r="G7" s="162">
        <f t="shared" si="0"/>
        <v>0.5252659574468086</v>
      </c>
      <c r="H7" s="160">
        <f t="shared" si="0"/>
        <v>0.9140625</v>
      </c>
      <c r="I7" s="161">
        <f t="shared" si="0"/>
        <v>1</v>
      </c>
      <c r="J7" s="162">
        <f t="shared" si="0"/>
        <v>1.0505319148936172</v>
      </c>
      <c r="K7" s="220"/>
      <c r="L7" s="222"/>
      <c r="N7" s="154">
        <v>44228</v>
      </c>
      <c r="O7" s="51">
        <v>118.5</v>
      </c>
      <c r="P7" s="223"/>
      <c r="Q7" s="225"/>
    </row>
    <row r="8" spans="2:19" ht="29.5" thickBot="1" x14ac:dyDescent="0.4">
      <c r="B8" s="376"/>
      <c r="C8" s="131" t="s">
        <v>388</v>
      </c>
      <c r="D8" s="435">
        <f>D7+D7-D6</f>
        <v>23.240000000000002</v>
      </c>
      <c r="E8" s="163">
        <f t="shared" si="0"/>
        <v>0.24925382149205724</v>
      </c>
      <c r="F8" s="164">
        <f t="shared" si="0"/>
        <v>0.33993115318416528</v>
      </c>
      <c r="G8" s="165">
        <f t="shared" si="0"/>
        <v>0.35710852528655662</v>
      </c>
      <c r="H8" s="163">
        <f t="shared" si="0"/>
        <v>0.62143663941480209</v>
      </c>
      <c r="I8" s="164">
        <f t="shared" si="0"/>
        <v>0.67986230636833056</v>
      </c>
      <c r="J8" s="165">
        <f t="shared" si="0"/>
        <v>0.71421705057311324</v>
      </c>
      <c r="K8" s="223"/>
      <c r="L8" s="225"/>
    </row>
    <row r="9" spans="2:19" ht="21" customHeight="1" x14ac:dyDescent="0.35">
      <c r="N9" s="241" t="s">
        <v>392</v>
      </c>
      <c r="O9" s="242"/>
      <c r="P9" s="242"/>
      <c r="Q9" s="243"/>
    </row>
    <row r="10" spans="2:19" ht="21" customHeight="1" thickBot="1" x14ac:dyDescent="0.4">
      <c r="N10" s="244"/>
      <c r="O10" s="245"/>
      <c r="P10" s="245"/>
      <c r="Q10" s="246"/>
    </row>
    <row r="11" spans="2:19" ht="21.5" thickBot="1" x14ac:dyDescent="0.55000000000000004">
      <c r="C11" s="37"/>
      <c r="N11" s="42" t="s">
        <v>389</v>
      </c>
      <c r="O11" s="9" t="s">
        <v>196</v>
      </c>
      <c r="P11" s="102">
        <f>'Application rates'!D30</f>
        <v>4.8331999999999997</v>
      </c>
      <c r="Q11" s="49" t="s">
        <v>74</v>
      </c>
    </row>
    <row r="12" spans="2:19" ht="21" customHeight="1" x14ac:dyDescent="0.35">
      <c r="B12" s="381" t="s">
        <v>396</v>
      </c>
      <c r="C12" s="382"/>
      <c r="D12" s="383"/>
      <c r="E12" s="387" t="s">
        <v>376</v>
      </c>
      <c r="F12" s="388"/>
      <c r="G12" s="389"/>
      <c r="H12" s="387" t="s">
        <v>377</v>
      </c>
      <c r="I12" s="388"/>
      <c r="J12" s="389"/>
      <c r="K12" s="335" t="s">
        <v>423</v>
      </c>
      <c r="L12" s="336"/>
      <c r="N12" s="42"/>
      <c r="O12" s="9" t="s">
        <v>102</v>
      </c>
      <c r="P12" s="437">
        <f>'Application rates'!D31</f>
        <v>15.273255764840183</v>
      </c>
      <c r="Q12" s="49" t="s">
        <v>74</v>
      </c>
    </row>
    <row r="13" spans="2:19" x14ac:dyDescent="0.35">
      <c r="B13" s="384"/>
      <c r="C13" s="385"/>
      <c r="D13" s="386"/>
      <c r="E13" s="42" t="s">
        <v>374</v>
      </c>
      <c r="F13" s="9" t="s">
        <v>375</v>
      </c>
      <c r="G13" s="49" t="s">
        <v>381</v>
      </c>
      <c r="H13" s="42" t="s">
        <v>379</v>
      </c>
      <c r="I13" s="9" t="s">
        <v>378</v>
      </c>
      <c r="J13" s="49" t="s">
        <v>382</v>
      </c>
      <c r="K13" s="220"/>
      <c r="L13" s="222"/>
      <c r="N13" s="42" t="s">
        <v>387</v>
      </c>
      <c r="P13" s="13">
        <v>0.158</v>
      </c>
      <c r="Q13" s="49"/>
    </row>
    <row r="14" spans="2:19" ht="15" thickBot="1" x14ac:dyDescent="0.4">
      <c r="B14" s="384"/>
      <c r="C14" s="385"/>
      <c r="D14" s="386"/>
      <c r="E14" s="157">
        <f>'Transport &amp; mass balance'!AB11</f>
        <v>0.46927868852459015</v>
      </c>
      <c r="F14" s="15">
        <f>'Transport &amp; mass balance'!AB12</f>
        <v>0.64</v>
      </c>
      <c r="G14" s="146">
        <f>F14*O7/O5</f>
        <v>0.67234042553191498</v>
      </c>
      <c r="H14" s="145">
        <v>1.17</v>
      </c>
      <c r="I14" s="156">
        <f>'Transport &amp; mass balance'!C6</f>
        <v>1.28</v>
      </c>
      <c r="J14" s="159">
        <f>I14*O7/O5</f>
        <v>1.34468085106383</v>
      </c>
      <c r="K14" s="220"/>
      <c r="L14" s="222"/>
      <c r="N14" s="45" t="s">
        <v>391</v>
      </c>
      <c r="O14" s="50"/>
      <c r="P14" s="50">
        <f>'Application rates'!D33</f>
        <v>0.15</v>
      </c>
      <c r="Q14" s="51" t="s">
        <v>201</v>
      </c>
    </row>
    <row r="15" spans="2:19" ht="29.5" customHeight="1" thickBot="1" x14ac:dyDescent="0.4">
      <c r="B15" s="377" t="s">
        <v>282</v>
      </c>
      <c r="C15" s="129" t="s">
        <v>401</v>
      </c>
      <c r="D15" s="436">
        <f>P11</f>
        <v>4.8331999999999997</v>
      </c>
      <c r="E15" s="198">
        <f>$D15/($P$13)/(1-$P$14)*E$14/$P$19</f>
        <v>0.11601763404172005</v>
      </c>
      <c r="F15" s="199">
        <f t="shared" ref="F15:J17" si="1">$D15/($P$13)/(1-$P$14)*F$14/$P$19</f>
        <v>0.15822428676688152</v>
      </c>
      <c r="G15" s="200">
        <f t="shared" si="1"/>
        <v>0.16621966295988885</v>
      </c>
      <c r="H15" s="198">
        <f t="shared" si="1"/>
        <v>0.28925377424570531</v>
      </c>
      <c r="I15" s="199">
        <f t="shared" si="1"/>
        <v>0.31644857353376304</v>
      </c>
      <c r="J15" s="200">
        <f t="shared" si="1"/>
        <v>0.33243932591977771</v>
      </c>
      <c r="K15" s="220"/>
      <c r="L15" s="222"/>
    </row>
    <row r="16" spans="2:19" ht="29" x14ac:dyDescent="0.35">
      <c r="B16" s="375"/>
      <c r="C16" s="130" t="s">
        <v>400</v>
      </c>
      <c r="D16" s="434">
        <f>P12</f>
        <v>15.273255764840183</v>
      </c>
      <c r="E16" s="160">
        <f t="shared" ref="E16:E17" si="2">$D16/($P$13)/(1-$P$14)*E$14/$P$19</f>
        <v>0.36662397540983604</v>
      </c>
      <c r="F16" s="161">
        <f t="shared" si="1"/>
        <v>0.5</v>
      </c>
      <c r="G16" s="162">
        <f t="shared" si="1"/>
        <v>0.5252659574468086</v>
      </c>
      <c r="H16" s="160">
        <f t="shared" si="1"/>
        <v>0.91406249999999989</v>
      </c>
      <c r="I16" s="161">
        <f t="shared" si="1"/>
        <v>1</v>
      </c>
      <c r="J16" s="162">
        <f t="shared" si="1"/>
        <v>1.0505319148936172</v>
      </c>
      <c r="K16" s="220"/>
      <c r="L16" s="222"/>
      <c r="N16" s="241" t="s">
        <v>393</v>
      </c>
      <c r="O16" s="247"/>
      <c r="P16" s="247"/>
      <c r="Q16" s="248"/>
    </row>
    <row r="17" spans="2:17" ht="29.5" thickBot="1" x14ac:dyDescent="0.4">
      <c r="B17" s="376"/>
      <c r="C17" s="131" t="s">
        <v>399</v>
      </c>
      <c r="D17" s="435">
        <f>'Application rates'!H21</f>
        <v>67.349134570403876</v>
      </c>
      <c r="E17" s="163">
        <f t="shared" si="2"/>
        <v>1.6166695455631206</v>
      </c>
      <c r="F17" s="164">
        <f t="shared" si="1"/>
        <v>2.2048060874304558</v>
      </c>
      <c r="G17" s="165">
        <f t="shared" si="1"/>
        <v>2.3162191609974205</v>
      </c>
      <c r="H17" s="163">
        <f t="shared" si="1"/>
        <v>4.0306611285838017</v>
      </c>
      <c r="I17" s="164">
        <f t="shared" si="1"/>
        <v>4.4096121748609116</v>
      </c>
      <c r="J17" s="165">
        <f t="shared" si="1"/>
        <v>4.6324383219948411</v>
      </c>
      <c r="K17" s="223"/>
      <c r="L17" s="225"/>
      <c r="N17" s="258"/>
      <c r="O17" s="249"/>
      <c r="P17" s="249"/>
      <c r="Q17" s="250"/>
    </row>
    <row r="18" spans="2:17" x14ac:dyDescent="0.35">
      <c r="B18" s="167"/>
      <c r="N18" s="42" t="s">
        <v>397</v>
      </c>
      <c r="O18" s="9"/>
      <c r="P18" s="102">
        <f>P11/(D7/100)/(1-P14)*I4</f>
        <v>46.064750558451223</v>
      </c>
      <c r="Q18" s="248" t="s">
        <v>435</v>
      </c>
    </row>
    <row r="19" spans="2:17" ht="15" thickBot="1" x14ac:dyDescent="0.4">
      <c r="N19" s="45" t="s">
        <v>398</v>
      </c>
      <c r="O19" s="50"/>
      <c r="P19" s="104">
        <f>D16/(P13)/(1-P14)*I14</f>
        <v>145.56788815335395</v>
      </c>
      <c r="Q19" s="250"/>
    </row>
  </sheetData>
  <mergeCells count="14">
    <mergeCell ref="Q18:Q19"/>
    <mergeCell ref="B5:B8"/>
    <mergeCell ref="N9:Q10"/>
    <mergeCell ref="N16:Q17"/>
    <mergeCell ref="B15:B17"/>
    <mergeCell ref="P2:Q7"/>
    <mergeCell ref="B2:D4"/>
    <mergeCell ref="B12:D14"/>
    <mergeCell ref="K2:L8"/>
    <mergeCell ref="K12:L17"/>
    <mergeCell ref="E2:G2"/>
    <mergeCell ref="H2:J2"/>
    <mergeCell ref="E12:G12"/>
    <mergeCell ref="H12:J12"/>
  </mergeCells>
  <conditionalFormatting sqref="E5:J8">
    <cfRule type="colorScale" priority="3">
      <colorScale>
        <cfvo type="min"/>
        <cfvo type="percentile" val="50"/>
        <cfvo type="max"/>
        <color rgb="FF63BE7B"/>
        <color rgb="FFFFEB84"/>
        <color rgb="FFF8696B"/>
      </colorScale>
    </cfRule>
  </conditionalFormatting>
  <conditionalFormatting sqref="E15:J17">
    <cfRule type="colorScale" priority="1">
      <colorScale>
        <cfvo type="min"/>
        <cfvo type="percentile" val="50"/>
        <cfvo type="max"/>
        <color rgb="FF63BE7B"/>
        <color rgb="FFFFEB84"/>
        <color rgb="FFF8696B"/>
      </colorScale>
    </cfRule>
  </conditionalFormatting>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7D17CAA950EE4D924D1965124D0307" ma:contentTypeVersion="12" ma:contentTypeDescription="Create a new document." ma:contentTypeScope="" ma:versionID="aa86fb85562cc322bf30dc6ba7280b76">
  <xsd:schema xmlns:xsd="http://www.w3.org/2001/XMLSchema" xmlns:xs="http://www.w3.org/2001/XMLSchema" xmlns:p="http://schemas.microsoft.com/office/2006/metadata/properties" xmlns:ns2="342d088f-befc-4512-a35e-849730f478ef" xmlns:ns3="1d74b71d-250a-4272-b26b-d6d60bb5357a" targetNamespace="http://schemas.microsoft.com/office/2006/metadata/properties" ma:root="true" ma:fieldsID="5b0ec5c26990940b698fff333ec66bab" ns2:_="" ns3:_="">
    <xsd:import namespace="342d088f-befc-4512-a35e-849730f478ef"/>
    <xsd:import namespace="1d74b71d-250a-4272-b26b-d6d60bb5357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2d088f-befc-4512-a35e-849730f478e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d74b71d-250a-4272-b26b-d6d60bb5357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7ACA218-6FE7-4525-9D23-0C7E904F70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2d088f-befc-4512-a35e-849730f478ef"/>
    <ds:schemaRef ds:uri="1d74b71d-250a-4272-b26b-d6d60bb535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D3DE25-7E6E-4507-B1EB-89B8F72D196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6882082-5B80-4DC8-87DB-D6B06776F9F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Introduction to this worksheet</vt:lpstr>
      <vt:lpstr>2017 Detailed commodity stats</vt:lpstr>
      <vt:lpstr>Application rates</vt:lpstr>
      <vt:lpstr>Transport &amp; mass balance</vt:lpstr>
      <vt:lpstr>Number of farms</vt:lpstr>
      <vt:lpstr>Sensitivity analysis</vt:lpstr>
      <vt:lpstr>Sensitivity analysis (alt)</vt:lpstr>
    </vt:vector>
  </TitlesOfParts>
  <Company>University of Cape Town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Helene-Marie</cp:lastModifiedBy>
  <dcterms:created xsi:type="dcterms:W3CDTF">2016-06-07T09:53:06Z</dcterms:created>
  <dcterms:modified xsi:type="dcterms:W3CDTF">2022-01-07T08:24:07Z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0x010100897D17CAA950EE4D924D1965124D0307</vt:lpwstr>
  </property>
</Properties>
</file>