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drawings/drawing2.xml" ContentType="application/vnd.openxmlformats-officedocument.drawing+xml"/>
  <Override PartName="/xl/charts/chart7.xml" ContentType="application/vnd.openxmlformats-officedocument.drawingml.chart+xml"/>
  <Override PartName="/xl/charts/style4.xml" ContentType="application/vnd.ms-office.chartstyle+xml"/>
  <Override PartName="/xl/charts/colors4.xml" ContentType="application/vnd.ms-office.chartcolorstyle+xml"/>
  <Override PartName="/xl/charts/chart8.xml" ContentType="application/vnd.openxmlformats-officedocument.drawingml.chart+xml"/>
  <Override PartName="/xl/charts/style5.xml" ContentType="application/vnd.ms-office.chartstyle+xml"/>
  <Override PartName="/xl/charts/colors5.xml" ContentType="application/vnd.ms-office.chartcolorstyle+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drawings/drawing3.xml" ContentType="application/vnd.openxmlformats-officedocument.drawing+xml"/>
  <Override PartName="/xl/charts/chart12.xml" ContentType="application/vnd.openxmlformats-officedocument.drawingml.chart+xml"/>
  <Override PartName="/xl/charts/style6.xml" ContentType="application/vnd.ms-office.chartstyle+xml"/>
  <Override PartName="/xl/charts/colors6.xml" ContentType="application/vnd.ms-office.chartcolorstyle+xml"/>
  <Override PartName="/xl/charts/chart13.xml" ContentType="application/vnd.openxmlformats-officedocument.drawingml.chart+xml"/>
  <Override PartName="/xl/charts/style7.xml" ContentType="application/vnd.ms-office.chartstyle+xml"/>
  <Override PartName="/xl/charts/colors7.xml" ContentType="application/vnd.ms-office.chartcolorstyle+xml"/>
  <Override PartName="/xl/charts/chart14.xml" ContentType="application/vnd.openxmlformats-officedocument.drawingml.chart+xml"/>
  <Override PartName="/xl/charts/style8.xml" ContentType="application/vnd.ms-office.chartstyle+xml"/>
  <Override PartName="/xl/charts/colors8.xml" ContentType="application/vnd.ms-office.chartcolorstyle+xml"/>
  <Override PartName="/xl/charts/chart15.xml" ContentType="application/vnd.openxmlformats-officedocument.drawingml.chart+xml"/>
  <Override PartName="/xl/charts/style9.xml" ContentType="application/vnd.ms-office.chartstyle+xml"/>
  <Override PartName="/xl/charts/colors9.xml" ContentType="application/vnd.ms-office.chartcolorstyle+xml"/>
  <Override PartName="/xl/charts/chart16.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4.xml" ContentType="application/vnd.openxmlformats-officedocument.drawing+xml"/>
  <Override PartName="/xl/charts/chart17.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5.xml" ContentType="application/vnd.openxmlformats-officedocument.drawing+xml"/>
  <Override PartName="/xl/charts/chart18.xml" ContentType="application/vnd.openxmlformats-officedocument.drawingml.chart+xml"/>
  <Override PartName="/xl/charts/style12.xml" ContentType="application/vnd.ms-office.chartstyle+xml"/>
  <Override PartName="/xl/charts/colors12.xml" ContentType="application/vnd.ms-office.chartcolorstyle+xml"/>
  <Override PartName="/xl/charts/chart19.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6.xml" ContentType="application/vnd.openxmlformats-officedocument.drawing+xml"/>
  <Override PartName="/xl/drawings/drawing7.xml" ContentType="application/vnd.openxmlformats-officedocument.drawing+xml"/>
  <Override PartName="/xl/charts/chart20.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228"/>
  <workbookPr defaultThemeVersion="166925"/>
  <mc:AlternateContent xmlns:mc="http://schemas.openxmlformats.org/markup-compatibility/2006">
    <mc:Choice Requires="x15">
      <x15ac:absPath xmlns:x15ac="http://schemas.microsoft.com/office/spreadsheetml/2010/11/ac" url="C:\Users\james\Desktop\Backup current\Appendices\Experiments\Fixed\"/>
    </mc:Choice>
  </mc:AlternateContent>
  <xr:revisionPtr revIDLastSave="0" documentId="13_ncr:1_{A3005E9D-06B8-458C-A5BD-7F61C13AF21B}" xr6:coauthVersionLast="47" xr6:coauthVersionMax="47" xr10:uidLastSave="{00000000-0000-0000-0000-000000000000}"/>
  <bookViews>
    <workbookView xWindow="-108" yWindow="-108" windowWidth="23256" windowHeight="13176" xr2:uid="{DC652E53-AB43-4677-AD4C-21BA2D9CC3AC}"/>
  </bookViews>
  <sheets>
    <sheet name="PEG-MDX results summary" sheetId="27" r:id="rId1"/>
    <sheet name="Phase diagram models" sheetId="30" r:id="rId2"/>
    <sheet name="Polymer RI standards " sheetId="20" r:id="rId3"/>
    <sheet name="MDX concentration standards" sheetId="16" r:id="rId4"/>
    <sheet name="MDX standards (new solution)" sheetId="21" r:id="rId5"/>
    <sheet name="Phasediagram PEG 10000 data" sheetId="22" r:id="rId6"/>
    <sheet name="Phasediagram PEG 12000 data" sheetId="25" r:id="rId7"/>
    <sheet name="Phasediagram PEG 20000 data" sheetId="26" r:id="rId8"/>
    <sheet name="Mass Balances" sheetId="28" r:id="rId9"/>
    <sheet name="Methods" sheetId="18" r:id="rId10"/>
    <sheet name="Literature comparison" sheetId="29" r:id="rId11"/>
  </sheets>
  <definedNames>
    <definedName name="solver_adj" localSheetId="0" hidden="1">'PEG-MDX results summary'!$D$97</definedName>
    <definedName name="solver_adj" localSheetId="5" hidden="1">'Phasediagram PEG 10000 data'!#REF!</definedName>
    <definedName name="solver_adj" localSheetId="6" hidden="1">'Phasediagram PEG 12000 data'!$AM$29:$AM$32</definedName>
    <definedName name="solver_adj" localSheetId="7" hidden="1">'Phasediagram PEG 20000 data'!$AM$29:$AM$32</definedName>
    <definedName name="solver_cvg" localSheetId="0" hidden="1">0.0001</definedName>
    <definedName name="solver_cvg" localSheetId="5" hidden="1">"""""""""""""""""""""""""""""""""""""""""""""""""""""""""""""""""""""""""""""""""""""""""""""""""""""""""""""""""""""""""""""""0,0001"""""""""""""""""""""""""""""""""""""""""""""""""""""""""""""""""""""""""""""""""""""""""""""""""""""""""""""""""""""""""""""""</definedName>
    <definedName name="solver_cvg" localSheetId="6" hidden="1">"""""""""""""""""""""""""""""""""""""""""""""""""""""""""""""""""""""""""""""""""""""""""""""""""""""""""""""""""""""""""""""""0,0001"""""""""""""""""""""""""""""""""""""""""""""""""""""""""""""""""""""""""""""""""""""""""""""""""""""""""""""""""""""""""""""""</definedName>
    <definedName name="solver_cvg" localSheetId="7" hidden="1">"""""""""""""""""""""""""""""""""""""""""""""""""""""""""""""""""""""""""""""""""""""""""""""""""""""""""""""""""""""""""""""""0,0001"""""""""""""""""""""""""""""""""""""""""""""""""""""""""""""""""""""""""""""""""""""""""""""""""""""""""""""""""""""""""""""""</definedName>
    <definedName name="solver_drv" localSheetId="0" hidden="1">1</definedName>
    <definedName name="solver_drv" localSheetId="5" hidden="1">1</definedName>
    <definedName name="solver_drv" localSheetId="6" hidden="1">1</definedName>
    <definedName name="solver_drv" localSheetId="7" hidden="1">1</definedName>
    <definedName name="solver_eng" localSheetId="0" hidden="1">1</definedName>
    <definedName name="solver_eng" localSheetId="5" hidden="1">1</definedName>
    <definedName name="solver_eng" localSheetId="6" hidden="1">1</definedName>
    <definedName name="solver_eng" localSheetId="7" hidden="1">1</definedName>
    <definedName name="solver_est" localSheetId="0" hidden="1">1</definedName>
    <definedName name="solver_est" localSheetId="5" hidden="1">1</definedName>
    <definedName name="solver_est" localSheetId="6" hidden="1">1</definedName>
    <definedName name="solver_est" localSheetId="7" hidden="1">1</definedName>
    <definedName name="solver_itr" localSheetId="0" hidden="1">2147483647</definedName>
    <definedName name="solver_itr" localSheetId="5" hidden="1">2147483647</definedName>
    <definedName name="solver_itr" localSheetId="6" hidden="1">2147483647</definedName>
    <definedName name="solver_itr" localSheetId="7" hidden="1">2147483647</definedName>
    <definedName name="solver_lhs1" localSheetId="0" hidden="1">'PEG-MDX results summary'!$D$97</definedName>
    <definedName name="solver_lhs1" localSheetId="5" hidden="1">'Phasediagram PEG 10000 data'!#REF!</definedName>
    <definedName name="solver_lhs1" localSheetId="6" hidden="1">'Phasediagram PEG 12000 data'!$AM$29</definedName>
    <definedName name="solver_lhs1" localSheetId="7" hidden="1">'Phasediagram PEG 20000 data'!$AM$29</definedName>
    <definedName name="solver_lhs10" localSheetId="5" hidden="1">'Phasediagram PEG 10000 data'!#REF!</definedName>
    <definedName name="solver_lhs10" localSheetId="6" hidden="1">'Phasediagram PEG 12000 data'!$AN$25</definedName>
    <definedName name="solver_lhs10" localSheetId="7" hidden="1">'Phasediagram PEG 20000 data'!$AN$25</definedName>
    <definedName name="solver_lhs2" localSheetId="0" hidden="1">'PEG-MDX results summary'!$D$97</definedName>
    <definedName name="solver_lhs2" localSheetId="5" hidden="1">'Phasediagram PEG 10000 data'!#REF!</definedName>
    <definedName name="solver_lhs2" localSheetId="6" hidden="1">'Phasediagram PEG 12000 data'!$AM$30</definedName>
    <definedName name="solver_lhs2" localSheetId="7" hidden="1">'Phasediagram PEG 20000 data'!$AM$30</definedName>
    <definedName name="solver_lhs3" localSheetId="0" hidden="1">'PEG-MDX results summary'!$U$78</definedName>
    <definedName name="solver_lhs3" localSheetId="5" hidden="1">'Phasediagram PEG 10000 data'!#REF!</definedName>
    <definedName name="solver_lhs3" localSheetId="6" hidden="1">'Phasediagram PEG 12000 data'!$AM$31</definedName>
    <definedName name="solver_lhs3" localSheetId="7" hidden="1">'Phasediagram PEG 20000 data'!$AM$31</definedName>
    <definedName name="solver_lhs4" localSheetId="0" hidden="1">'PEG-MDX results summary'!$U$78</definedName>
    <definedName name="solver_lhs4" localSheetId="5" hidden="1">'Phasediagram PEG 10000 data'!#REF!</definedName>
    <definedName name="solver_lhs4" localSheetId="6" hidden="1">'Phasediagram PEG 12000 data'!$AM$32</definedName>
    <definedName name="solver_lhs4" localSheetId="7" hidden="1">'Phasediagram PEG 20000 data'!$AM$32</definedName>
    <definedName name="solver_lhs5" localSheetId="0" hidden="1">'PEG-MDX results summary'!$U$78</definedName>
    <definedName name="solver_lhs5" localSheetId="5" hidden="1">'Phasediagram PEG 10000 data'!#REF!</definedName>
    <definedName name="solver_lhs5" localSheetId="6" hidden="1">'Phasediagram PEG 12000 data'!$AN$20</definedName>
    <definedName name="solver_lhs5" localSheetId="7" hidden="1">'Phasediagram PEG 20000 data'!$AN$20</definedName>
    <definedName name="solver_lhs6" localSheetId="0" hidden="1">'PEG-MDX results summary'!$U$78</definedName>
    <definedName name="solver_lhs6" localSheetId="5" hidden="1">'Phasediagram PEG 10000 data'!#REF!</definedName>
    <definedName name="solver_lhs6" localSheetId="6" hidden="1">'Phasediagram PEG 12000 data'!$AN$22</definedName>
    <definedName name="solver_lhs6" localSheetId="7" hidden="1">'Phasediagram PEG 20000 data'!$AN$22</definedName>
    <definedName name="solver_lhs7" localSheetId="0" hidden="1">'PEG-MDX results summary'!$U$78</definedName>
    <definedName name="solver_lhs7" localSheetId="5" hidden="1">'Phasediagram PEG 10000 data'!#REF!</definedName>
    <definedName name="solver_lhs7" localSheetId="6" hidden="1">'Phasediagram PEG 12000 data'!$AN$24</definedName>
    <definedName name="solver_lhs7" localSheetId="7" hidden="1">'Phasediagram PEG 20000 data'!$AN$24</definedName>
    <definedName name="solver_lhs8" localSheetId="0" hidden="1">'PEG-MDX results summary'!$U$78</definedName>
    <definedName name="solver_lhs8" localSheetId="5" hidden="1">'Phasediagram PEG 10000 data'!#REF!</definedName>
    <definedName name="solver_lhs8" localSheetId="6" hidden="1">'Phasediagram PEG 12000 data'!$AN$24</definedName>
    <definedName name="solver_lhs8" localSheetId="7" hidden="1">'Phasediagram PEG 20000 data'!$AN$24</definedName>
    <definedName name="solver_lhs9" localSheetId="0" hidden="1">'PEG-MDX results summary'!$U$78</definedName>
    <definedName name="solver_lhs9" localSheetId="5" hidden="1">'Phasediagram PEG 10000 data'!#REF!</definedName>
    <definedName name="solver_lhs9" localSheetId="6" hidden="1">'Phasediagram PEG 12000 data'!$AN$25</definedName>
    <definedName name="solver_lhs9" localSheetId="7" hidden="1">'Phasediagram PEG 20000 data'!$AN$25</definedName>
    <definedName name="solver_mip" localSheetId="0" hidden="1">2147483647</definedName>
    <definedName name="solver_mip" localSheetId="5" hidden="1">2147483647</definedName>
    <definedName name="solver_mip" localSheetId="6" hidden="1">2147483647</definedName>
    <definedName name="solver_mip" localSheetId="7" hidden="1">2147483647</definedName>
    <definedName name="solver_mni" localSheetId="0" hidden="1">30</definedName>
    <definedName name="solver_mni" localSheetId="5" hidden="1">30</definedName>
    <definedName name="solver_mni" localSheetId="6" hidden="1">30</definedName>
    <definedName name="solver_mni" localSheetId="7" hidden="1">30</definedName>
    <definedName name="solver_mrt" localSheetId="0" hidden="1">0.075</definedName>
    <definedName name="solver_mrt" localSheetId="5" hidden="1">"""""""""""""""""""""""""""""""""""""""""""""""""""""""""""""""""""""""""""""""""""""""""""""""""""""""""""""""""""""""""""""""0,075"""""""""""""""""""""""""""""""""""""""""""""""""""""""""""""""""""""""""""""""""""""""""""""""""""""""""""""""""""""""""""""""</definedName>
    <definedName name="solver_mrt" localSheetId="6" hidden="1">"""""""""""""""""""""""""""""""""""""""""""""""""""""""""""""""""""""""""""""""""""""""""""""""""""""""""""""""""""""""""""""""0,075"""""""""""""""""""""""""""""""""""""""""""""""""""""""""""""""""""""""""""""""""""""""""""""""""""""""""""""""""""""""""""""""</definedName>
    <definedName name="solver_mrt" localSheetId="7" hidden="1">"""""""""""""""""""""""""""""""""""""""""""""""""""""""""""""""""""""""""""""""""""""""""""""""""""""""""""""""""""""""""""""""0,075"""""""""""""""""""""""""""""""""""""""""""""""""""""""""""""""""""""""""""""""""""""""""""""""""""""""""""""""""""""""""""""""</definedName>
    <definedName name="solver_msl" localSheetId="0" hidden="1">2</definedName>
    <definedName name="solver_msl" localSheetId="5" hidden="1">2</definedName>
    <definedName name="solver_msl" localSheetId="6" hidden="1">2</definedName>
    <definedName name="solver_msl" localSheetId="7" hidden="1">2</definedName>
    <definedName name="solver_neg" localSheetId="0" hidden="1">1</definedName>
    <definedName name="solver_neg" localSheetId="5" hidden="1">1</definedName>
    <definedName name="solver_neg" localSheetId="6" hidden="1">1</definedName>
    <definedName name="solver_neg" localSheetId="7" hidden="1">1</definedName>
    <definedName name="solver_nod" localSheetId="0" hidden="1">2147483647</definedName>
    <definedName name="solver_nod" localSheetId="5" hidden="1">2147483647</definedName>
    <definedName name="solver_nod" localSheetId="6" hidden="1">2147483647</definedName>
    <definedName name="solver_nod" localSheetId="7" hidden="1">2147483647</definedName>
    <definedName name="solver_num" localSheetId="0" hidden="1">2</definedName>
    <definedName name="solver_num" localSheetId="5" hidden="1">4</definedName>
    <definedName name="solver_num" localSheetId="6" hidden="1">4</definedName>
    <definedName name="solver_num" localSheetId="7" hidden="1">4</definedName>
    <definedName name="solver_nwt" localSheetId="0" hidden="1">1</definedName>
    <definedName name="solver_nwt" localSheetId="5" hidden="1">1</definedName>
    <definedName name="solver_nwt" localSheetId="6" hidden="1">1</definedName>
    <definedName name="solver_nwt" localSheetId="7" hidden="1">1</definedName>
    <definedName name="solver_opt" localSheetId="0" hidden="1">'PEG-MDX results summary'!$G$96</definedName>
    <definedName name="solver_opt" localSheetId="5" hidden="1">'Phasediagram PEG 10000 data'!#REF!</definedName>
    <definedName name="solver_opt" localSheetId="6" hidden="1">'Phasediagram PEG 12000 data'!$AO$26</definedName>
    <definedName name="solver_opt" localSheetId="7" hidden="1">'Phasediagram PEG 20000 data'!$AO$26</definedName>
    <definedName name="solver_pre" localSheetId="0" hidden="1">0.000001</definedName>
    <definedName name="solver_pre" localSheetId="5" hidden="1">"""""""""""""""""""""""""""""""""""""""""""""""""""""""""""""""""""""""""""""""""""""""""""""""""""""""""""""""""""""""""""""""0,000001"""""""""""""""""""""""""""""""""""""""""""""""""""""""""""""""""""""""""""""""""""""""""""""""""""""""""""""""""""""""""""""""</definedName>
    <definedName name="solver_pre" localSheetId="6" hidden="1">"""""""""""""""""""""""""""""""""""""""""""""""""""""""""""""""""""""""""""""""""""""""""""""""""""""""""""""""""""""""""""""""0,000001"""""""""""""""""""""""""""""""""""""""""""""""""""""""""""""""""""""""""""""""""""""""""""""""""""""""""""""""""""""""""""""""</definedName>
    <definedName name="solver_pre" localSheetId="7" hidden="1">"""""""""""""""""""""""""""""""""""""""""""""""""""""""""""""""""""""""""""""""""""""""""""""""""""""""""""""""""""""""""""""""0,000001"""""""""""""""""""""""""""""""""""""""""""""""""""""""""""""""""""""""""""""""""""""""""""""""""""""""""""""""""""""""""""""""</definedName>
    <definedName name="solver_rbv" localSheetId="0" hidden="1">1</definedName>
    <definedName name="solver_rbv" localSheetId="5" hidden="1">1</definedName>
    <definedName name="solver_rbv" localSheetId="6" hidden="1">1</definedName>
    <definedName name="solver_rbv" localSheetId="7" hidden="1">1</definedName>
    <definedName name="solver_rel1" localSheetId="0" hidden="1">1</definedName>
    <definedName name="solver_rel1" localSheetId="5" hidden="1">3</definedName>
    <definedName name="solver_rel1" localSheetId="6" hidden="1">3</definedName>
    <definedName name="solver_rel1" localSheetId="7" hidden="1">3</definedName>
    <definedName name="solver_rel10" localSheetId="5" hidden="1">3</definedName>
    <definedName name="solver_rel10" localSheetId="6" hidden="1">3</definedName>
    <definedName name="solver_rel10" localSheetId="7" hidden="1">3</definedName>
    <definedName name="solver_rel2" localSheetId="0" hidden="1">3</definedName>
    <definedName name="solver_rel2" localSheetId="5" hidden="1">3</definedName>
    <definedName name="solver_rel2" localSheetId="6" hidden="1">3</definedName>
    <definedName name="solver_rel2" localSheetId="7" hidden="1">3</definedName>
    <definedName name="solver_rel3" localSheetId="0" hidden="1">3</definedName>
    <definedName name="solver_rel3" localSheetId="5" hidden="1">3</definedName>
    <definedName name="solver_rel3" localSheetId="6" hidden="1">3</definedName>
    <definedName name="solver_rel3" localSheetId="7" hidden="1">3</definedName>
    <definedName name="solver_rel4" localSheetId="0" hidden="1">3</definedName>
    <definedName name="solver_rel4" localSheetId="5" hidden="1">1</definedName>
    <definedName name="solver_rel4" localSheetId="6" hidden="1">1</definedName>
    <definedName name="solver_rel4" localSheetId="7" hidden="1">1</definedName>
    <definedName name="solver_rel5" localSheetId="0" hidden="1">3</definedName>
    <definedName name="solver_rel5" localSheetId="5" hidden="1">1</definedName>
    <definedName name="solver_rel5" localSheetId="6" hidden="1">1</definedName>
    <definedName name="solver_rel5" localSheetId="7" hidden="1">1</definedName>
    <definedName name="solver_rel6" localSheetId="0" hidden="1">3</definedName>
    <definedName name="solver_rel6" localSheetId="5" hidden="1">1</definedName>
    <definedName name="solver_rel6" localSheetId="6" hidden="1">1</definedName>
    <definedName name="solver_rel6" localSheetId="7" hidden="1">1</definedName>
    <definedName name="solver_rel7" localSheetId="0" hidden="1">3</definedName>
    <definedName name="solver_rel7" localSheetId="5" hidden="1">3</definedName>
    <definedName name="solver_rel7" localSheetId="6" hidden="1">3</definedName>
    <definedName name="solver_rel7" localSheetId="7" hidden="1">3</definedName>
    <definedName name="solver_rel8" localSheetId="0" hidden="1">3</definedName>
    <definedName name="solver_rel8" localSheetId="5" hidden="1">3</definedName>
    <definedName name="solver_rel8" localSheetId="6" hidden="1">3</definedName>
    <definedName name="solver_rel8" localSheetId="7" hidden="1">3</definedName>
    <definedName name="solver_rel9" localSheetId="0" hidden="1">3</definedName>
    <definedName name="solver_rel9" localSheetId="5" hidden="1">3</definedName>
    <definedName name="solver_rel9" localSheetId="6" hidden="1">3</definedName>
    <definedName name="solver_rel9" localSheetId="7" hidden="1">3</definedName>
    <definedName name="solver_rhs1" localSheetId="0" hidden="1">4.03</definedName>
    <definedName name="solver_rhs1" localSheetId="5" hidden="1">1</definedName>
    <definedName name="solver_rhs1" localSheetId="6" hidden="1">1</definedName>
    <definedName name="solver_rhs1" localSheetId="7" hidden="1">1</definedName>
    <definedName name="solver_rhs10" localSheetId="5" hidden="1">'Phasediagram PEG 10000 data'!#REF!</definedName>
    <definedName name="solver_rhs10" localSheetId="6" hidden="1">'Phasediagram PEG 12000 data'!$AN$24</definedName>
    <definedName name="solver_rhs10" localSheetId="7" hidden="1">'Phasediagram PEG 20000 data'!$AN$24</definedName>
    <definedName name="solver_rhs2" localSheetId="0" hidden="1">3.97</definedName>
    <definedName name="solver_rhs2" localSheetId="5" hidden="1">-1</definedName>
    <definedName name="solver_rhs2" localSheetId="6" hidden="1">-1</definedName>
    <definedName name="solver_rhs2" localSheetId="7" hidden="1">-1</definedName>
    <definedName name="solver_rhs3" localSheetId="0" hidden="1">0.95</definedName>
    <definedName name="solver_rhs3" localSheetId="5" hidden="1">50</definedName>
    <definedName name="solver_rhs3" localSheetId="6" hidden="1">50</definedName>
    <definedName name="solver_rhs3" localSheetId="7" hidden="1">50</definedName>
    <definedName name="solver_rhs4" localSheetId="0" hidden="1">0.95</definedName>
    <definedName name="solver_rhs4" localSheetId="5" hidden="1">-2</definedName>
    <definedName name="solver_rhs4" localSheetId="6" hidden="1">-2</definedName>
    <definedName name="solver_rhs4" localSheetId="7" hidden="1">-2</definedName>
    <definedName name="solver_rhs5" localSheetId="0" hidden="1">0.95</definedName>
    <definedName name="solver_rhs5" localSheetId="5" hidden="1">'Phasediagram PEG 10000 data'!#REF!</definedName>
    <definedName name="solver_rhs5" localSheetId="6" hidden="1">'Phasediagram PEG 12000 data'!$AN$21</definedName>
    <definedName name="solver_rhs5" localSheetId="7" hidden="1">'Phasediagram PEG 20000 data'!$AN$21</definedName>
    <definedName name="solver_rhs6" localSheetId="0" hidden="1">0.95</definedName>
    <definedName name="solver_rhs6" localSheetId="5" hidden="1">'Phasediagram PEG 10000 data'!#REF!</definedName>
    <definedName name="solver_rhs6" localSheetId="6" hidden="1">'Phasediagram PEG 12000 data'!$AN$21</definedName>
    <definedName name="solver_rhs6" localSheetId="7" hidden="1">'Phasediagram PEG 20000 data'!$AN$21</definedName>
    <definedName name="solver_rhs7" localSheetId="0" hidden="1">0.95</definedName>
    <definedName name="solver_rhs7" localSheetId="5" hidden="1">'Phasediagram PEG 10000 data'!#REF!</definedName>
    <definedName name="solver_rhs7" localSheetId="6" hidden="1">'Phasediagram PEG 12000 data'!$AN$23</definedName>
    <definedName name="solver_rhs7" localSheetId="7" hidden="1">'Phasediagram PEG 20000 data'!$AN$23</definedName>
    <definedName name="solver_rhs8" localSheetId="0" hidden="1">0.95</definedName>
    <definedName name="solver_rhs8" localSheetId="5" hidden="1">'Phasediagram PEG 10000 data'!#REF!</definedName>
    <definedName name="solver_rhs8" localSheetId="6" hidden="1">'Phasediagram PEG 12000 data'!$AN$23</definedName>
    <definedName name="solver_rhs8" localSheetId="7" hidden="1">'Phasediagram PEG 20000 data'!$AN$23</definedName>
    <definedName name="solver_rhs9" localSheetId="0" hidden="1">0.95</definedName>
    <definedName name="solver_rhs9" localSheetId="5" hidden="1">'Phasediagram PEG 10000 data'!#REF!</definedName>
    <definedName name="solver_rhs9" localSheetId="6" hidden="1">'Phasediagram PEG 12000 data'!$AN$24</definedName>
    <definedName name="solver_rhs9" localSheetId="7" hidden="1">'Phasediagram PEG 20000 data'!$AN$24</definedName>
    <definedName name="solver_rlx" localSheetId="0" hidden="1">2</definedName>
    <definedName name="solver_rlx" localSheetId="5" hidden="1">2</definedName>
    <definedName name="solver_rlx" localSheetId="6" hidden="1">2</definedName>
    <definedName name="solver_rlx" localSheetId="7" hidden="1">2</definedName>
    <definedName name="solver_rsd" localSheetId="0" hidden="1">0</definedName>
    <definedName name="solver_rsd" localSheetId="5" hidden="1">0</definedName>
    <definedName name="solver_rsd" localSheetId="6" hidden="1">0</definedName>
    <definedName name="solver_rsd" localSheetId="7" hidden="1">0</definedName>
    <definedName name="solver_scl" localSheetId="0" hidden="1">1</definedName>
    <definedName name="solver_scl" localSheetId="5" hidden="1">1</definedName>
    <definedName name="solver_scl" localSheetId="6" hidden="1">1</definedName>
    <definedName name="solver_scl" localSheetId="7" hidden="1">1</definedName>
    <definedName name="solver_sho" localSheetId="0" hidden="1">2</definedName>
    <definedName name="solver_sho" localSheetId="5" hidden="1">2</definedName>
    <definedName name="solver_sho" localSheetId="6" hidden="1">2</definedName>
    <definedName name="solver_sho" localSheetId="7" hidden="1">2</definedName>
    <definedName name="solver_ssz" localSheetId="0" hidden="1">100</definedName>
    <definedName name="solver_ssz" localSheetId="5" hidden="1">100</definedName>
    <definedName name="solver_ssz" localSheetId="6" hidden="1">100</definedName>
    <definedName name="solver_ssz" localSheetId="7" hidden="1">100</definedName>
    <definedName name="solver_tim" localSheetId="0" hidden="1">2147483647</definedName>
    <definedName name="solver_tim" localSheetId="5" hidden="1">2147483647</definedName>
    <definedName name="solver_tim" localSheetId="6" hidden="1">2147483647</definedName>
    <definedName name="solver_tim" localSheetId="7" hidden="1">2147483647</definedName>
    <definedName name="solver_tol" localSheetId="0" hidden="1">0.01</definedName>
    <definedName name="solver_tol" localSheetId="5" hidden="1">0.01</definedName>
    <definedName name="solver_tol" localSheetId="6" hidden="1">0.01</definedName>
    <definedName name="solver_tol" localSheetId="7" hidden="1">0.01</definedName>
    <definedName name="solver_typ" localSheetId="0" hidden="1">2</definedName>
    <definedName name="solver_typ" localSheetId="5" hidden="1">2</definedName>
    <definedName name="solver_typ" localSheetId="6" hidden="1">2</definedName>
    <definedName name="solver_typ" localSheetId="7" hidden="1">2</definedName>
    <definedName name="solver_val" localSheetId="0" hidden="1">0</definedName>
    <definedName name="solver_val" localSheetId="5" hidden="1">0</definedName>
    <definedName name="solver_val" localSheetId="6" hidden="1">0</definedName>
    <definedName name="solver_val" localSheetId="7" hidden="1">0</definedName>
    <definedName name="solver_ver" localSheetId="0" hidden="1">3</definedName>
    <definedName name="solver_ver" localSheetId="5" hidden="1">3</definedName>
    <definedName name="solver_ver" localSheetId="6" hidden="1">3</definedName>
    <definedName name="solver_ver" localSheetId="7" hidden="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5" i="21" l="1"/>
  <c r="B6" i="21"/>
  <c r="B7" i="21"/>
  <c r="B8" i="21"/>
  <c r="B9" i="21"/>
  <c r="B4" i="21"/>
  <c r="C13" i="21"/>
  <c r="F58" i="30" l="1"/>
  <c r="G58" i="30"/>
  <c r="H58" i="30"/>
  <c r="F59" i="30"/>
  <c r="G59" i="30"/>
  <c r="H59" i="30"/>
  <c r="F60" i="30"/>
  <c r="G60" i="30"/>
  <c r="H60" i="30"/>
  <c r="F61" i="30"/>
  <c r="G61" i="30"/>
  <c r="H61" i="30"/>
  <c r="F62" i="30"/>
  <c r="G62" i="30"/>
  <c r="H62" i="30"/>
  <c r="F63" i="30"/>
  <c r="G63" i="30"/>
  <c r="H63" i="30"/>
  <c r="F64" i="30"/>
  <c r="G64" i="30"/>
  <c r="H64" i="30"/>
  <c r="F65" i="30"/>
  <c r="G65" i="30"/>
  <c r="H65" i="30"/>
  <c r="F66" i="30"/>
  <c r="G66" i="30"/>
  <c r="H66" i="30"/>
  <c r="F67" i="30"/>
  <c r="G67" i="30"/>
  <c r="H67" i="30"/>
  <c r="F68" i="30"/>
  <c r="G68" i="30"/>
  <c r="H68" i="30"/>
  <c r="F69" i="30"/>
  <c r="G69" i="30"/>
  <c r="H69" i="30"/>
  <c r="F70" i="30"/>
  <c r="G70" i="30"/>
  <c r="H70" i="30"/>
  <c r="F71" i="30"/>
  <c r="G71" i="30"/>
  <c r="H71" i="30"/>
  <c r="F72" i="30"/>
  <c r="G72" i="30"/>
  <c r="H72" i="30"/>
  <c r="F73" i="30"/>
  <c r="G73" i="30"/>
  <c r="H73" i="30"/>
  <c r="F74" i="30"/>
  <c r="G74" i="30"/>
  <c r="H74" i="30"/>
  <c r="F75" i="30"/>
  <c r="G75" i="30"/>
  <c r="H75" i="30"/>
  <c r="F76" i="30"/>
  <c r="G76" i="30"/>
  <c r="H76" i="30"/>
  <c r="F77" i="30"/>
  <c r="G77" i="30"/>
  <c r="H77" i="30"/>
  <c r="F78" i="30"/>
  <c r="G78" i="30"/>
  <c r="H78" i="30"/>
  <c r="F79" i="30"/>
  <c r="G79" i="30"/>
  <c r="H79" i="30"/>
  <c r="F80" i="30"/>
  <c r="G80" i="30"/>
  <c r="H80" i="30"/>
  <c r="F81" i="30"/>
  <c r="G81" i="30"/>
  <c r="H81" i="30"/>
  <c r="F82" i="30"/>
  <c r="G82" i="30"/>
  <c r="H82" i="30"/>
  <c r="F83" i="30"/>
  <c r="G83" i="30"/>
  <c r="H83" i="30"/>
  <c r="F84" i="30"/>
  <c r="G84" i="30"/>
  <c r="H84" i="30"/>
  <c r="F85" i="30"/>
  <c r="G85" i="30"/>
  <c r="H85" i="30"/>
  <c r="F86" i="30"/>
  <c r="G86" i="30"/>
  <c r="H86" i="30"/>
  <c r="F87" i="30"/>
  <c r="G87" i="30"/>
  <c r="H87" i="30"/>
  <c r="F88" i="30"/>
  <c r="G88" i="30"/>
  <c r="H88" i="30"/>
  <c r="H57" i="30"/>
  <c r="G57" i="30"/>
  <c r="F57" i="30"/>
  <c r="D24" i="30"/>
  <c r="D25" i="30"/>
  <c r="D26" i="30"/>
  <c r="D27" i="30"/>
  <c r="D28" i="30"/>
  <c r="D29" i="30"/>
  <c r="D30" i="30"/>
  <c r="D23" i="30"/>
  <c r="D39" i="30"/>
  <c r="D40" i="30"/>
  <c r="D41" i="30"/>
  <c r="D42" i="30"/>
  <c r="D43" i="30"/>
  <c r="D44" i="30"/>
  <c r="D45" i="30"/>
  <c r="D46" i="30"/>
  <c r="D47" i="30"/>
  <c r="D38" i="30"/>
  <c r="D7" i="30"/>
  <c r="D8" i="30"/>
  <c r="D9" i="30"/>
  <c r="D10" i="30"/>
  <c r="D11" i="30"/>
  <c r="D12" i="30"/>
  <c r="D13" i="30"/>
  <c r="D14" i="30"/>
  <c r="D15" i="30"/>
  <c r="D6" i="30"/>
  <c r="E6" i="30" s="1"/>
  <c r="D60" i="30" l="1"/>
  <c r="C60" i="30"/>
  <c r="B60" i="30"/>
  <c r="D59" i="30"/>
  <c r="C59" i="30"/>
  <c r="B59" i="30"/>
  <c r="D58" i="30"/>
  <c r="C58" i="30"/>
  <c r="B58" i="30"/>
  <c r="E47" i="30"/>
  <c r="E46" i="30"/>
  <c r="E45" i="30"/>
  <c r="E43" i="30"/>
  <c r="E42" i="30"/>
  <c r="E40" i="30"/>
  <c r="E39" i="30"/>
  <c r="E30" i="30"/>
  <c r="E29" i="30"/>
  <c r="E28" i="30"/>
  <c r="E27" i="30"/>
  <c r="E26" i="30"/>
  <c r="E25" i="30"/>
  <c r="E24" i="30"/>
  <c r="E23" i="30"/>
  <c r="E15" i="30"/>
  <c r="E14" i="30"/>
  <c r="E13" i="30"/>
  <c r="E11" i="30"/>
  <c r="E9" i="30"/>
  <c r="E8" i="30"/>
  <c r="E7" i="30"/>
  <c r="E31" i="30" l="1"/>
  <c r="E10" i="30"/>
  <c r="E12" i="30"/>
  <c r="E38" i="30"/>
  <c r="E41" i="30"/>
  <c r="E44" i="30"/>
  <c r="E16" i="30" l="1"/>
  <c r="E48" i="30"/>
  <c r="I16" i="28" l="1"/>
  <c r="I13" i="28"/>
  <c r="I10" i="28"/>
  <c r="I7" i="28"/>
  <c r="I4" i="28"/>
  <c r="I35" i="28"/>
  <c r="I32" i="28"/>
  <c r="I29" i="28"/>
  <c r="I26" i="28"/>
  <c r="I23" i="28"/>
  <c r="G16" i="28"/>
  <c r="G13" i="28"/>
  <c r="G10" i="28"/>
  <c r="G7" i="28"/>
  <c r="G4" i="28"/>
  <c r="G35" i="28"/>
  <c r="G32" i="28"/>
  <c r="M32" i="28" s="1"/>
  <c r="G29" i="28"/>
  <c r="G26" i="28"/>
  <c r="G23" i="28"/>
  <c r="I45" i="28"/>
  <c r="I48" i="28"/>
  <c r="I51" i="28"/>
  <c r="I54" i="28"/>
  <c r="G45" i="28"/>
  <c r="G48" i="28"/>
  <c r="G51" i="28"/>
  <c r="G53" i="28"/>
  <c r="G54" i="28"/>
  <c r="E16" i="28"/>
  <c r="E13" i="28"/>
  <c r="M13" i="28" s="1"/>
  <c r="E10" i="28"/>
  <c r="E7" i="28"/>
  <c r="M7" i="28" s="1"/>
  <c r="E4" i="28"/>
  <c r="E35" i="28"/>
  <c r="M35" i="28" s="1"/>
  <c r="E32" i="28"/>
  <c r="E30" i="28"/>
  <c r="E29" i="28"/>
  <c r="M29" i="28" s="1"/>
  <c r="E26" i="28"/>
  <c r="E23" i="28"/>
  <c r="M23" i="28" s="1"/>
  <c r="E45" i="28"/>
  <c r="E48" i="28"/>
  <c r="E51" i="28"/>
  <c r="E54" i="28"/>
  <c r="M54" i="28" s="1"/>
  <c r="E42" i="28"/>
  <c r="L37" i="28"/>
  <c r="E37" i="28" s="1"/>
  <c r="L36" i="28"/>
  <c r="E36" i="28" s="1"/>
  <c r="L34" i="28"/>
  <c r="E34" i="28" s="1"/>
  <c r="L33" i="28"/>
  <c r="I33" i="28" s="1"/>
  <c r="L31" i="28"/>
  <c r="G31" i="28" s="1"/>
  <c r="L30" i="28"/>
  <c r="I30" i="28" s="1"/>
  <c r="L28" i="28"/>
  <c r="E28" i="28" s="1"/>
  <c r="L27" i="28"/>
  <c r="E27" i="28" s="1"/>
  <c r="L25" i="28"/>
  <c r="G25" i="28" s="1"/>
  <c r="L24" i="28"/>
  <c r="I24" i="28" s="1"/>
  <c r="L18" i="28"/>
  <c r="E18" i="28" s="1"/>
  <c r="L17" i="28"/>
  <c r="E17" i="28" s="1"/>
  <c r="L15" i="28"/>
  <c r="E15" i="28" s="1"/>
  <c r="L14" i="28"/>
  <c r="I14" i="28" s="1"/>
  <c r="L12" i="28"/>
  <c r="E12" i="28" s="1"/>
  <c r="L11" i="28"/>
  <c r="E11" i="28" s="1"/>
  <c r="L9" i="28"/>
  <c r="L8" i="28"/>
  <c r="I8" i="28" s="1"/>
  <c r="L6" i="28"/>
  <c r="E6" i="28" s="1"/>
  <c r="L5" i="28"/>
  <c r="E5" i="28" s="1"/>
  <c r="L56" i="28"/>
  <c r="E56" i="28" s="1"/>
  <c r="L55" i="28"/>
  <c r="E55" i="28" s="1"/>
  <c r="L53" i="28"/>
  <c r="I53" i="28" s="1"/>
  <c r="L52" i="28"/>
  <c r="G52" i="28" s="1"/>
  <c r="L50" i="28"/>
  <c r="E50" i="28" s="1"/>
  <c r="L49" i="28"/>
  <c r="E49" i="28" s="1"/>
  <c r="L47" i="28"/>
  <c r="I47" i="28" s="1"/>
  <c r="L46" i="28"/>
  <c r="G46" i="28" s="1"/>
  <c r="L44" i="28"/>
  <c r="E44" i="28" s="1"/>
  <c r="L43" i="28"/>
  <c r="E43" i="28" s="1"/>
  <c r="I42" i="28"/>
  <c r="G42" i="28"/>
  <c r="M48" i="28" l="1"/>
  <c r="M45" i="28"/>
  <c r="I55" i="28"/>
  <c r="G17" i="28"/>
  <c r="M42" i="28"/>
  <c r="E52" i="28"/>
  <c r="M16" i="28"/>
  <c r="G11" i="28"/>
  <c r="G18" i="28"/>
  <c r="M10" i="28"/>
  <c r="M51" i="28"/>
  <c r="M26" i="28"/>
  <c r="E33" i="28"/>
  <c r="E8" i="28"/>
  <c r="M4" i="28"/>
  <c r="M30" i="28"/>
  <c r="N30" i="28" s="1"/>
  <c r="I9" i="28"/>
  <c r="I46" i="28"/>
  <c r="G33" i="28"/>
  <c r="M33" i="28" s="1"/>
  <c r="N33" i="28" s="1"/>
  <c r="I31" i="28"/>
  <c r="E24" i="28"/>
  <c r="M24" i="28" s="1"/>
  <c r="E31" i="28"/>
  <c r="G55" i="28"/>
  <c r="M55" i="28" s="1"/>
  <c r="N55" i="28" s="1"/>
  <c r="G50" i="28"/>
  <c r="G44" i="28"/>
  <c r="M44" i="28" s="1"/>
  <c r="N44" i="28" s="1"/>
  <c r="I52" i="28"/>
  <c r="M52" i="28" s="1"/>
  <c r="N52" i="28" s="1"/>
  <c r="G9" i="28"/>
  <c r="G15" i="28"/>
  <c r="I11" i="28"/>
  <c r="M11" i="28" s="1"/>
  <c r="N11" i="28" s="1"/>
  <c r="I17" i="28"/>
  <c r="I15" i="28"/>
  <c r="E9" i="28"/>
  <c r="I37" i="28"/>
  <c r="E53" i="28"/>
  <c r="M53" i="28" s="1"/>
  <c r="N53" i="28" s="1"/>
  <c r="E46" i="28"/>
  <c r="G43" i="28"/>
  <c r="I44" i="28"/>
  <c r="G37" i="28"/>
  <c r="I18" i="28"/>
  <c r="M18" i="28" s="1"/>
  <c r="N18" i="28" s="1"/>
  <c r="N24" i="28"/>
  <c r="G56" i="28"/>
  <c r="I25" i="28"/>
  <c r="E47" i="28"/>
  <c r="E14" i="28"/>
  <c r="G49" i="28"/>
  <c r="E25" i="28"/>
  <c r="M25" i="28" s="1"/>
  <c r="N25" i="28" s="1"/>
  <c r="I56" i="28"/>
  <c r="I50" i="28"/>
  <c r="G27" i="28"/>
  <c r="G5" i="28"/>
  <c r="I27" i="28"/>
  <c r="I5" i="28"/>
  <c r="G47" i="28"/>
  <c r="I49" i="28"/>
  <c r="I43" i="28"/>
  <c r="G28" i="28"/>
  <c r="G34" i="28"/>
  <c r="G6" i="28"/>
  <c r="G12" i="28"/>
  <c r="M12" i="28" s="1"/>
  <c r="N12" i="28" s="1"/>
  <c r="I28" i="28"/>
  <c r="I34" i="28"/>
  <c r="I6" i="28"/>
  <c r="I12" i="28"/>
  <c r="G24" i="28"/>
  <c r="G30" i="28"/>
  <c r="G36" i="28"/>
  <c r="G8" i="28"/>
  <c r="M8" i="28" s="1"/>
  <c r="N8" i="28" s="1"/>
  <c r="G14" i="28"/>
  <c r="I36" i="28"/>
  <c r="M53" i="27"/>
  <c r="M34" i="27"/>
  <c r="M6" i="27"/>
  <c r="M12" i="27"/>
  <c r="M9" i="27"/>
  <c r="M50" i="27"/>
  <c r="M47" i="27"/>
  <c r="M44" i="27"/>
  <c r="M41" i="27"/>
  <c r="M31" i="27"/>
  <c r="M28" i="27"/>
  <c r="M25" i="27"/>
  <c r="M22" i="27"/>
  <c r="M3" i="27"/>
  <c r="M15" i="27"/>
  <c r="U12" i="27"/>
  <c r="M170" i="22"/>
  <c r="M169" i="22"/>
  <c r="M168" i="22"/>
  <c r="N168" i="22" s="1"/>
  <c r="P168" i="22" s="1"/>
  <c r="Q168" i="22" s="1"/>
  <c r="R168" i="22" s="1"/>
  <c r="S168" i="22" s="1"/>
  <c r="M161" i="22"/>
  <c r="M160" i="22"/>
  <c r="M159" i="22"/>
  <c r="M98" i="26"/>
  <c r="F152" i="22"/>
  <c r="K152" i="22" s="1"/>
  <c r="J152" i="22" l="1"/>
  <c r="M43" i="28"/>
  <c r="N43" i="28" s="1"/>
  <c r="M36" i="28"/>
  <c r="N36" i="28" s="1"/>
  <c r="M6" i="28"/>
  <c r="N6" i="28" s="1"/>
  <c r="M5" i="28"/>
  <c r="N5" i="28" s="1"/>
  <c r="M9" i="28"/>
  <c r="N9" i="28" s="1"/>
  <c r="M15" i="28"/>
  <c r="N15" i="28" s="1"/>
  <c r="M50" i="28"/>
  <c r="N50" i="28" s="1"/>
  <c r="M34" i="28"/>
  <c r="N34" i="28" s="1"/>
  <c r="M56" i="28"/>
  <c r="N56" i="28" s="1"/>
  <c r="M37" i="28"/>
  <c r="N37" i="28" s="1"/>
  <c r="M27" i="28"/>
  <c r="N27" i="28" s="1"/>
  <c r="N38" i="28" s="1"/>
  <c r="M17" i="28"/>
  <c r="N17" i="28" s="1"/>
  <c r="M31" i="28"/>
  <c r="N31" i="28" s="1"/>
  <c r="L152" i="22"/>
  <c r="M49" i="28"/>
  <c r="N49" i="28" s="1"/>
  <c r="M28" i="28"/>
  <c r="N28" i="28" s="1"/>
  <c r="M14" i="28"/>
  <c r="N14" i="28" s="1"/>
  <c r="M47" i="28"/>
  <c r="N47" i="28" s="1"/>
  <c r="M46" i="28"/>
  <c r="N46" i="28" s="1"/>
  <c r="N57" i="28" s="1"/>
  <c r="N19" i="28" l="1"/>
  <c r="I172" i="22"/>
  <c r="H172" i="22"/>
  <c r="G172" i="22"/>
  <c r="F172" i="22"/>
  <c r="E172" i="22"/>
  <c r="D172" i="22"/>
  <c r="C172" i="22"/>
  <c r="AA171" i="22" s="1"/>
  <c r="P17" i="27" s="1"/>
  <c r="I171" i="22"/>
  <c r="H171" i="22"/>
  <c r="G171" i="22"/>
  <c r="F171" i="22"/>
  <c r="E171" i="22"/>
  <c r="C171" i="22"/>
  <c r="Z171" i="22" s="1"/>
  <c r="O17" i="27" s="1"/>
  <c r="N170" i="22"/>
  <c r="P170" i="22" s="1"/>
  <c r="Q170" i="22" s="1"/>
  <c r="R170" i="22" s="1"/>
  <c r="N169" i="22"/>
  <c r="M172" i="22"/>
  <c r="I163" i="22"/>
  <c r="H163" i="22"/>
  <c r="G163" i="22"/>
  <c r="F163" i="22"/>
  <c r="E163" i="22"/>
  <c r="D163" i="22"/>
  <c r="C163" i="22"/>
  <c r="AA162" i="22" s="1"/>
  <c r="P16" i="27" s="1"/>
  <c r="I162" i="22"/>
  <c r="H162" i="22"/>
  <c r="G162" i="22"/>
  <c r="F162" i="22"/>
  <c r="E162" i="22"/>
  <c r="C162" i="22"/>
  <c r="Z162" i="22" s="1"/>
  <c r="O16" i="27" s="1"/>
  <c r="N161" i="22"/>
  <c r="P161" i="22" s="1"/>
  <c r="Q161" i="22" s="1"/>
  <c r="R161" i="22" s="1"/>
  <c r="S161" i="22" s="1"/>
  <c r="X161" i="22" s="1"/>
  <c r="N160" i="22"/>
  <c r="K156" i="22"/>
  <c r="K155" i="22"/>
  <c r="X153" i="22" s="1"/>
  <c r="G15" i="27" s="1"/>
  <c r="J156" i="22"/>
  <c r="M71" i="22"/>
  <c r="N71" i="22" s="1"/>
  <c r="O71" i="22" s="1"/>
  <c r="S170" i="22" l="1"/>
  <c r="X170" i="22" s="1"/>
  <c r="M163" i="22"/>
  <c r="P160" i="22"/>
  <c r="O160" i="22"/>
  <c r="P169" i="22"/>
  <c r="Q169" i="22" s="1"/>
  <c r="R169" i="22" s="1"/>
  <c r="S169" i="22" s="1"/>
  <c r="O169" i="22"/>
  <c r="W169" i="22" s="1"/>
  <c r="L156" i="22"/>
  <c r="L155" i="22"/>
  <c r="Y153" i="22" s="1"/>
  <c r="I15" i="27" s="1"/>
  <c r="N159" i="22"/>
  <c r="D162" i="22"/>
  <c r="M162" i="22"/>
  <c r="D171" i="22"/>
  <c r="M171" i="22"/>
  <c r="J155" i="22"/>
  <c r="W153" i="22" s="1"/>
  <c r="E15" i="27" s="1"/>
  <c r="O161" i="22"/>
  <c r="O170" i="22"/>
  <c r="W170" i="22" s="1"/>
  <c r="W161" i="22" l="1"/>
  <c r="Y161" i="22" s="1"/>
  <c r="W171" i="22"/>
  <c r="W155" i="22" s="1"/>
  <c r="E17" i="27" s="1"/>
  <c r="S12" i="27" s="1"/>
  <c r="W172" i="22"/>
  <c r="Y170" i="22"/>
  <c r="N163" i="22"/>
  <c r="P159" i="22"/>
  <c r="Q159" i="22" s="1"/>
  <c r="R159" i="22" s="1"/>
  <c r="S159" i="22" s="1"/>
  <c r="N162" i="22"/>
  <c r="O159" i="22"/>
  <c r="W159" i="22" s="1"/>
  <c r="P163" i="22"/>
  <c r="P162" i="22"/>
  <c r="Q160" i="22"/>
  <c r="N172" i="22"/>
  <c r="N171" i="22"/>
  <c r="O168" i="22"/>
  <c r="S172" i="22"/>
  <c r="X169" i="22"/>
  <c r="W160" i="22"/>
  <c r="O163" i="22"/>
  <c r="O162" i="22"/>
  <c r="W162" i="22" l="1"/>
  <c r="W154" i="22" s="1"/>
  <c r="E16" i="27" s="1"/>
  <c r="S11" i="27" s="1"/>
  <c r="W163" i="22"/>
  <c r="F16" i="27" s="1"/>
  <c r="T11" i="27" s="1"/>
  <c r="X171" i="22"/>
  <c r="X155" i="22" s="1"/>
  <c r="X172" i="22"/>
  <c r="P172" i="22"/>
  <c r="P171" i="22"/>
  <c r="X159" i="22"/>
  <c r="Y169" i="22"/>
  <c r="Q162" i="22"/>
  <c r="R160" i="22"/>
  <c r="Q163" i="22"/>
  <c r="O172" i="22"/>
  <c r="O171" i="22"/>
  <c r="W168" i="22"/>
  <c r="F17" i="27" s="1"/>
  <c r="T12" i="27" s="1"/>
  <c r="S160" i="22" l="1"/>
  <c r="R163" i="22"/>
  <c r="R162" i="22"/>
  <c r="Q171" i="22"/>
  <c r="Q172" i="22"/>
  <c r="Y159" i="22"/>
  <c r="S163" i="22" l="1"/>
  <c r="X160" i="22"/>
  <c r="S162" i="22"/>
  <c r="R172" i="22"/>
  <c r="R171" i="22"/>
  <c r="X162" i="22" l="1"/>
  <c r="X163" i="22" s="1"/>
  <c r="H16" i="27" s="1"/>
  <c r="V11" i="27" s="1"/>
  <c r="X154" i="22"/>
  <c r="G16" i="27" s="1"/>
  <c r="Y160" i="22"/>
  <c r="X168" i="22"/>
  <c r="S171" i="22"/>
  <c r="Y162" i="22" l="1"/>
  <c r="Y163" i="22"/>
  <c r="J16" i="27" s="1"/>
  <c r="U11" i="27"/>
  <c r="N15" i="27"/>
  <c r="Y154" i="22"/>
  <c r="I16" i="27" s="1"/>
  <c r="H17" i="27"/>
  <c r="V12" i="27" s="1"/>
  <c r="Y168" i="22"/>
  <c r="Y172" i="22" l="1"/>
  <c r="J17" i="27" s="1"/>
  <c r="Y171" i="22"/>
  <c r="Y155" i="22" s="1"/>
  <c r="I17" i="27" s="1"/>
  <c r="L15" i="27" s="1"/>
  <c r="K15" i="27" l="1"/>
  <c r="G55" i="27"/>
  <c r="U50" i="27" s="1"/>
  <c r="G52" i="27"/>
  <c r="U48" i="27" s="1"/>
  <c r="G49" i="27"/>
  <c r="U46" i="27" s="1"/>
  <c r="G46" i="27"/>
  <c r="U44" i="27" s="1"/>
  <c r="G43" i="27"/>
  <c r="U42" i="27" s="1"/>
  <c r="R48" i="27"/>
  <c r="R47" i="27"/>
  <c r="R46" i="27"/>
  <c r="R45" i="27"/>
  <c r="R44" i="27"/>
  <c r="R43" i="27"/>
  <c r="R42" i="27"/>
  <c r="R41" i="27"/>
  <c r="G36" i="27"/>
  <c r="U31" i="27" s="1"/>
  <c r="G33" i="27"/>
  <c r="U29" i="27" s="1"/>
  <c r="G30" i="27"/>
  <c r="U27" i="27" s="1"/>
  <c r="G27" i="27"/>
  <c r="U25" i="27" s="1"/>
  <c r="G24" i="27"/>
  <c r="U23" i="27" s="1"/>
  <c r="R29" i="27"/>
  <c r="R28" i="27"/>
  <c r="R27" i="27"/>
  <c r="R26" i="27"/>
  <c r="R25" i="27"/>
  <c r="R24" i="27"/>
  <c r="R23" i="27"/>
  <c r="R22" i="27"/>
  <c r="R3" i="27"/>
  <c r="R4" i="27"/>
  <c r="R5" i="27"/>
  <c r="R6" i="27"/>
  <c r="R7" i="27"/>
  <c r="R8" i="27"/>
  <c r="R9" i="27"/>
  <c r="R10" i="27"/>
  <c r="G5" i="27"/>
  <c r="U4" i="27" s="1"/>
  <c r="M22" i="25" l="1"/>
  <c r="M21" i="25"/>
  <c r="M20" i="25"/>
  <c r="M12" i="25"/>
  <c r="M13" i="25"/>
  <c r="M11" i="25"/>
  <c r="M131" i="26"/>
  <c r="M130" i="26"/>
  <c r="M129" i="26"/>
  <c r="M122" i="26"/>
  <c r="M121" i="26"/>
  <c r="M120" i="26"/>
  <c r="M100" i="26"/>
  <c r="M99" i="26"/>
  <c r="M91" i="26"/>
  <c r="M90" i="26"/>
  <c r="M89" i="26"/>
  <c r="M74" i="26"/>
  <c r="M73" i="26"/>
  <c r="M72" i="26"/>
  <c r="M65" i="26"/>
  <c r="M64" i="26"/>
  <c r="M63" i="26"/>
  <c r="M48" i="26"/>
  <c r="M47" i="26"/>
  <c r="N47" i="26" s="1"/>
  <c r="O47" i="26" s="1"/>
  <c r="M46" i="26"/>
  <c r="M39" i="26"/>
  <c r="M38" i="26"/>
  <c r="M37" i="26"/>
  <c r="M22" i="26"/>
  <c r="M21" i="26"/>
  <c r="M20" i="26"/>
  <c r="M12" i="26"/>
  <c r="M13" i="26"/>
  <c r="M11" i="26"/>
  <c r="M131" i="25"/>
  <c r="M130" i="25"/>
  <c r="M129" i="25"/>
  <c r="M122" i="25"/>
  <c r="M121" i="25"/>
  <c r="M120" i="25"/>
  <c r="M100" i="25"/>
  <c r="M99" i="25"/>
  <c r="M98" i="25"/>
  <c r="M91" i="25"/>
  <c r="M90" i="25"/>
  <c r="M89" i="25"/>
  <c r="M74" i="25"/>
  <c r="M73" i="25"/>
  <c r="M72" i="25"/>
  <c r="M65" i="25"/>
  <c r="M64" i="25"/>
  <c r="M63" i="25"/>
  <c r="M48" i="25"/>
  <c r="M47" i="25"/>
  <c r="M46" i="25"/>
  <c r="M39" i="25"/>
  <c r="M38" i="25"/>
  <c r="M37" i="25"/>
  <c r="N11" i="26" l="1"/>
  <c r="D25" i="21"/>
  <c r="E25" i="21"/>
  <c r="F25" i="21"/>
  <c r="D26" i="21"/>
  <c r="E26" i="21"/>
  <c r="F26" i="21"/>
  <c r="C26" i="21"/>
  <c r="C25" i="21"/>
  <c r="F32" i="21"/>
  <c r="F31" i="21"/>
  <c r="F30" i="21"/>
  <c r="E32" i="21"/>
  <c r="E31" i="21"/>
  <c r="E30" i="21"/>
  <c r="D30" i="21"/>
  <c r="D32" i="21"/>
  <c r="D31" i="21"/>
  <c r="C30" i="21"/>
  <c r="C32" i="21"/>
  <c r="C31" i="21"/>
  <c r="N98" i="26"/>
  <c r="P98" i="26" s="1"/>
  <c r="M101" i="26"/>
  <c r="I133" i="26"/>
  <c r="H133" i="26"/>
  <c r="G133" i="26"/>
  <c r="F133" i="26"/>
  <c r="E133" i="26"/>
  <c r="D133" i="26"/>
  <c r="C133" i="26"/>
  <c r="I132" i="26"/>
  <c r="H132" i="26"/>
  <c r="G132" i="26"/>
  <c r="F132" i="26"/>
  <c r="E132" i="26"/>
  <c r="C132" i="26"/>
  <c r="Z132" i="26" s="1"/>
  <c r="O55" i="27" s="1"/>
  <c r="N131" i="26"/>
  <c r="O131" i="26" s="1"/>
  <c r="N130" i="26"/>
  <c r="O130" i="26" s="1"/>
  <c r="M132" i="26"/>
  <c r="I124" i="26"/>
  <c r="H124" i="26"/>
  <c r="G124" i="26"/>
  <c r="F124" i="26"/>
  <c r="E124" i="26"/>
  <c r="D124" i="26"/>
  <c r="C124" i="26"/>
  <c r="I123" i="26"/>
  <c r="H123" i="26"/>
  <c r="G123" i="26"/>
  <c r="F123" i="26"/>
  <c r="E123" i="26"/>
  <c r="C123" i="26"/>
  <c r="N122" i="26"/>
  <c r="O122" i="26" s="1"/>
  <c r="N121" i="26"/>
  <c r="N120" i="26"/>
  <c r="M124" i="26"/>
  <c r="E113" i="26"/>
  <c r="K113" i="26" s="1"/>
  <c r="X112" i="26"/>
  <c r="W112" i="26"/>
  <c r="X110" i="26"/>
  <c r="W110" i="26"/>
  <c r="E113" i="25"/>
  <c r="K113" i="25" s="1"/>
  <c r="I133" i="25"/>
  <c r="H133" i="25"/>
  <c r="G133" i="25"/>
  <c r="F133" i="25"/>
  <c r="E133" i="25"/>
  <c r="D133" i="25"/>
  <c r="C133" i="25"/>
  <c r="I132" i="25"/>
  <c r="H132" i="25"/>
  <c r="G132" i="25"/>
  <c r="F132" i="25"/>
  <c r="E132" i="25"/>
  <c r="C132" i="25"/>
  <c r="N131" i="25"/>
  <c r="O131" i="25" s="1"/>
  <c r="N130" i="25"/>
  <c r="P130" i="25" s="1"/>
  <c r="Q130" i="25" s="1"/>
  <c r="R130" i="25" s="1"/>
  <c r="S130" i="25" s="1"/>
  <c r="I124" i="25"/>
  <c r="H124" i="25"/>
  <c r="G124" i="25"/>
  <c r="F124" i="25"/>
  <c r="E124" i="25"/>
  <c r="D124" i="25"/>
  <c r="C124" i="25"/>
  <c r="I123" i="25"/>
  <c r="H123" i="25"/>
  <c r="G123" i="25"/>
  <c r="F123" i="25"/>
  <c r="E123" i="25"/>
  <c r="C123" i="25"/>
  <c r="N122" i="25"/>
  <c r="O122" i="25" s="1"/>
  <c r="W122" i="25" s="1"/>
  <c r="N121" i="25"/>
  <c r="M123" i="25"/>
  <c r="X112" i="25"/>
  <c r="W112" i="25"/>
  <c r="X110" i="25"/>
  <c r="W110" i="25"/>
  <c r="D46" i="26"/>
  <c r="I14" i="26"/>
  <c r="I102" i="26"/>
  <c r="H102" i="26"/>
  <c r="G102" i="26"/>
  <c r="F102" i="26"/>
  <c r="E102" i="26"/>
  <c r="D102" i="26"/>
  <c r="C102" i="26"/>
  <c r="I101" i="26"/>
  <c r="H101" i="26"/>
  <c r="G101" i="26"/>
  <c r="F101" i="26"/>
  <c r="E101" i="26"/>
  <c r="C101" i="26"/>
  <c r="Z101" i="26" s="1"/>
  <c r="O52" i="27" s="1"/>
  <c r="N100" i="26"/>
  <c r="O100" i="26" s="1"/>
  <c r="N99" i="26"/>
  <c r="P99" i="26" s="1"/>
  <c r="Q99" i="26" s="1"/>
  <c r="R99" i="26" s="1"/>
  <c r="I93" i="26"/>
  <c r="H93" i="26"/>
  <c r="G93" i="26"/>
  <c r="F93" i="26"/>
  <c r="E93" i="26"/>
  <c r="D93" i="26"/>
  <c r="C93" i="26"/>
  <c r="I92" i="26"/>
  <c r="H92" i="26"/>
  <c r="G92" i="26"/>
  <c r="F92" i="26"/>
  <c r="E92" i="26"/>
  <c r="C92" i="26"/>
  <c r="N91" i="26"/>
  <c r="P91" i="26" s="1"/>
  <c r="Q91" i="26" s="1"/>
  <c r="R91" i="26" s="1"/>
  <c r="N90" i="26"/>
  <c r="E82" i="26"/>
  <c r="K82" i="26" s="1"/>
  <c r="I76" i="26"/>
  <c r="H76" i="26"/>
  <c r="G76" i="26"/>
  <c r="F76" i="26"/>
  <c r="E76" i="26"/>
  <c r="D76" i="26"/>
  <c r="C76" i="26"/>
  <c r="I75" i="26"/>
  <c r="H75" i="26"/>
  <c r="G75" i="26"/>
  <c r="F75" i="26"/>
  <c r="E75" i="26"/>
  <c r="C75" i="26"/>
  <c r="N74" i="26"/>
  <c r="N73" i="26"/>
  <c r="P73" i="26" s="1"/>
  <c r="Q73" i="26" s="1"/>
  <c r="I67" i="26"/>
  <c r="H67" i="26"/>
  <c r="G67" i="26"/>
  <c r="F67" i="26"/>
  <c r="E67" i="26"/>
  <c r="D67" i="26"/>
  <c r="C67" i="26"/>
  <c r="M66" i="26"/>
  <c r="I66" i="26"/>
  <c r="H66" i="26"/>
  <c r="G66" i="26"/>
  <c r="F66" i="26"/>
  <c r="E66" i="26"/>
  <c r="C66" i="26"/>
  <c r="P65" i="26"/>
  <c r="Q65" i="26" s="1"/>
  <c r="R65" i="26" s="1"/>
  <c r="N65" i="26"/>
  <c r="O65" i="26" s="1"/>
  <c r="W65" i="26" s="1"/>
  <c r="N64" i="26"/>
  <c r="F56" i="26"/>
  <c r="J56" i="26" s="1"/>
  <c r="I50" i="26"/>
  <c r="H50" i="26"/>
  <c r="G50" i="26"/>
  <c r="F50" i="26"/>
  <c r="E50" i="26"/>
  <c r="D50" i="26"/>
  <c r="C50" i="26"/>
  <c r="I49" i="26"/>
  <c r="H49" i="26"/>
  <c r="G49" i="26"/>
  <c r="F49" i="26"/>
  <c r="E49" i="26"/>
  <c r="C49" i="26"/>
  <c r="N48" i="26"/>
  <c r="P48" i="26" s="1"/>
  <c r="Q48" i="26" s="1"/>
  <c r="R48" i="26" s="1"/>
  <c r="W47" i="26"/>
  <c r="N46" i="26"/>
  <c r="I41" i="26"/>
  <c r="H41" i="26"/>
  <c r="G41" i="26"/>
  <c r="F41" i="26"/>
  <c r="E41" i="26"/>
  <c r="D41" i="26"/>
  <c r="C41" i="26"/>
  <c r="I40" i="26"/>
  <c r="H40" i="26"/>
  <c r="G40" i="26"/>
  <c r="F40" i="26"/>
  <c r="E40" i="26"/>
  <c r="C40" i="26"/>
  <c r="N39" i="26"/>
  <c r="N38" i="26"/>
  <c r="P38" i="26" s="1"/>
  <c r="E30" i="26"/>
  <c r="J30" i="26" s="1"/>
  <c r="J34" i="26" s="1"/>
  <c r="I24" i="26"/>
  <c r="H24" i="26"/>
  <c r="G24" i="26"/>
  <c r="F24" i="26"/>
  <c r="E24" i="26"/>
  <c r="D24" i="26"/>
  <c r="C24" i="26"/>
  <c r="I23" i="26"/>
  <c r="H23" i="26"/>
  <c r="G23" i="26"/>
  <c r="F23" i="26"/>
  <c r="E23" i="26"/>
  <c r="C23" i="26"/>
  <c r="N22" i="26"/>
  <c r="N21" i="26"/>
  <c r="P21" i="26" s="1"/>
  <c r="Q21" i="26" s="1"/>
  <c r="R21" i="26" s="1"/>
  <c r="I15" i="26"/>
  <c r="H15" i="26"/>
  <c r="G15" i="26"/>
  <c r="F15" i="26"/>
  <c r="E15" i="26"/>
  <c r="D15" i="26"/>
  <c r="C15" i="26"/>
  <c r="H14" i="26"/>
  <c r="G14" i="26"/>
  <c r="F14" i="26"/>
  <c r="E14" i="26"/>
  <c r="C14" i="26"/>
  <c r="N13" i="26"/>
  <c r="F4" i="26"/>
  <c r="J4" i="26" s="1"/>
  <c r="F56" i="25"/>
  <c r="K56" i="25" s="1"/>
  <c r="N100" i="25"/>
  <c r="N99" i="25"/>
  <c r="P99" i="25" s="1"/>
  <c r="Q99" i="25" s="1"/>
  <c r="N91" i="25"/>
  <c r="O91" i="25" s="1"/>
  <c r="W91" i="25" s="1"/>
  <c r="N90" i="25"/>
  <c r="N74" i="25"/>
  <c r="P74" i="25" s="1"/>
  <c r="Q74" i="25" s="1"/>
  <c r="N65" i="25"/>
  <c r="N64" i="25"/>
  <c r="M49" i="25"/>
  <c r="N39" i="25"/>
  <c r="P39" i="25" s="1"/>
  <c r="Q39" i="25" s="1"/>
  <c r="R39" i="25" s="1"/>
  <c r="N21" i="25"/>
  <c r="P21" i="25" s="1"/>
  <c r="Q21" i="25" s="1"/>
  <c r="M24" i="25"/>
  <c r="M142" i="22"/>
  <c r="N142" i="22" s="1"/>
  <c r="M141" i="22"/>
  <c r="M140" i="22"/>
  <c r="M133" i="22"/>
  <c r="N133" i="22" s="1"/>
  <c r="M132" i="22"/>
  <c r="N132" i="22" s="1"/>
  <c r="P132" i="22" s="1"/>
  <c r="M131" i="22"/>
  <c r="M112" i="22"/>
  <c r="M111" i="22"/>
  <c r="M110" i="22"/>
  <c r="M103" i="22"/>
  <c r="N103" i="22" s="1"/>
  <c r="P103" i="22" s="1"/>
  <c r="Q103" i="22" s="1"/>
  <c r="M102" i="22"/>
  <c r="N102" i="22" s="1"/>
  <c r="M101" i="22"/>
  <c r="M82" i="22"/>
  <c r="N82" i="22" s="1"/>
  <c r="M81" i="22"/>
  <c r="N81" i="22" s="1"/>
  <c r="O81" i="22" s="1"/>
  <c r="W81" i="22" s="1"/>
  <c r="M80" i="22"/>
  <c r="M73" i="22"/>
  <c r="M72" i="22"/>
  <c r="N72" i="22" s="1"/>
  <c r="O72" i="22" s="1"/>
  <c r="M55" i="22"/>
  <c r="M54" i="22"/>
  <c r="M53" i="22"/>
  <c r="M46" i="22"/>
  <c r="N46" i="22" s="1"/>
  <c r="P46" i="22" s="1"/>
  <c r="Q46" i="22" s="1"/>
  <c r="R46" i="22" s="1"/>
  <c r="M45" i="22"/>
  <c r="N45" i="22" s="1"/>
  <c r="P45" i="22" s="1"/>
  <c r="Q45" i="22" s="1"/>
  <c r="R45" i="22" s="1"/>
  <c r="M44" i="22"/>
  <c r="N44" i="22" s="1"/>
  <c r="M25" i="22"/>
  <c r="N25" i="22" s="1"/>
  <c r="P25" i="22" s="1"/>
  <c r="Q25" i="22" s="1"/>
  <c r="R25" i="22" s="1"/>
  <c r="M24" i="22"/>
  <c r="N24" i="22" s="1"/>
  <c r="P24" i="22" s="1"/>
  <c r="Q24" i="22" s="1"/>
  <c r="R24" i="22" s="1"/>
  <c r="M23" i="22"/>
  <c r="N23" i="22" s="1"/>
  <c r="P23" i="22" s="1"/>
  <c r="Q23" i="22" s="1"/>
  <c r="R23" i="22" s="1"/>
  <c r="M16" i="22"/>
  <c r="N16" i="22" s="1"/>
  <c r="P16" i="22" s="1"/>
  <c r="Q16" i="22" s="1"/>
  <c r="R16" i="22" s="1"/>
  <c r="M15" i="22"/>
  <c r="N15" i="22" s="1"/>
  <c r="P15" i="22" s="1"/>
  <c r="Q15" i="22" s="1"/>
  <c r="R15" i="22" s="1"/>
  <c r="M14" i="22"/>
  <c r="Z8" i="20"/>
  <c r="Y8" i="20"/>
  <c r="X8" i="20"/>
  <c r="W8" i="20"/>
  <c r="Z7" i="20"/>
  <c r="Y7" i="20"/>
  <c r="X7" i="20"/>
  <c r="W7" i="20"/>
  <c r="T8" i="20"/>
  <c r="S8" i="20"/>
  <c r="R8" i="20"/>
  <c r="Q8" i="20"/>
  <c r="T7" i="20"/>
  <c r="S7" i="20"/>
  <c r="R7" i="20"/>
  <c r="Q7" i="20"/>
  <c r="I14" i="25"/>
  <c r="F14" i="25"/>
  <c r="F4" i="25"/>
  <c r="J4" i="25" s="1"/>
  <c r="I102" i="25"/>
  <c r="H102" i="25"/>
  <c r="G102" i="25"/>
  <c r="F102" i="25"/>
  <c r="E102" i="25"/>
  <c r="D102" i="25"/>
  <c r="C102" i="25"/>
  <c r="I101" i="25"/>
  <c r="H101" i="25"/>
  <c r="G101" i="25"/>
  <c r="F101" i="25"/>
  <c r="E101" i="25"/>
  <c r="C101" i="25"/>
  <c r="I93" i="25"/>
  <c r="H93" i="25"/>
  <c r="G93" i="25"/>
  <c r="F93" i="25"/>
  <c r="E93" i="25"/>
  <c r="D93" i="25"/>
  <c r="C93" i="25"/>
  <c r="I92" i="25"/>
  <c r="H92" i="25"/>
  <c r="G92" i="25"/>
  <c r="F92" i="25"/>
  <c r="E92" i="25"/>
  <c r="C92" i="25"/>
  <c r="E82" i="25"/>
  <c r="J82" i="25" s="1"/>
  <c r="I76" i="25"/>
  <c r="H76" i="25"/>
  <c r="G76" i="25"/>
  <c r="F76" i="25"/>
  <c r="E76" i="25"/>
  <c r="D76" i="25"/>
  <c r="C76" i="25"/>
  <c r="M75" i="25"/>
  <c r="I75" i="25"/>
  <c r="H75" i="25"/>
  <c r="G75" i="25"/>
  <c r="F75" i="25"/>
  <c r="E75" i="25"/>
  <c r="C75" i="25"/>
  <c r="N73" i="25"/>
  <c r="O73" i="25" s="1"/>
  <c r="W73" i="25" s="1"/>
  <c r="N72" i="25"/>
  <c r="I67" i="25"/>
  <c r="H67" i="25"/>
  <c r="G67" i="25"/>
  <c r="F67" i="25"/>
  <c r="E67" i="25"/>
  <c r="D67" i="25"/>
  <c r="C67" i="25"/>
  <c r="I66" i="25"/>
  <c r="H66" i="25"/>
  <c r="G66" i="25"/>
  <c r="F66" i="25"/>
  <c r="E66" i="25"/>
  <c r="C66" i="25"/>
  <c r="I50" i="25"/>
  <c r="H50" i="25"/>
  <c r="G50" i="25"/>
  <c r="F50" i="25"/>
  <c r="E50" i="25"/>
  <c r="D50" i="25"/>
  <c r="C50" i="25"/>
  <c r="I49" i="25"/>
  <c r="H49" i="25"/>
  <c r="G49" i="25"/>
  <c r="F49" i="25"/>
  <c r="E49" i="25"/>
  <c r="C49" i="25"/>
  <c r="N48" i="25"/>
  <c r="P48" i="25" s="1"/>
  <c r="Q48" i="25" s="1"/>
  <c r="R48" i="25" s="1"/>
  <c r="N47" i="25"/>
  <c r="I41" i="25"/>
  <c r="H41" i="25"/>
  <c r="G41" i="25"/>
  <c r="F41" i="25"/>
  <c r="E41" i="25"/>
  <c r="D41" i="25"/>
  <c r="C41" i="25"/>
  <c r="I40" i="25"/>
  <c r="H40" i="25"/>
  <c r="G40" i="25"/>
  <c r="F40" i="25"/>
  <c r="E40" i="25"/>
  <c r="C40" i="25"/>
  <c r="N38" i="25"/>
  <c r="O38" i="25" s="1"/>
  <c r="N37" i="25"/>
  <c r="E30" i="25"/>
  <c r="K30" i="25" s="1"/>
  <c r="I24" i="25"/>
  <c r="H24" i="25"/>
  <c r="G24" i="25"/>
  <c r="F24" i="25"/>
  <c r="E24" i="25"/>
  <c r="D24" i="25"/>
  <c r="C24" i="25"/>
  <c r="I23" i="25"/>
  <c r="H23" i="25"/>
  <c r="G23" i="25"/>
  <c r="F23" i="25"/>
  <c r="E23" i="25"/>
  <c r="C23" i="25"/>
  <c r="N22" i="25"/>
  <c r="O22" i="25" s="1"/>
  <c r="W22" i="25" s="1"/>
  <c r="I15" i="25"/>
  <c r="H15" i="25"/>
  <c r="G15" i="25"/>
  <c r="F15" i="25"/>
  <c r="E15" i="25"/>
  <c r="D15" i="25"/>
  <c r="C15" i="25"/>
  <c r="AA14" i="25" s="1"/>
  <c r="P23" i="27" s="1"/>
  <c r="H14" i="25"/>
  <c r="G14" i="25"/>
  <c r="E14" i="25"/>
  <c r="C14" i="25"/>
  <c r="N13" i="25"/>
  <c r="O13" i="25" s="1"/>
  <c r="W13" i="25" s="1"/>
  <c r="N12" i="25"/>
  <c r="X40" i="22"/>
  <c r="I144" i="22"/>
  <c r="H144" i="22"/>
  <c r="G144" i="22"/>
  <c r="F144" i="22"/>
  <c r="E144" i="22"/>
  <c r="D144" i="22"/>
  <c r="C144" i="22"/>
  <c r="AA143" i="22" s="1"/>
  <c r="I143" i="22"/>
  <c r="H143" i="22"/>
  <c r="G143" i="22"/>
  <c r="F143" i="22"/>
  <c r="E143" i="22"/>
  <c r="C143" i="22"/>
  <c r="I135" i="22"/>
  <c r="H135" i="22"/>
  <c r="G135" i="22"/>
  <c r="F135" i="22"/>
  <c r="E135" i="22"/>
  <c r="D135" i="22"/>
  <c r="C135" i="22"/>
  <c r="AA134" i="22" s="1"/>
  <c r="I134" i="22"/>
  <c r="H134" i="22"/>
  <c r="G134" i="22"/>
  <c r="F134" i="22"/>
  <c r="E134" i="22"/>
  <c r="C134" i="22"/>
  <c r="F124" i="22"/>
  <c r="K124" i="22" s="1"/>
  <c r="G74" i="22"/>
  <c r="F64" i="22"/>
  <c r="K64" i="22" s="1"/>
  <c r="I114" i="22"/>
  <c r="H114" i="22"/>
  <c r="G114" i="22"/>
  <c r="F114" i="22"/>
  <c r="E114" i="22"/>
  <c r="D114" i="22"/>
  <c r="C114" i="22"/>
  <c r="I113" i="22"/>
  <c r="H113" i="22"/>
  <c r="G113" i="22"/>
  <c r="F113" i="22"/>
  <c r="E113" i="22"/>
  <c r="C113" i="22"/>
  <c r="N112" i="22"/>
  <c r="N111" i="22"/>
  <c r="P111" i="22" s="1"/>
  <c r="Q111" i="22" s="1"/>
  <c r="I105" i="22"/>
  <c r="H105" i="22"/>
  <c r="G105" i="22"/>
  <c r="F105" i="22"/>
  <c r="E105" i="22"/>
  <c r="D105" i="22"/>
  <c r="C105" i="22"/>
  <c r="I104" i="22"/>
  <c r="H104" i="22"/>
  <c r="G104" i="22"/>
  <c r="F104" i="22"/>
  <c r="E104" i="22"/>
  <c r="C104" i="22"/>
  <c r="E94" i="22"/>
  <c r="J94" i="22" s="1"/>
  <c r="J98" i="22" s="1"/>
  <c r="I84" i="22"/>
  <c r="H84" i="22"/>
  <c r="G84" i="22"/>
  <c r="F84" i="22"/>
  <c r="E84" i="22"/>
  <c r="D84" i="22"/>
  <c r="C84" i="22"/>
  <c r="I83" i="22"/>
  <c r="H83" i="22"/>
  <c r="G83" i="22"/>
  <c r="F83" i="22"/>
  <c r="E83" i="22"/>
  <c r="C83" i="22"/>
  <c r="I75" i="22"/>
  <c r="H75" i="22"/>
  <c r="G75" i="22"/>
  <c r="F75" i="22"/>
  <c r="E75" i="22"/>
  <c r="D75" i="22"/>
  <c r="C75" i="22"/>
  <c r="I74" i="22"/>
  <c r="H74" i="22"/>
  <c r="F74" i="22"/>
  <c r="E74" i="22"/>
  <c r="C74" i="22"/>
  <c r="N73" i="22"/>
  <c r="P73" i="22" s="1"/>
  <c r="F47" i="22"/>
  <c r="I57" i="22"/>
  <c r="H57" i="22"/>
  <c r="G57" i="22"/>
  <c r="F57" i="22"/>
  <c r="E57" i="22"/>
  <c r="D57" i="22"/>
  <c r="C57" i="22"/>
  <c r="I56" i="22"/>
  <c r="H56" i="22"/>
  <c r="G56" i="22"/>
  <c r="F56" i="22"/>
  <c r="E56" i="22"/>
  <c r="C56" i="22"/>
  <c r="N55" i="22"/>
  <c r="P55" i="22" s="1"/>
  <c r="Q55" i="22" s="1"/>
  <c r="R55" i="22" s="1"/>
  <c r="N54" i="22"/>
  <c r="P54" i="22" s="1"/>
  <c r="Q54" i="22" s="1"/>
  <c r="R54" i="22" s="1"/>
  <c r="I48" i="22"/>
  <c r="H48" i="22"/>
  <c r="G48" i="22"/>
  <c r="F48" i="22"/>
  <c r="E48" i="22"/>
  <c r="D48" i="22"/>
  <c r="C48" i="22"/>
  <c r="I47" i="22"/>
  <c r="H47" i="22"/>
  <c r="G47" i="22"/>
  <c r="E47" i="22"/>
  <c r="C47" i="22"/>
  <c r="E37" i="22"/>
  <c r="J37" i="22" s="1"/>
  <c r="I27" i="22"/>
  <c r="H27" i="22"/>
  <c r="G27" i="22"/>
  <c r="F27" i="22"/>
  <c r="E27" i="22"/>
  <c r="D27" i="22"/>
  <c r="C27" i="22"/>
  <c r="AA26" i="22" s="1"/>
  <c r="P5" i="27" s="1"/>
  <c r="I26" i="22"/>
  <c r="H26" i="22"/>
  <c r="G26" i="22"/>
  <c r="F26" i="22"/>
  <c r="E26" i="22"/>
  <c r="C26" i="22"/>
  <c r="I18" i="22"/>
  <c r="H18" i="22"/>
  <c r="G18" i="22"/>
  <c r="F18" i="22"/>
  <c r="E18" i="22"/>
  <c r="D18" i="22"/>
  <c r="C18" i="22"/>
  <c r="AA17" i="22" s="1"/>
  <c r="P4" i="27" s="1"/>
  <c r="I17" i="22"/>
  <c r="H17" i="22"/>
  <c r="G17" i="22"/>
  <c r="F17" i="22"/>
  <c r="E17" i="22"/>
  <c r="C17" i="22"/>
  <c r="E7" i="22"/>
  <c r="K7" i="22" s="1"/>
  <c r="F34" i="21" l="1"/>
  <c r="M17" i="22"/>
  <c r="D26" i="22"/>
  <c r="Z26" i="22"/>
  <c r="O5" i="27" s="1"/>
  <c r="Z105" i="22"/>
  <c r="AA104" i="22"/>
  <c r="P13" i="27" s="1"/>
  <c r="D143" i="22"/>
  <c r="Z143" i="22"/>
  <c r="Z24" i="25"/>
  <c r="AA23" i="25"/>
  <c r="P24" i="27" s="1"/>
  <c r="Z50" i="25"/>
  <c r="AA49" i="25"/>
  <c r="P27" i="27" s="1"/>
  <c r="Z102" i="26"/>
  <c r="AA101" i="26"/>
  <c r="P52" i="27" s="1"/>
  <c r="D132" i="25"/>
  <c r="Z132" i="25"/>
  <c r="O36" i="27" s="1"/>
  <c r="D74" i="22"/>
  <c r="Z74" i="22"/>
  <c r="O10" i="27" s="1"/>
  <c r="D113" i="22"/>
  <c r="Z113" i="22"/>
  <c r="O14" i="27" s="1"/>
  <c r="G8" i="27"/>
  <c r="U6" i="27" s="1"/>
  <c r="AA40" i="25"/>
  <c r="P26" i="27" s="1"/>
  <c r="Z41" i="25"/>
  <c r="AA92" i="25"/>
  <c r="P32" i="27" s="1"/>
  <c r="Z93" i="25"/>
  <c r="D49" i="26"/>
  <c r="Z49" i="26"/>
  <c r="O46" i="27" s="1"/>
  <c r="O98" i="26"/>
  <c r="D17" i="22"/>
  <c r="Z17" i="22"/>
  <c r="O4" i="27" s="1"/>
  <c r="AA74" i="22"/>
  <c r="P10" i="27" s="1"/>
  <c r="Z75" i="22"/>
  <c r="D104" i="22"/>
  <c r="Z104" i="22"/>
  <c r="O13" i="27" s="1"/>
  <c r="D134" i="22"/>
  <c r="Z134" i="22"/>
  <c r="D49" i="25"/>
  <c r="Z49" i="25"/>
  <c r="O27" i="27" s="1"/>
  <c r="D66" i="25"/>
  <c r="Z66" i="25"/>
  <c r="O29" i="27" s="1"/>
  <c r="Z102" i="25"/>
  <c r="AA101" i="25"/>
  <c r="P33" i="27" s="1"/>
  <c r="J56" i="25"/>
  <c r="Z24" i="26"/>
  <c r="AA23" i="26"/>
  <c r="P43" i="27" s="1"/>
  <c r="Z76" i="26"/>
  <c r="AA75" i="26"/>
  <c r="P49" i="27" s="1"/>
  <c r="D92" i="26"/>
  <c r="Z92" i="26"/>
  <c r="O51" i="27" s="1"/>
  <c r="D101" i="26"/>
  <c r="Z133" i="25"/>
  <c r="AA132" i="25"/>
  <c r="P36" i="27" s="1"/>
  <c r="Z124" i="26"/>
  <c r="AA123" i="26"/>
  <c r="P54" i="27" s="1"/>
  <c r="Z133" i="26"/>
  <c r="AA132" i="26"/>
  <c r="P55" i="27" s="1"/>
  <c r="E34" i="21"/>
  <c r="Z48" i="22"/>
  <c r="AA47" i="22"/>
  <c r="P7" i="27" s="1"/>
  <c r="D23" i="25"/>
  <c r="Z23" i="25"/>
  <c r="O24" i="27" s="1"/>
  <c r="Z67" i="25"/>
  <c r="AA66" i="25"/>
  <c r="P29" i="27" s="1"/>
  <c r="AA75" i="25"/>
  <c r="P30" i="27" s="1"/>
  <c r="Z76" i="25"/>
  <c r="D101" i="25"/>
  <c r="Z101" i="25"/>
  <c r="O33" i="27" s="1"/>
  <c r="AA14" i="26"/>
  <c r="P42" i="27" s="1"/>
  <c r="Z15" i="26"/>
  <c r="D66" i="26"/>
  <c r="Z66" i="26"/>
  <c r="O48" i="27" s="1"/>
  <c r="D75" i="26"/>
  <c r="Z75" i="26"/>
  <c r="O49" i="27" s="1"/>
  <c r="AA92" i="26"/>
  <c r="P51" i="27" s="1"/>
  <c r="Z93" i="26"/>
  <c r="D123" i="26"/>
  <c r="Z123" i="26"/>
  <c r="O54" i="27" s="1"/>
  <c r="D56" i="22"/>
  <c r="Z56" i="22"/>
  <c r="O8" i="27" s="1"/>
  <c r="AA83" i="22"/>
  <c r="P11" i="27" s="1"/>
  <c r="Z84" i="22"/>
  <c r="D75" i="25"/>
  <c r="Z75" i="25"/>
  <c r="O30" i="27" s="1"/>
  <c r="D40" i="26"/>
  <c r="Z40" i="26"/>
  <c r="O45" i="27" s="1"/>
  <c r="D123" i="25"/>
  <c r="Z123" i="25"/>
  <c r="O35" i="27" s="1"/>
  <c r="D132" i="26"/>
  <c r="D47" i="22"/>
  <c r="Z47" i="22"/>
  <c r="O7" i="27" s="1"/>
  <c r="Z57" i="22"/>
  <c r="AA56" i="22"/>
  <c r="P8" i="27" s="1"/>
  <c r="D83" i="22"/>
  <c r="Z83" i="22"/>
  <c r="O11" i="27" s="1"/>
  <c r="AA113" i="22"/>
  <c r="P14" i="27" s="1"/>
  <c r="Z114" i="22"/>
  <c r="D40" i="25"/>
  <c r="Z40" i="25"/>
  <c r="O26" i="27" s="1"/>
  <c r="D92" i="25"/>
  <c r="Z92" i="25"/>
  <c r="O32" i="27" s="1"/>
  <c r="M84" i="22"/>
  <c r="M143" i="22"/>
  <c r="D14" i="26"/>
  <c r="Z14" i="26"/>
  <c r="O42" i="27" s="1"/>
  <c r="D23" i="26"/>
  <c r="Z23" i="26"/>
  <c r="O43" i="27" s="1"/>
  <c r="Z41" i="26"/>
  <c r="AA40" i="26"/>
  <c r="P45" i="27" s="1"/>
  <c r="AA49" i="26"/>
  <c r="P46" i="27" s="1"/>
  <c r="Z50" i="26"/>
  <c r="AA66" i="26"/>
  <c r="P48" i="27" s="1"/>
  <c r="Z67" i="26"/>
  <c r="AA123" i="25"/>
  <c r="P35" i="27" s="1"/>
  <c r="Z124" i="25"/>
  <c r="K4" i="25"/>
  <c r="K82" i="25"/>
  <c r="D14" i="25"/>
  <c r="Z14" i="25"/>
  <c r="O23" i="27" s="1"/>
  <c r="M144" i="22"/>
  <c r="M105" i="22"/>
  <c r="M134" i="22"/>
  <c r="J64" i="22"/>
  <c r="J68" i="22" s="1"/>
  <c r="D34" i="21"/>
  <c r="C33" i="21"/>
  <c r="C34" i="21"/>
  <c r="F33" i="21"/>
  <c r="D33" i="21"/>
  <c r="E33" i="21"/>
  <c r="N101" i="26"/>
  <c r="P37" i="25"/>
  <c r="Q37" i="25" s="1"/>
  <c r="R37" i="25" s="1"/>
  <c r="S37" i="25" s="1"/>
  <c r="X37" i="25" s="1"/>
  <c r="R21" i="25"/>
  <c r="S21" i="25" s="1"/>
  <c r="X21" i="25" s="1"/>
  <c r="W131" i="26"/>
  <c r="M123" i="26"/>
  <c r="N124" i="26"/>
  <c r="P121" i="26"/>
  <c r="O121" i="26"/>
  <c r="P130" i="26"/>
  <c r="Q130" i="26" s="1"/>
  <c r="R130" i="26" s="1"/>
  <c r="S130" i="26" s="1"/>
  <c r="W130" i="26"/>
  <c r="P122" i="26"/>
  <c r="Q122" i="26" s="1"/>
  <c r="R122" i="26" s="1"/>
  <c r="S122" i="26" s="1"/>
  <c r="X122" i="26" s="1"/>
  <c r="W122" i="26"/>
  <c r="K116" i="26"/>
  <c r="K117" i="26"/>
  <c r="J113" i="26"/>
  <c r="L113" i="26" s="1"/>
  <c r="P120" i="26"/>
  <c r="Q120" i="26" s="1"/>
  <c r="R120" i="26" s="1"/>
  <c r="S120" i="26" s="1"/>
  <c r="P131" i="26"/>
  <c r="Q131" i="26" s="1"/>
  <c r="R131" i="26" s="1"/>
  <c r="M133" i="26"/>
  <c r="N123" i="26"/>
  <c r="N129" i="26"/>
  <c r="O129" i="26" s="1"/>
  <c r="O120" i="26"/>
  <c r="W120" i="26" s="1"/>
  <c r="M132" i="25"/>
  <c r="P122" i="25"/>
  <c r="Q122" i="25" s="1"/>
  <c r="R122" i="25" s="1"/>
  <c r="S122" i="25" s="1"/>
  <c r="X122" i="25" s="1"/>
  <c r="Y122" i="25" s="1"/>
  <c r="O130" i="25"/>
  <c r="W130" i="25" s="1"/>
  <c r="P121" i="25"/>
  <c r="O121" i="25"/>
  <c r="X130" i="25"/>
  <c r="P131" i="25"/>
  <c r="Q131" i="25" s="1"/>
  <c r="R131" i="25" s="1"/>
  <c r="W131" i="25"/>
  <c r="M124" i="25"/>
  <c r="M133" i="25"/>
  <c r="N129" i="25"/>
  <c r="N120" i="25"/>
  <c r="J33" i="26"/>
  <c r="W31" i="26" s="1"/>
  <c r="E44" i="27" s="1"/>
  <c r="M49" i="26"/>
  <c r="K30" i="26"/>
  <c r="M102" i="26"/>
  <c r="S91" i="26"/>
  <c r="X91" i="26" s="1"/>
  <c r="M75" i="26"/>
  <c r="M67" i="26"/>
  <c r="R73" i="26"/>
  <c r="S73" i="26" s="1"/>
  <c r="X73" i="26" s="1"/>
  <c r="K56" i="26"/>
  <c r="K60" i="26" s="1"/>
  <c r="M50" i="26"/>
  <c r="P47" i="26"/>
  <c r="Q47" i="26" s="1"/>
  <c r="R47" i="26" s="1"/>
  <c r="S47" i="26" s="1"/>
  <c r="X47" i="26" s="1"/>
  <c r="S48" i="26"/>
  <c r="X48" i="26" s="1"/>
  <c r="X49" i="26" s="1"/>
  <c r="M14" i="26"/>
  <c r="S99" i="26"/>
  <c r="S65" i="26"/>
  <c r="X65" i="26" s="1"/>
  <c r="Y65" i="26" s="1"/>
  <c r="S21" i="26"/>
  <c r="X21" i="26" s="1"/>
  <c r="K4" i="26"/>
  <c r="L4" i="26" s="1"/>
  <c r="L8" i="26" s="1"/>
  <c r="J8" i="26"/>
  <c r="J7" i="26"/>
  <c r="O13" i="26"/>
  <c r="W13" i="26" s="1"/>
  <c r="P13" i="26"/>
  <c r="Q13" i="26" s="1"/>
  <c r="P22" i="26"/>
  <c r="Q22" i="26" s="1"/>
  <c r="O22" i="26"/>
  <c r="W22" i="26" s="1"/>
  <c r="Q38" i="26"/>
  <c r="R38" i="26" s="1"/>
  <c r="P46" i="26"/>
  <c r="N49" i="26"/>
  <c r="O46" i="26"/>
  <c r="N12" i="26"/>
  <c r="N14" i="26" s="1"/>
  <c r="M23" i="26"/>
  <c r="W55" i="26"/>
  <c r="O38" i="26"/>
  <c r="M92" i="26"/>
  <c r="N50" i="26"/>
  <c r="K86" i="26"/>
  <c r="K85" i="26"/>
  <c r="X83" i="26" s="1"/>
  <c r="G50" i="27" s="1"/>
  <c r="N20" i="26"/>
  <c r="P64" i="26"/>
  <c r="O64" i="26"/>
  <c r="W100" i="26"/>
  <c r="W101" i="26" s="1"/>
  <c r="W85" i="26" s="1"/>
  <c r="E52" i="27" s="1"/>
  <c r="S48" i="27" s="1"/>
  <c r="P100" i="26"/>
  <c r="Q100" i="26" s="1"/>
  <c r="M24" i="26"/>
  <c r="K33" i="26"/>
  <c r="X31" i="26" s="1"/>
  <c r="G44" i="27" s="1"/>
  <c r="L30" i="26"/>
  <c r="P74" i="26"/>
  <c r="Q74" i="26" s="1"/>
  <c r="O74" i="26"/>
  <c r="W74" i="26" s="1"/>
  <c r="W75" i="26" s="1"/>
  <c r="W59" i="26" s="1"/>
  <c r="E49" i="27" s="1"/>
  <c r="S46" i="27" s="1"/>
  <c r="P90" i="26"/>
  <c r="O90" i="26"/>
  <c r="M15" i="26"/>
  <c r="K8" i="26"/>
  <c r="N15" i="26"/>
  <c r="M40" i="26"/>
  <c r="M41" i="26"/>
  <c r="N37" i="26"/>
  <c r="P39" i="26"/>
  <c r="Q39" i="26" s="1"/>
  <c r="O39" i="26"/>
  <c r="W39" i="26" s="1"/>
  <c r="J60" i="26"/>
  <c r="J59" i="26"/>
  <c r="W57" i="26" s="1"/>
  <c r="E47" i="27" s="1"/>
  <c r="Q98" i="26"/>
  <c r="R98" i="26" s="1"/>
  <c r="S98" i="26" s="1"/>
  <c r="O11" i="26"/>
  <c r="W11" i="26" s="1"/>
  <c r="O21" i="26"/>
  <c r="W21" i="26" s="1"/>
  <c r="K34" i="26"/>
  <c r="P11" i="26"/>
  <c r="Q11" i="26" s="1"/>
  <c r="K59" i="26"/>
  <c r="X57" i="26" s="1"/>
  <c r="G47" i="27" s="1"/>
  <c r="O99" i="26"/>
  <c r="O48" i="26"/>
  <c r="W48" i="26" s="1"/>
  <c r="W49" i="26" s="1"/>
  <c r="W33" i="26" s="1"/>
  <c r="E46" i="27" s="1"/>
  <c r="S44" i="27" s="1"/>
  <c r="O73" i="26"/>
  <c r="W73" i="26" s="1"/>
  <c r="M76" i="26"/>
  <c r="J82" i="26"/>
  <c r="L82" i="26" s="1"/>
  <c r="N89" i="26"/>
  <c r="O91" i="26"/>
  <c r="W91" i="26" s="1"/>
  <c r="M93" i="26"/>
  <c r="N72" i="26"/>
  <c r="N63" i="26"/>
  <c r="M102" i="25"/>
  <c r="R99" i="25"/>
  <c r="S99" i="25" s="1"/>
  <c r="R74" i="25"/>
  <c r="S74" i="25" s="1"/>
  <c r="X74" i="25" s="1"/>
  <c r="M40" i="25"/>
  <c r="M41" i="25"/>
  <c r="P38" i="25"/>
  <c r="P40" i="25" s="1"/>
  <c r="S48" i="25"/>
  <c r="X48" i="25" s="1"/>
  <c r="S39" i="25"/>
  <c r="X39" i="25" s="1"/>
  <c r="J30" i="25"/>
  <c r="L30" i="25" s="1"/>
  <c r="P100" i="25"/>
  <c r="Q100" i="25" s="1"/>
  <c r="O100" i="25"/>
  <c r="W100" i="25" s="1"/>
  <c r="P73" i="25"/>
  <c r="Q73" i="25" s="1"/>
  <c r="N40" i="25"/>
  <c r="N140" i="22"/>
  <c r="P140" i="22" s="1"/>
  <c r="Q140" i="22" s="1"/>
  <c r="Q73" i="22"/>
  <c r="R73" i="22" s="1"/>
  <c r="S73" i="22" s="1"/>
  <c r="X73" i="22" s="1"/>
  <c r="P22" i="25"/>
  <c r="Q22" i="25" s="1"/>
  <c r="P13" i="25"/>
  <c r="Q13" i="25" s="1"/>
  <c r="M15" i="25"/>
  <c r="J8" i="25"/>
  <c r="O21" i="25"/>
  <c r="W21" i="25" s="1"/>
  <c r="J7" i="25"/>
  <c r="M14" i="25"/>
  <c r="P12" i="25"/>
  <c r="O12" i="25"/>
  <c r="K33" i="25"/>
  <c r="P47" i="25"/>
  <c r="Q47" i="25" s="1"/>
  <c r="O47" i="25"/>
  <c r="W47" i="25" s="1"/>
  <c r="P64" i="25"/>
  <c r="O64" i="25"/>
  <c r="N11" i="25"/>
  <c r="N20" i="25"/>
  <c r="P20" i="25" s="1"/>
  <c r="K34" i="25"/>
  <c r="W38" i="25"/>
  <c r="O39" i="25"/>
  <c r="Q38" i="25"/>
  <c r="R38" i="25" s="1"/>
  <c r="M66" i="25"/>
  <c r="N41" i="25"/>
  <c r="O37" i="25"/>
  <c r="W37" i="25" s="1"/>
  <c r="N75" i="25"/>
  <c r="O72" i="25"/>
  <c r="P72" i="25"/>
  <c r="N76" i="25"/>
  <c r="O48" i="25"/>
  <c r="W48" i="25" s="1"/>
  <c r="Y48" i="25" s="1"/>
  <c r="K60" i="25"/>
  <c r="K59" i="25"/>
  <c r="O65" i="25"/>
  <c r="W65" i="25" s="1"/>
  <c r="P65" i="25"/>
  <c r="Q65" i="25" s="1"/>
  <c r="P91" i="25"/>
  <c r="Q91" i="25" s="1"/>
  <c r="M23" i="25"/>
  <c r="P90" i="25"/>
  <c r="O90" i="25"/>
  <c r="M76" i="25"/>
  <c r="M93" i="25"/>
  <c r="N89" i="25"/>
  <c r="M101" i="25"/>
  <c r="N98" i="25"/>
  <c r="M50" i="25"/>
  <c r="O74" i="25"/>
  <c r="W74" i="25" s="1"/>
  <c r="N46" i="25"/>
  <c r="M92" i="25"/>
  <c r="O99" i="25"/>
  <c r="W99" i="25" s="1"/>
  <c r="M67" i="25"/>
  <c r="N63" i="25"/>
  <c r="J124" i="22"/>
  <c r="L124" i="22" s="1"/>
  <c r="K128" i="22"/>
  <c r="K127" i="22"/>
  <c r="X125" i="22" s="1"/>
  <c r="Q132" i="22"/>
  <c r="O142" i="22"/>
  <c r="W142" i="22" s="1"/>
  <c r="P142" i="22"/>
  <c r="Q142" i="22" s="1"/>
  <c r="R142" i="22" s="1"/>
  <c r="S142" i="22" s="1"/>
  <c r="X142" i="22" s="1"/>
  <c r="O133" i="22"/>
  <c r="W133" i="22" s="1"/>
  <c r="P133" i="22"/>
  <c r="Q133" i="22" s="1"/>
  <c r="R133" i="22" s="1"/>
  <c r="S133" i="22" s="1"/>
  <c r="X133" i="22" s="1"/>
  <c r="O132" i="22"/>
  <c r="M135" i="22"/>
  <c r="N141" i="22"/>
  <c r="N131" i="22"/>
  <c r="R111" i="22"/>
  <c r="S111" i="22" s="1"/>
  <c r="X111" i="22" s="1"/>
  <c r="R103" i="22"/>
  <c r="S103" i="22" s="1"/>
  <c r="X103" i="22" s="1"/>
  <c r="M113" i="22"/>
  <c r="M114" i="22"/>
  <c r="N110" i="22"/>
  <c r="P110" i="22" s="1"/>
  <c r="Q110" i="22" s="1"/>
  <c r="M83" i="22"/>
  <c r="M74" i="22"/>
  <c r="M75" i="22"/>
  <c r="N75" i="22"/>
  <c r="O111" i="22"/>
  <c r="W111" i="22" s="1"/>
  <c r="P81" i="22"/>
  <c r="O73" i="22"/>
  <c r="W73" i="22" s="1"/>
  <c r="P72" i="22"/>
  <c r="J97" i="22"/>
  <c r="W95" i="22" s="1"/>
  <c r="E12" i="27" s="1"/>
  <c r="K94" i="22"/>
  <c r="W72" i="22"/>
  <c r="P102" i="22"/>
  <c r="Q102" i="22" s="1"/>
  <c r="O102" i="22"/>
  <c r="N80" i="22"/>
  <c r="O103" i="22"/>
  <c r="W103" i="22" s="1"/>
  <c r="N74" i="22"/>
  <c r="M104" i="22"/>
  <c r="N101" i="22"/>
  <c r="P112" i="22"/>
  <c r="O112" i="22"/>
  <c r="W112" i="22" s="1"/>
  <c r="P82" i="22"/>
  <c r="O82" i="22"/>
  <c r="W82" i="22" s="1"/>
  <c r="M56" i="22"/>
  <c r="M47" i="22"/>
  <c r="K37" i="22"/>
  <c r="K40" i="22" s="1"/>
  <c r="X38" i="22" s="1"/>
  <c r="G6" i="27" s="1"/>
  <c r="O46" i="22"/>
  <c r="W46" i="22" s="1"/>
  <c r="S46" i="22"/>
  <c r="X46" i="22" s="1"/>
  <c r="Y46" i="22" s="1"/>
  <c r="O54" i="22"/>
  <c r="W54" i="22" s="1"/>
  <c r="S54" i="22"/>
  <c r="S55" i="22"/>
  <c r="X55" i="22" s="1"/>
  <c r="X56" i="22" s="1"/>
  <c r="O55" i="22"/>
  <c r="W55" i="22" s="1"/>
  <c r="W56" i="22" s="1"/>
  <c r="J40" i="22"/>
  <c r="W38" i="22" s="1"/>
  <c r="E6" i="27" s="1"/>
  <c r="O45" i="22"/>
  <c r="J41" i="22"/>
  <c r="N53" i="22"/>
  <c r="P53" i="22" s="1"/>
  <c r="Q53" i="22" s="1"/>
  <c r="R53" i="22" s="1"/>
  <c r="M57" i="22"/>
  <c r="M48" i="22"/>
  <c r="P44" i="22"/>
  <c r="Q44" i="22" s="1"/>
  <c r="R44" i="22" s="1"/>
  <c r="O23" i="22"/>
  <c r="N27" i="22"/>
  <c r="N26" i="22"/>
  <c r="S24" i="22"/>
  <c r="O24" i="22"/>
  <c r="W24" i="22" s="1"/>
  <c r="S25" i="22"/>
  <c r="X25" i="22" s="1"/>
  <c r="O25" i="22"/>
  <c r="W25" i="22" s="1"/>
  <c r="O15" i="22"/>
  <c r="K11" i="22"/>
  <c r="K10" i="22"/>
  <c r="X8" i="22" s="1"/>
  <c r="G3" i="27" s="1"/>
  <c r="S16" i="22"/>
  <c r="X16" i="22" s="1"/>
  <c r="O16" i="22"/>
  <c r="W16" i="22" s="1"/>
  <c r="M26" i="22"/>
  <c r="J7" i="22"/>
  <c r="M27" i="22"/>
  <c r="M18" i="22"/>
  <c r="N14" i="22"/>
  <c r="P14" i="22" s="1"/>
  <c r="Q14" i="22" s="1"/>
  <c r="R14" i="22" s="1"/>
  <c r="O140" i="22" l="1"/>
  <c r="N143" i="22"/>
  <c r="J33" i="25"/>
  <c r="W29" i="26"/>
  <c r="W5" i="26"/>
  <c r="E41" i="27" s="1"/>
  <c r="J34" i="25"/>
  <c r="X138" i="26"/>
  <c r="X114" i="26"/>
  <c r="G53" i="27" s="1"/>
  <c r="L56" i="26"/>
  <c r="L59" i="26" s="1"/>
  <c r="X81" i="25"/>
  <c r="X57" i="25"/>
  <c r="G28" i="27" s="1"/>
  <c r="W31" i="25"/>
  <c r="E25" i="27" s="1"/>
  <c r="W55" i="25"/>
  <c r="W5" i="25"/>
  <c r="E22" i="27" s="1"/>
  <c r="W29" i="25"/>
  <c r="X31" i="25"/>
  <c r="G25" i="27" s="1"/>
  <c r="X55" i="25"/>
  <c r="L37" i="22"/>
  <c r="K41" i="22"/>
  <c r="Y73" i="22"/>
  <c r="L64" i="22"/>
  <c r="L68" i="22" s="1"/>
  <c r="O75" i="22"/>
  <c r="O74" i="22"/>
  <c r="J67" i="22"/>
  <c r="W65" i="22" s="1"/>
  <c r="E9" i="27" s="1"/>
  <c r="S131" i="26"/>
  <c r="X131" i="26" s="1"/>
  <c r="Y131" i="26" s="1"/>
  <c r="W99" i="26"/>
  <c r="O101" i="26"/>
  <c r="P101" i="26"/>
  <c r="Y91" i="26"/>
  <c r="S131" i="25"/>
  <c r="S133" i="25" s="1"/>
  <c r="P41" i="25"/>
  <c r="R22" i="25"/>
  <c r="S22" i="25" s="1"/>
  <c r="R13" i="25"/>
  <c r="S13" i="25" s="1"/>
  <c r="X13" i="25" s="1"/>
  <c r="Y13" i="25" s="1"/>
  <c r="Y122" i="26"/>
  <c r="J116" i="26"/>
  <c r="J117" i="26"/>
  <c r="P129" i="26"/>
  <c r="N132" i="26"/>
  <c r="N133" i="26"/>
  <c r="X130" i="26"/>
  <c r="Y130" i="26" s="1"/>
  <c r="X120" i="26"/>
  <c r="L117" i="26"/>
  <c r="L116" i="26"/>
  <c r="Y114" i="26" s="1"/>
  <c r="I53" i="27" s="1"/>
  <c r="W121" i="26"/>
  <c r="W124" i="26" s="1"/>
  <c r="F54" i="27" s="1"/>
  <c r="T49" i="27" s="1"/>
  <c r="O124" i="26"/>
  <c r="O123" i="26"/>
  <c r="Q121" i="26"/>
  <c r="P123" i="26"/>
  <c r="P124" i="26"/>
  <c r="Y130" i="25"/>
  <c r="N124" i="25"/>
  <c r="P120" i="25"/>
  <c r="Q120" i="25" s="1"/>
  <c r="R120" i="25" s="1"/>
  <c r="S120" i="25" s="1"/>
  <c r="N123" i="25"/>
  <c r="O120" i="25"/>
  <c r="W121" i="25"/>
  <c r="O123" i="25"/>
  <c r="O124" i="25"/>
  <c r="P123" i="25"/>
  <c r="P124" i="25"/>
  <c r="Q121" i="25"/>
  <c r="P129" i="25"/>
  <c r="N133" i="25"/>
  <c r="N132" i="25"/>
  <c r="O129" i="25"/>
  <c r="N102" i="26"/>
  <c r="P102" i="26"/>
  <c r="R100" i="26"/>
  <c r="S100" i="26" s="1"/>
  <c r="X99" i="26"/>
  <c r="R74" i="26"/>
  <c r="S74" i="26" s="1"/>
  <c r="X74" i="26" s="1"/>
  <c r="X75" i="26" s="1"/>
  <c r="P41" i="26"/>
  <c r="Y48" i="26"/>
  <c r="Y49" i="26" s="1"/>
  <c r="Y33" i="26" s="1"/>
  <c r="I46" i="27" s="1"/>
  <c r="S50" i="26"/>
  <c r="R39" i="26"/>
  <c r="S39" i="26" s="1"/>
  <c r="X39" i="26" s="1"/>
  <c r="Y39" i="26" s="1"/>
  <c r="Y47" i="26"/>
  <c r="R22" i="26"/>
  <c r="S22" i="26" s="1"/>
  <c r="R13" i="26"/>
  <c r="S13" i="26" s="1"/>
  <c r="X13" i="26" s="1"/>
  <c r="Y13" i="26" s="1"/>
  <c r="R11" i="26"/>
  <c r="S11" i="26" s="1"/>
  <c r="X11" i="26" s="1"/>
  <c r="Y21" i="26"/>
  <c r="K7" i="26"/>
  <c r="L7" i="26"/>
  <c r="Q102" i="26"/>
  <c r="Q101" i="26"/>
  <c r="W38" i="26"/>
  <c r="O40" i="26"/>
  <c r="O41" i="26"/>
  <c r="L86" i="26"/>
  <c r="L85" i="26"/>
  <c r="N75" i="26"/>
  <c r="O72" i="26"/>
  <c r="N76" i="26"/>
  <c r="P72" i="26"/>
  <c r="J86" i="26"/>
  <c r="J85" i="26"/>
  <c r="W83" i="26" s="1"/>
  <c r="E50" i="27" s="1"/>
  <c r="X107" i="26"/>
  <c r="P12" i="26"/>
  <c r="O12" i="26"/>
  <c r="P40" i="26"/>
  <c r="Y73" i="26"/>
  <c r="O102" i="26"/>
  <c r="W98" i="26"/>
  <c r="X81" i="26"/>
  <c r="N40" i="26"/>
  <c r="P37" i="26"/>
  <c r="Q37" i="26" s="1"/>
  <c r="N41" i="26"/>
  <c r="O37" i="26"/>
  <c r="W37" i="26" s="1"/>
  <c r="O49" i="26"/>
  <c r="O50" i="26"/>
  <c r="W46" i="26"/>
  <c r="W64" i="26"/>
  <c r="O66" i="26"/>
  <c r="O67" i="26"/>
  <c r="W81" i="26"/>
  <c r="O93" i="26"/>
  <c r="W90" i="26"/>
  <c r="O92" i="26"/>
  <c r="L33" i="26"/>
  <c r="L34" i="26"/>
  <c r="P66" i="26"/>
  <c r="P67" i="26"/>
  <c r="Q64" i="26"/>
  <c r="R64" i="26" s="1"/>
  <c r="P49" i="26"/>
  <c r="Q46" i="26"/>
  <c r="R46" i="26" s="1"/>
  <c r="P50" i="26"/>
  <c r="N66" i="26"/>
  <c r="P63" i="26"/>
  <c r="Q63" i="26" s="1"/>
  <c r="O63" i="26"/>
  <c r="W63" i="26" s="1"/>
  <c r="W66" i="26" s="1"/>
  <c r="W58" i="26" s="1"/>
  <c r="E48" i="27" s="1"/>
  <c r="N67" i="26"/>
  <c r="N92" i="26"/>
  <c r="P89" i="26"/>
  <c r="Q89" i="26" s="1"/>
  <c r="N93" i="26"/>
  <c r="O89" i="26"/>
  <c r="W89" i="26" s="1"/>
  <c r="W92" i="26" s="1"/>
  <c r="W84" i="26" s="1"/>
  <c r="E51" i="27" s="1"/>
  <c r="Q90" i="26"/>
  <c r="R90" i="26" s="1"/>
  <c r="P92" i="26"/>
  <c r="P93" i="26"/>
  <c r="X55" i="26"/>
  <c r="P20" i="26"/>
  <c r="N24" i="26"/>
  <c r="N23" i="26"/>
  <c r="O20" i="26"/>
  <c r="Q41" i="26"/>
  <c r="Q40" i="26"/>
  <c r="R100" i="25"/>
  <c r="S100" i="25" s="1"/>
  <c r="X99" i="25"/>
  <c r="R91" i="25"/>
  <c r="S91" i="25" s="1"/>
  <c r="X91" i="25" s="1"/>
  <c r="Y91" i="25" s="1"/>
  <c r="Y74" i="25"/>
  <c r="R73" i="25"/>
  <c r="S73" i="25" s="1"/>
  <c r="R65" i="25"/>
  <c r="S65" i="25" s="1"/>
  <c r="X65" i="25" s="1"/>
  <c r="Y65" i="25" s="1"/>
  <c r="R47" i="25"/>
  <c r="S47" i="25" s="1"/>
  <c r="Q112" i="22"/>
  <c r="Q114" i="22" s="1"/>
  <c r="O110" i="22"/>
  <c r="W110" i="22" s="1"/>
  <c r="N114" i="22"/>
  <c r="Q82" i="22"/>
  <c r="R82" i="22" s="1"/>
  <c r="S82" i="22" s="1"/>
  <c r="X82" i="22" s="1"/>
  <c r="Y82" i="22" s="1"/>
  <c r="Q81" i="22"/>
  <c r="R81" i="22" s="1"/>
  <c r="S81" i="22" s="1"/>
  <c r="X81" i="22" s="1"/>
  <c r="Y81" i="22" s="1"/>
  <c r="P71" i="22"/>
  <c r="P74" i="22"/>
  <c r="Q72" i="22"/>
  <c r="Q74" i="22" s="1"/>
  <c r="W40" i="22"/>
  <c r="E8" i="27" s="1"/>
  <c r="W26" i="22"/>
  <c r="W10" i="22" s="1"/>
  <c r="E5" i="27" s="1"/>
  <c r="S4" i="27" s="1"/>
  <c r="L82" i="25"/>
  <c r="K86" i="25"/>
  <c r="K85" i="25"/>
  <c r="L33" i="25"/>
  <c r="L34" i="25"/>
  <c r="O66" i="25"/>
  <c r="W64" i="25"/>
  <c r="O67" i="25"/>
  <c r="W12" i="25"/>
  <c r="O14" i="25"/>
  <c r="O15" i="25"/>
  <c r="P93" i="25"/>
  <c r="P92" i="25"/>
  <c r="Q90" i="25"/>
  <c r="R90" i="25" s="1"/>
  <c r="P46" i="25"/>
  <c r="N50" i="25"/>
  <c r="O46" i="25"/>
  <c r="N49" i="25"/>
  <c r="J60" i="25"/>
  <c r="J59" i="25"/>
  <c r="P89" i="25"/>
  <c r="Q89" i="25" s="1"/>
  <c r="O89" i="25"/>
  <c r="W89" i="25" s="1"/>
  <c r="N92" i="25"/>
  <c r="N93" i="25"/>
  <c r="L56" i="25"/>
  <c r="J85" i="25"/>
  <c r="P67" i="25"/>
  <c r="P66" i="25"/>
  <c r="Q64" i="25"/>
  <c r="R64" i="25" s="1"/>
  <c r="P14" i="25"/>
  <c r="Q12" i="25"/>
  <c r="R12" i="25" s="1"/>
  <c r="P15" i="25"/>
  <c r="N67" i="25"/>
  <c r="N66" i="25"/>
  <c r="P63" i="25"/>
  <c r="Q63" i="25" s="1"/>
  <c r="O63" i="25"/>
  <c r="W63" i="25" s="1"/>
  <c r="O92" i="25"/>
  <c r="W90" i="25"/>
  <c r="O93" i="25"/>
  <c r="N101" i="25"/>
  <c r="O98" i="25"/>
  <c r="N102" i="25"/>
  <c r="P98" i="25"/>
  <c r="J86" i="25"/>
  <c r="Y37" i="25"/>
  <c r="Q40" i="25"/>
  <c r="Q41" i="25"/>
  <c r="O20" i="25"/>
  <c r="N24" i="25"/>
  <c r="N23" i="25"/>
  <c r="P76" i="25"/>
  <c r="P75" i="25"/>
  <c r="Q72" i="25"/>
  <c r="R72" i="25" s="1"/>
  <c r="W39" i="25"/>
  <c r="Y39" i="25" s="1"/>
  <c r="O41" i="25"/>
  <c r="N15" i="25"/>
  <c r="N14" i="25"/>
  <c r="P11" i="25"/>
  <c r="Q11" i="25" s="1"/>
  <c r="O11" i="25"/>
  <c r="W11" i="25" s="1"/>
  <c r="K7" i="25"/>
  <c r="L4" i="25"/>
  <c r="K8" i="25"/>
  <c r="Y21" i="25"/>
  <c r="O76" i="25"/>
  <c r="O75" i="25"/>
  <c r="W72" i="25"/>
  <c r="W75" i="25" s="1"/>
  <c r="W59" i="25" s="1"/>
  <c r="E30" i="27" s="1"/>
  <c r="S27" i="27" s="1"/>
  <c r="O40" i="25"/>
  <c r="P134" i="22"/>
  <c r="L127" i="22"/>
  <c r="Y125" i="22" s="1"/>
  <c r="L128" i="22"/>
  <c r="P131" i="22"/>
  <c r="Q131" i="22" s="1"/>
  <c r="R131" i="22" s="1"/>
  <c r="S131" i="22" s="1"/>
  <c r="O131" i="22"/>
  <c r="W131" i="22" s="1"/>
  <c r="N135" i="22"/>
  <c r="N134" i="22"/>
  <c r="P141" i="22"/>
  <c r="O141" i="22"/>
  <c r="W141" i="22" s="1"/>
  <c r="W143" i="22" s="1"/>
  <c r="Y142" i="22"/>
  <c r="O135" i="22"/>
  <c r="O134" i="22"/>
  <c r="W132" i="22"/>
  <c r="W134" i="22" s="1"/>
  <c r="W126" i="22" s="1"/>
  <c r="R140" i="22"/>
  <c r="W140" i="22"/>
  <c r="J128" i="22"/>
  <c r="J127" i="22"/>
  <c r="W125" i="22" s="1"/>
  <c r="Q135" i="22"/>
  <c r="R132" i="22"/>
  <c r="Q134" i="22"/>
  <c r="N144" i="22"/>
  <c r="Y133" i="22"/>
  <c r="P135" i="22"/>
  <c r="Y103" i="22"/>
  <c r="N113" i="22"/>
  <c r="W71" i="22"/>
  <c r="W74" i="22" s="1"/>
  <c r="W66" i="22" s="1"/>
  <c r="Y111" i="22"/>
  <c r="P75" i="22"/>
  <c r="K97" i="22"/>
  <c r="X95" i="22" s="1"/>
  <c r="G12" i="27" s="1"/>
  <c r="K98" i="22"/>
  <c r="L94" i="22"/>
  <c r="K68" i="22"/>
  <c r="K67" i="22"/>
  <c r="X65" i="22" s="1"/>
  <c r="G9" i="27" s="1"/>
  <c r="P80" i="22"/>
  <c r="Q80" i="22" s="1"/>
  <c r="O80" i="22"/>
  <c r="N84" i="22"/>
  <c r="N83" i="22"/>
  <c r="P114" i="22"/>
  <c r="P101" i="22"/>
  <c r="N104" i="22"/>
  <c r="O101" i="22"/>
  <c r="W101" i="22" s="1"/>
  <c r="N105" i="22"/>
  <c r="O104" i="22"/>
  <c r="O105" i="22"/>
  <c r="W102" i="22"/>
  <c r="R110" i="22"/>
  <c r="P105" i="22"/>
  <c r="P104" i="22"/>
  <c r="P113" i="22"/>
  <c r="L41" i="22"/>
  <c r="L40" i="22"/>
  <c r="Y38" i="22" s="1"/>
  <c r="I6" i="27" s="1"/>
  <c r="P47" i="22"/>
  <c r="P48" i="22"/>
  <c r="N56" i="22"/>
  <c r="O53" i="22"/>
  <c r="N57" i="22"/>
  <c r="Y55" i="22"/>
  <c r="Y56" i="22" s="1"/>
  <c r="Y40" i="22" s="1"/>
  <c r="I8" i="27" s="1"/>
  <c r="N48" i="22"/>
  <c r="S44" i="22"/>
  <c r="N47" i="22"/>
  <c r="O44" i="22"/>
  <c r="W44" i="22" s="1"/>
  <c r="W47" i="22" s="1"/>
  <c r="W45" i="22"/>
  <c r="O47" i="22"/>
  <c r="O48" i="22"/>
  <c r="S57" i="22"/>
  <c r="X54" i="22"/>
  <c r="Y54" i="22" s="1"/>
  <c r="P17" i="22"/>
  <c r="P18" i="22"/>
  <c r="Y16" i="22"/>
  <c r="Y25" i="22"/>
  <c r="O26" i="22"/>
  <c r="W23" i="22"/>
  <c r="W27" i="22" s="1"/>
  <c r="F5" i="27" s="1"/>
  <c r="T4" i="27" s="1"/>
  <c r="O27" i="22"/>
  <c r="J10" i="22"/>
  <c r="W8" i="22" s="1"/>
  <c r="E3" i="27" s="1"/>
  <c r="J11" i="22"/>
  <c r="L7" i="22"/>
  <c r="P27" i="22"/>
  <c r="P26" i="22"/>
  <c r="S27" i="22"/>
  <c r="X24" i="22"/>
  <c r="N17" i="22"/>
  <c r="O14" i="22"/>
  <c r="W14" i="22" s="1"/>
  <c r="N18" i="22"/>
  <c r="W15" i="22"/>
  <c r="W17" i="22" s="1"/>
  <c r="O17" i="22"/>
  <c r="O18" i="22"/>
  <c r="Y57" i="26" l="1"/>
  <c r="I47" i="27" s="1"/>
  <c r="W113" i="22"/>
  <c r="W97" i="22" s="1"/>
  <c r="S47" i="27"/>
  <c r="S45" i="27"/>
  <c r="L60" i="26"/>
  <c r="Y83" i="26"/>
  <c r="I50" i="27" s="1"/>
  <c r="X29" i="26"/>
  <c r="X5" i="26"/>
  <c r="G41" i="27" s="1"/>
  <c r="L67" i="22"/>
  <c r="Y65" i="22" s="1"/>
  <c r="I9" i="27" s="1"/>
  <c r="E10" i="27"/>
  <c r="S7" i="27" s="1"/>
  <c r="W138" i="26"/>
  <c r="W114" i="26"/>
  <c r="E53" i="27" s="1"/>
  <c r="W41" i="25"/>
  <c r="F26" i="27" s="1"/>
  <c r="T24" i="27" s="1"/>
  <c r="Y5" i="26"/>
  <c r="I41" i="27" s="1"/>
  <c r="W114" i="22"/>
  <c r="F14" i="27" s="1"/>
  <c r="T10" i="27" s="1"/>
  <c r="Y31" i="26"/>
  <c r="I44" i="27" s="1"/>
  <c r="S6" i="27"/>
  <c r="W92" i="25"/>
  <c r="W84" i="25" s="1"/>
  <c r="E32" i="27" s="1"/>
  <c r="Y31" i="25"/>
  <c r="I25" i="27" s="1"/>
  <c r="W81" i="25"/>
  <c r="W57" i="25"/>
  <c r="E28" i="27" s="1"/>
  <c r="W107" i="25"/>
  <c r="W83" i="25"/>
  <c r="E31" i="27" s="1"/>
  <c r="X107" i="25"/>
  <c r="X83" i="25"/>
  <c r="G31" i="27" s="1"/>
  <c r="X5" i="25"/>
  <c r="G22" i="27" s="1"/>
  <c r="X29" i="25"/>
  <c r="W40" i="25"/>
  <c r="W32" i="25" s="1"/>
  <c r="E26" i="27" s="1"/>
  <c r="W15" i="25"/>
  <c r="F23" i="27" s="1"/>
  <c r="T22" i="27" s="1"/>
  <c r="W14" i="25"/>
  <c r="W6" i="25" s="1"/>
  <c r="E23" i="27" s="1"/>
  <c r="W66" i="25"/>
  <c r="W58" i="25" s="1"/>
  <c r="E29" i="27" s="1"/>
  <c r="W67" i="25"/>
  <c r="F29" i="27" s="1"/>
  <c r="T26" i="27" s="1"/>
  <c r="W120" i="25"/>
  <c r="Q113" i="22"/>
  <c r="Q75" i="22"/>
  <c r="R72" i="22"/>
  <c r="R74" i="22" s="1"/>
  <c r="S133" i="26"/>
  <c r="Y99" i="26"/>
  <c r="X131" i="25"/>
  <c r="Y131" i="25" s="1"/>
  <c r="Y99" i="25"/>
  <c r="X22" i="25"/>
  <c r="Y22" i="25" s="1"/>
  <c r="S24" i="25"/>
  <c r="R11" i="25"/>
  <c r="S11" i="25" s="1"/>
  <c r="X11" i="25" s="1"/>
  <c r="W123" i="26"/>
  <c r="O132" i="26"/>
  <c r="O133" i="26"/>
  <c r="W129" i="26"/>
  <c r="W132" i="26" s="1"/>
  <c r="W116" i="26" s="1"/>
  <c r="E55" i="27" s="1"/>
  <c r="S50" i="27" s="1"/>
  <c r="Q123" i="26"/>
  <c r="Q124" i="26"/>
  <c r="R121" i="26"/>
  <c r="Y120" i="26"/>
  <c r="P133" i="26"/>
  <c r="P132" i="26"/>
  <c r="Q129" i="26"/>
  <c r="O132" i="25"/>
  <c r="O133" i="25"/>
  <c r="W129" i="25"/>
  <c r="P133" i="25"/>
  <c r="P132" i="25"/>
  <c r="Q129" i="25"/>
  <c r="X120" i="25"/>
  <c r="Q123" i="25"/>
  <c r="Q124" i="25"/>
  <c r="R121" i="25"/>
  <c r="W40" i="26"/>
  <c r="W32" i="26" s="1"/>
  <c r="E45" i="27" s="1"/>
  <c r="X100" i="26"/>
  <c r="S102" i="26"/>
  <c r="R89" i="26"/>
  <c r="S89" i="26" s="1"/>
  <c r="X89" i="26" s="1"/>
  <c r="R63" i="26"/>
  <c r="S63" i="26" s="1"/>
  <c r="X63" i="26" s="1"/>
  <c r="Y74" i="26"/>
  <c r="Y75" i="26" s="1"/>
  <c r="Y59" i="26" s="1"/>
  <c r="I49" i="27" s="1"/>
  <c r="S76" i="26"/>
  <c r="R37" i="26"/>
  <c r="S37" i="26" s="1"/>
  <c r="X37" i="26" s="1"/>
  <c r="X22" i="26"/>
  <c r="Y22" i="26" s="1"/>
  <c r="S24" i="26"/>
  <c r="Q49" i="26"/>
  <c r="Q50" i="26"/>
  <c r="P75" i="26"/>
  <c r="Q72" i="26"/>
  <c r="R72" i="26" s="1"/>
  <c r="P76" i="26"/>
  <c r="W50" i="26"/>
  <c r="F46" i="27" s="1"/>
  <c r="T44" i="27" s="1"/>
  <c r="Q92" i="26"/>
  <c r="Q93" i="26"/>
  <c r="W67" i="26"/>
  <c r="F48" i="27" s="1"/>
  <c r="T45" i="27" s="1"/>
  <c r="O76" i="26"/>
  <c r="W72" i="26"/>
  <c r="O75" i="26"/>
  <c r="S38" i="26"/>
  <c r="R40" i="26"/>
  <c r="R41" i="26"/>
  <c r="P24" i="26"/>
  <c r="P23" i="26"/>
  <c r="Q20" i="26"/>
  <c r="R20" i="26" s="1"/>
  <c r="W93" i="26"/>
  <c r="F51" i="27" s="1"/>
  <c r="T47" i="27" s="1"/>
  <c r="Q66" i="26"/>
  <c r="Q67" i="26"/>
  <c r="O15" i="26"/>
  <c r="W12" i="26"/>
  <c r="W14" i="26" s="1"/>
  <c r="W6" i="26" s="1"/>
  <c r="E42" i="27" s="1"/>
  <c r="O14" i="26"/>
  <c r="O24" i="26"/>
  <c r="O23" i="26"/>
  <c r="W20" i="26"/>
  <c r="W23" i="26" s="1"/>
  <c r="W7" i="26" s="1"/>
  <c r="E43" i="27" s="1"/>
  <c r="S42" i="27" s="1"/>
  <c r="W41" i="26"/>
  <c r="F45" i="27" s="1"/>
  <c r="T43" i="27" s="1"/>
  <c r="W102" i="26"/>
  <c r="F52" i="27" s="1"/>
  <c r="T48" i="27" s="1"/>
  <c r="Q12" i="26"/>
  <c r="R12" i="26" s="1"/>
  <c r="P15" i="26"/>
  <c r="P14" i="26"/>
  <c r="W107" i="26"/>
  <c r="R101" i="26"/>
  <c r="R102" i="26"/>
  <c r="Y11" i="26"/>
  <c r="X100" i="25"/>
  <c r="Y100" i="25" s="1"/>
  <c r="S102" i="25"/>
  <c r="R89" i="25"/>
  <c r="S89" i="25" s="1"/>
  <c r="X89" i="25" s="1"/>
  <c r="S76" i="25"/>
  <c r="X73" i="25"/>
  <c r="Y73" i="25" s="1"/>
  <c r="R63" i="25"/>
  <c r="S63" i="25" s="1"/>
  <c r="X63" i="25" s="1"/>
  <c r="X47" i="25"/>
  <c r="S50" i="25"/>
  <c r="R112" i="22"/>
  <c r="S112" i="22" s="1"/>
  <c r="O114" i="22"/>
  <c r="O113" i="22"/>
  <c r="Q101" i="22"/>
  <c r="R101" i="22" s="1"/>
  <c r="S101" i="22" s="1"/>
  <c r="X101" i="22" s="1"/>
  <c r="S84" i="22"/>
  <c r="Q71" i="22"/>
  <c r="R71" i="22" s="1"/>
  <c r="S71" i="22" s="1"/>
  <c r="X71" i="22" s="1"/>
  <c r="Y71" i="22" s="1"/>
  <c r="W39" i="22"/>
  <c r="E7" i="27" s="1"/>
  <c r="X26" i="22"/>
  <c r="X27" i="22"/>
  <c r="H5" i="27" s="1"/>
  <c r="V4" i="27" s="1"/>
  <c r="W9" i="22"/>
  <c r="E4" i="27" s="1"/>
  <c r="W18" i="22"/>
  <c r="F4" i="27" s="1"/>
  <c r="T3" i="27" s="1"/>
  <c r="L7" i="25"/>
  <c r="L8" i="25"/>
  <c r="R41" i="25"/>
  <c r="S38" i="25"/>
  <c r="R40" i="25"/>
  <c r="W53" i="25"/>
  <c r="W27" i="25"/>
  <c r="Q75" i="25"/>
  <c r="Q76" i="25"/>
  <c r="P101" i="25"/>
  <c r="Q98" i="25"/>
  <c r="R98" i="25" s="1"/>
  <c r="P102" i="25"/>
  <c r="Q66" i="25"/>
  <c r="Q67" i="25"/>
  <c r="P50" i="25"/>
  <c r="Q46" i="25"/>
  <c r="R46" i="25" s="1"/>
  <c r="P49" i="25"/>
  <c r="P23" i="25"/>
  <c r="P24" i="25"/>
  <c r="Q20" i="25"/>
  <c r="R20" i="25" s="1"/>
  <c r="W105" i="25"/>
  <c r="W93" i="25"/>
  <c r="F32" i="27" s="1"/>
  <c r="T28" i="27" s="1"/>
  <c r="O24" i="25"/>
  <c r="O23" i="25"/>
  <c r="W20" i="25"/>
  <c r="O102" i="25"/>
  <c r="W98" i="25"/>
  <c r="O101" i="25"/>
  <c r="W80" i="25"/>
  <c r="W76" i="25"/>
  <c r="F30" i="27" s="1"/>
  <c r="T27" i="27" s="1"/>
  <c r="L59" i="25"/>
  <c r="L60" i="25"/>
  <c r="Q92" i="25"/>
  <c r="Q93" i="25"/>
  <c r="Q15" i="25"/>
  <c r="Q14" i="25"/>
  <c r="O49" i="25"/>
  <c r="W46" i="25"/>
  <c r="O50" i="25"/>
  <c r="L86" i="25"/>
  <c r="L85" i="25"/>
  <c r="O143" i="22"/>
  <c r="O144" i="22"/>
  <c r="S132" i="22"/>
  <c r="S134" i="22" s="1"/>
  <c r="R134" i="22"/>
  <c r="R135" i="22"/>
  <c r="W135" i="22"/>
  <c r="W127" i="22"/>
  <c r="W144" i="22"/>
  <c r="X131" i="22"/>
  <c r="S140" i="22"/>
  <c r="Q141" i="22"/>
  <c r="P144" i="22"/>
  <c r="P143" i="22"/>
  <c r="W75" i="22"/>
  <c r="L97" i="22"/>
  <c r="Y95" i="22" s="1"/>
  <c r="I12" i="27" s="1"/>
  <c r="L98" i="22"/>
  <c r="S110" i="22"/>
  <c r="O84" i="22"/>
  <c r="O83" i="22"/>
  <c r="W80" i="22"/>
  <c r="W83" i="22" s="1"/>
  <c r="W104" i="22"/>
  <c r="W96" i="22" s="1"/>
  <c r="W105" i="22"/>
  <c r="F13" i="27" s="1"/>
  <c r="T9" i="27" s="1"/>
  <c r="P83" i="22"/>
  <c r="P84" i="22"/>
  <c r="R102" i="22"/>
  <c r="Q104" i="22"/>
  <c r="Q105" i="22"/>
  <c r="S72" i="22"/>
  <c r="R75" i="22"/>
  <c r="S14" i="22"/>
  <c r="X14" i="22" s="1"/>
  <c r="Y24" i="22"/>
  <c r="Y26" i="22" s="1"/>
  <c r="Y10" i="22" s="1"/>
  <c r="I5" i="27" s="1"/>
  <c r="X44" i="22"/>
  <c r="Q48" i="22"/>
  <c r="Q47" i="22"/>
  <c r="P57" i="22"/>
  <c r="P56" i="22"/>
  <c r="W48" i="22"/>
  <c r="O56" i="22"/>
  <c r="O57" i="22"/>
  <c r="W53" i="22"/>
  <c r="W57" i="22" s="1"/>
  <c r="Q17" i="22"/>
  <c r="Q18" i="22"/>
  <c r="Q26" i="22"/>
  <c r="Q27" i="22"/>
  <c r="L10" i="22"/>
  <c r="Y8" i="22" s="1"/>
  <c r="I3" i="27" s="1"/>
  <c r="L11" i="22"/>
  <c r="E14" i="27" l="1"/>
  <c r="F11" i="27"/>
  <c r="T8" i="27" s="1"/>
  <c r="F8" i="27"/>
  <c r="T6" i="27" s="1"/>
  <c r="W136" i="26"/>
  <c r="W115" i="26"/>
  <c r="E54" i="27" s="1"/>
  <c r="E13" i="27"/>
  <c r="S9" i="27" s="1"/>
  <c r="S43" i="27"/>
  <c r="S41" i="27"/>
  <c r="F7" i="27"/>
  <c r="T5" i="27" s="1"/>
  <c r="F10" i="27"/>
  <c r="T7" i="27" s="1"/>
  <c r="S22" i="27"/>
  <c r="S26" i="27"/>
  <c r="S10" i="27"/>
  <c r="S24" i="27"/>
  <c r="S28" i="27"/>
  <c r="S5" i="27"/>
  <c r="S3" i="27"/>
  <c r="Y5" i="25"/>
  <c r="I22" i="27" s="1"/>
  <c r="W124" i="25"/>
  <c r="F35" i="27" s="1"/>
  <c r="T30" i="27" s="1"/>
  <c r="W123" i="25"/>
  <c r="W49" i="25"/>
  <c r="W50" i="25"/>
  <c r="F27" i="27" s="1"/>
  <c r="T25" i="27" s="1"/>
  <c r="W102" i="25"/>
  <c r="F33" i="27" s="1"/>
  <c r="T29" i="27" s="1"/>
  <c r="W101" i="25"/>
  <c r="W85" i="25" s="1"/>
  <c r="E33" i="27" s="1"/>
  <c r="S29" i="27" s="1"/>
  <c r="W79" i="25"/>
  <c r="Y57" i="25"/>
  <c r="I28" i="27" s="1"/>
  <c r="W24" i="25"/>
  <c r="F24" i="27" s="1"/>
  <c r="T23" i="27" s="1"/>
  <c r="W23" i="25"/>
  <c r="W7" i="25" s="1"/>
  <c r="E24" i="27" s="1"/>
  <c r="Y83" i="25"/>
  <c r="I31" i="27" s="1"/>
  <c r="W133" i="25"/>
  <c r="F36" i="27" s="1"/>
  <c r="T31" i="27" s="1"/>
  <c r="W132" i="25"/>
  <c r="W116" i="25" s="1"/>
  <c r="E36" i="27" s="1"/>
  <c r="S31" i="27" s="1"/>
  <c r="R113" i="22"/>
  <c r="R114" i="22"/>
  <c r="Y47" i="25"/>
  <c r="W137" i="26"/>
  <c r="W133" i="26"/>
  <c r="F55" i="27" s="1"/>
  <c r="T50" i="27" s="1"/>
  <c r="Q133" i="26"/>
  <c r="Q132" i="26"/>
  <c r="R129" i="26"/>
  <c r="S129" i="26" s="1"/>
  <c r="R123" i="26"/>
  <c r="R124" i="26"/>
  <c r="S121" i="26"/>
  <c r="Y120" i="25"/>
  <c r="Q132" i="25"/>
  <c r="R129" i="25"/>
  <c r="Q133" i="25"/>
  <c r="R124" i="25"/>
  <c r="S121" i="25"/>
  <c r="R123" i="25"/>
  <c r="Y100" i="26"/>
  <c r="Y101" i="26" s="1"/>
  <c r="Y85" i="26" s="1"/>
  <c r="I52" i="27" s="1"/>
  <c r="X101" i="26"/>
  <c r="S40" i="26"/>
  <c r="R66" i="26"/>
  <c r="R67" i="26"/>
  <c r="S64" i="26"/>
  <c r="Q24" i="26"/>
  <c r="Q23" i="26"/>
  <c r="R23" i="26" s="1"/>
  <c r="X98" i="26"/>
  <c r="S101" i="26"/>
  <c r="W15" i="26"/>
  <c r="F42" i="27" s="1"/>
  <c r="T41" i="27" s="1"/>
  <c r="W106" i="26"/>
  <c r="W105" i="26"/>
  <c r="W76" i="26"/>
  <c r="F49" i="27" s="1"/>
  <c r="T46" i="27" s="1"/>
  <c r="R92" i="26"/>
  <c r="R93" i="26"/>
  <c r="S90" i="26"/>
  <c r="Y37" i="26"/>
  <c r="Y63" i="26"/>
  <c r="Q14" i="26"/>
  <c r="Q15" i="26"/>
  <c r="W54" i="26"/>
  <c r="S41" i="26"/>
  <c r="X38" i="26"/>
  <c r="Y38" i="26" s="1"/>
  <c r="R49" i="26"/>
  <c r="S46" i="26"/>
  <c r="R50" i="26"/>
  <c r="Q75" i="26"/>
  <c r="Q76" i="26"/>
  <c r="W53" i="26"/>
  <c r="Y89" i="26"/>
  <c r="W24" i="26"/>
  <c r="F43" i="27" s="1"/>
  <c r="T42" i="27" s="1"/>
  <c r="W79" i="26"/>
  <c r="X112" i="22"/>
  <c r="Y112" i="22" s="1"/>
  <c r="S114" i="22"/>
  <c r="Y63" i="25"/>
  <c r="R14" i="25"/>
  <c r="R15" i="25"/>
  <c r="S12" i="25"/>
  <c r="Q102" i="25"/>
  <c r="Q101" i="25"/>
  <c r="Y11" i="25"/>
  <c r="Q49" i="25"/>
  <c r="Q50" i="25"/>
  <c r="R66" i="25"/>
  <c r="R67" i="25"/>
  <c r="S64" i="25"/>
  <c r="R76" i="25"/>
  <c r="R75" i="25"/>
  <c r="S72" i="25"/>
  <c r="R92" i="25"/>
  <c r="R93" i="25"/>
  <c r="S90" i="25"/>
  <c r="W106" i="25"/>
  <c r="Q24" i="25"/>
  <c r="Q23" i="25"/>
  <c r="R23" i="25" s="1"/>
  <c r="Y89" i="25"/>
  <c r="X38" i="25"/>
  <c r="X41" i="25" s="1"/>
  <c r="H26" i="27" s="1"/>
  <c r="V24" i="27" s="1"/>
  <c r="S41" i="25"/>
  <c r="S40" i="25"/>
  <c r="X140" i="22"/>
  <c r="Y131" i="22"/>
  <c r="R141" i="22"/>
  <c r="Q143" i="22"/>
  <c r="Q144" i="22"/>
  <c r="S135" i="22"/>
  <c r="X132" i="22"/>
  <c r="X134" i="22" s="1"/>
  <c r="S102" i="22"/>
  <c r="R104" i="22"/>
  <c r="R105" i="22"/>
  <c r="X110" i="22"/>
  <c r="X113" i="22" s="1"/>
  <c r="S113" i="22"/>
  <c r="S75" i="22"/>
  <c r="X72" i="22"/>
  <c r="S74" i="22"/>
  <c r="Q83" i="22"/>
  <c r="R80" i="22"/>
  <c r="Q84" i="22"/>
  <c r="Y101" i="22"/>
  <c r="W67" i="22"/>
  <c r="W84" i="22"/>
  <c r="R47" i="22"/>
  <c r="R48" i="22"/>
  <c r="S45" i="22"/>
  <c r="Q56" i="22"/>
  <c r="Q57" i="22"/>
  <c r="Y44" i="22"/>
  <c r="R18" i="22"/>
  <c r="R17" i="22"/>
  <c r="S15" i="22"/>
  <c r="Y14" i="22"/>
  <c r="R26" i="22"/>
  <c r="S23" i="22"/>
  <c r="R27" i="22"/>
  <c r="S49" i="27" l="1"/>
  <c r="W137" i="25"/>
  <c r="S23" i="27"/>
  <c r="W33" i="25"/>
  <c r="E27" i="27" s="1"/>
  <c r="W54" i="25"/>
  <c r="W115" i="25"/>
  <c r="E35" i="27" s="1"/>
  <c r="W136" i="25"/>
  <c r="E11" i="27"/>
  <c r="W111" i="26"/>
  <c r="W111" i="25"/>
  <c r="R132" i="26"/>
  <c r="R133" i="26"/>
  <c r="S124" i="26"/>
  <c r="X121" i="26"/>
  <c r="S123" i="26"/>
  <c r="S124" i="25"/>
  <c r="X121" i="25"/>
  <c r="S123" i="25"/>
  <c r="R132" i="25"/>
  <c r="S129" i="25"/>
  <c r="R133" i="25"/>
  <c r="X40" i="26"/>
  <c r="X41" i="26"/>
  <c r="H45" i="27" s="1"/>
  <c r="V43" i="27" s="1"/>
  <c r="X46" i="26"/>
  <c r="X54" i="26" s="1"/>
  <c r="S49" i="26"/>
  <c r="Y98" i="26"/>
  <c r="X102" i="26"/>
  <c r="H52" i="27" s="1"/>
  <c r="V48" i="27" s="1"/>
  <c r="W28" i="26"/>
  <c r="R75" i="26"/>
  <c r="S72" i="26"/>
  <c r="R76" i="26"/>
  <c r="R14" i="26"/>
  <c r="R15" i="26"/>
  <c r="S12" i="26"/>
  <c r="Y40" i="26"/>
  <c r="Y41" i="26"/>
  <c r="J45" i="27" s="1"/>
  <c r="S20" i="26"/>
  <c r="R24" i="26"/>
  <c r="S93" i="26"/>
  <c r="X90" i="26"/>
  <c r="X93" i="26" s="1"/>
  <c r="H51" i="27" s="1"/>
  <c r="V47" i="27" s="1"/>
  <c r="S92" i="26"/>
  <c r="W80" i="26"/>
  <c r="W27" i="26"/>
  <c r="S67" i="26"/>
  <c r="X64" i="26"/>
  <c r="X66" i="26" s="1"/>
  <c r="X58" i="26" s="1"/>
  <c r="G48" i="27" s="1"/>
  <c r="S66" i="26"/>
  <c r="W28" i="25"/>
  <c r="Y132" i="22"/>
  <c r="Y135" i="22" s="1"/>
  <c r="X126" i="22"/>
  <c r="S93" i="25"/>
  <c r="X90" i="25"/>
  <c r="S92" i="25"/>
  <c r="S20" i="25"/>
  <c r="R24" i="25"/>
  <c r="X72" i="25"/>
  <c r="X75" i="25" s="1"/>
  <c r="S75" i="25"/>
  <c r="Y38" i="25"/>
  <c r="X40" i="25"/>
  <c r="R49" i="25"/>
  <c r="S46" i="25"/>
  <c r="R50" i="25"/>
  <c r="S98" i="25"/>
  <c r="R102" i="25"/>
  <c r="R101" i="25"/>
  <c r="S15" i="25"/>
  <c r="X12" i="25"/>
  <c r="S14" i="25"/>
  <c r="S67" i="25"/>
  <c r="X64" i="25"/>
  <c r="S66" i="25"/>
  <c r="S141" i="22"/>
  <c r="R143" i="22"/>
  <c r="R144" i="22"/>
  <c r="X135" i="22"/>
  <c r="Y140" i="22"/>
  <c r="Y72" i="22"/>
  <c r="X75" i="22"/>
  <c r="X74" i="22"/>
  <c r="X66" i="22" s="1"/>
  <c r="S105" i="22"/>
  <c r="X102" i="22"/>
  <c r="S104" i="22"/>
  <c r="R84" i="22"/>
  <c r="S80" i="22"/>
  <c r="R83" i="22"/>
  <c r="X114" i="22"/>
  <c r="H14" i="27" s="1"/>
  <c r="V10" i="27" s="1"/>
  <c r="X97" i="22"/>
  <c r="Y110" i="22"/>
  <c r="S53" i="22"/>
  <c r="R57" i="22"/>
  <c r="R56" i="22"/>
  <c r="S48" i="22"/>
  <c r="X45" i="22"/>
  <c r="S47" i="22"/>
  <c r="X15" i="22"/>
  <c r="Y15" i="22" s="1"/>
  <c r="S18" i="22"/>
  <c r="S17" i="22"/>
  <c r="X23" i="22"/>
  <c r="S26" i="22"/>
  <c r="U45" i="27" l="1"/>
  <c r="K47" i="27"/>
  <c r="N47" i="27"/>
  <c r="L47" i="27"/>
  <c r="Y32" i="26"/>
  <c r="I45" i="27" s="1"/>
  <c r="X53" i="26"/>
  <c r="X32" i="26"/>
  <c r="G45" i="27" s="1"/>
  <c r="G10" i="27"/>
  <c r="U7" i="27" s="1"/>
  <c r="S25" i="27"/>
  <c r="S30" i="27"/>
  <c r="S8" i="27"/>
  <c r="X14" i="25"/>
  <c r="X6" i="25" s="1"/>
  <c r="G23" i="27" s="1"/>
  <c r="X15" i="25"/>
  <c r="H23" i="27" s="1"/>
  <c r="V22" i="27" s="1"/>
  <c r="X53" i="25"/>
  <c r="X32" i="25"/>
  <c r="G26" i="27" s="1"/>
  <c r="L25" i="27" s="1"/>
  <c r="X123" i="25"/>
  <c r="X115" i="25" s="1"/>
  <c r="G35" i="27" s="1"/>
  <c r="L34" i="27" s="1"/>
  <c r="X124" i="25"/>
  <c r="H35" i="27" s="1"/>
  <c r="V30" i="27" s="1"/>
  <c r="G14" i="27"/>
  <c r="Y121" i="26"/>
  <c r="X124" i="26"/>
  <c r="H54" i="27" s="1"/>
  <c r="V49" i="27" s="1"/>
  <c r="X123" i="26"/>
  <c r="X129" i="26"/>
  <c r="S132" i="26"/>
  <c r="S132" i="25"/>
  <c r="X129" i="25"/>
  <c r="Y121" i="25"/>
  <c r="X136" i="25"/>
  <c r="Y90" i="26"/>
  <c r="X92" i="26"/>
  <c r="X84" i="26" s="1"/>
  <c r="G51" i="27" s="1"/>
  <c r="Y64" i="26"/>
  <c r="X67" i="26"/>
  <c r="H48" i="27" s="1"/>
  <c r="V45" i="27" s="1"/>
  <c r="S15" i="26"/>
  <c r="X12" i="26"/>
  <c r="X14" i="26" s="1"/>
  <c r="X6" i="26" s="1"/>
  <c r="G42" i="27" s="1"/>
  <c r="S14" i="26"/>
  <c r="Y46" i="26"/>
  <c r="X50" i="26"/>
  <c r="H46" i="27" s="1"/>
  <c r="V44" i="27" s="1"/>
  <c r="S23" i="26"/>
  <c r="X20" i="26"/>
  <c r="X23" i="26" s="1"/>
  <c r="Y102" i="26"/>
  <c r="J52" i="27" s="1"/>
  <c r="X72" i="26"/>
  <c r="S75" i="26"/>
  <c r="X106" i="26"/>
  <c r="Y134" i="22"/>
  <c r="Y126" i="22" s="1"/>
  <c r="X18" i="22"/>
  <c r="H4" i="27" s="1"/>
  <c r="V3" i="27" s="1"/>
  <c r="X17" i="22"/>
  <c r="X9" i="22" s="1"/>
  <c r="S49" i="25"/>
  <c r="X46" i="25"/>
  <c r="X20" i="25"/>
  <c r="S23" i="25"/>
  <c r="Y12" i="25"/>
  <c r="X98" i="25"/>
  <c r="S101" i="25"/>
  <c r="X76" i="25"/>
  <c r="H30" i="27" s="1"/>
  <c r="V27" i="27" s="1"/>
  <c r="Y72" i="25"/>
  <c r="X80" i="25"/>
  <c r="Y64" i="25"/>
  <c r="X67" i="25"/>
  <c r="H29" i="27" s="1"/>
  <c r="V26" i="27" s="1"/>
  <c r="X66" i="25"/>
  <c r="Y40" i="25"/>
  <c r="Y41" i="25"/>
  <c r="J26" i="27" s="1"/>
  <c r="Y90" i="25"/>
  <c r="X93" i="25"/>
  <c r="H32" i="27" s="1"/>
  <c r="V28" i="27" s="1"/>
  <c r="X92" i="25"/>
  <c r="S144" i="22"/>
  <c r="X141" i="22"/>
  <c r="X143" i="22" s="1"/>
  <c r="S143" i="22"/>
  <c r="S83" i="22"/>
  <c r="X80" i="22"/>
  <c r="X83" i="22" s="1"/>
  <c r="X67" i="22" s="1"/>
  <c r="Y75" i="22"/>
  <c r="Y74" i="22"/>
  <c r="Y66" i="22" s="1"/>
  <c r="I10" i="27" s="1"/>
  <c r="Y114" i="22"/>
  <c r="J14" i="27" s="1"/>
  <c r="Y113" i="22"/>
  <c r="Y97" i="22" s="1"/>
  <c r="I14" i="27" s="1"/>
  <c r="Y102" i="22"/>
  <c r="X104" i="22"/>
  <c r="X96" i="22" s="1"/>
  <c r="X105" i="22"/>
  <c r="H13" i="27" s="1"/>
  <c r="V9" i="27" s="1"/>
  <c r="Y45" i="22"/>
  <c r="X47" i="22"/>
  <c r="X39" i="22" s="1"/>
  <c r="X48" i="22"/>
  <c r="X53" i="22"/>
  <c r="S56" i="22"/>
  <c r="Y23" i="22"/>
  <c r="Y17" i="22"/>
  <c r="Y9" i="22" s="1"/>
  <c r="I4" i="27" s="1"/>
  <c r="U43" i="27" l="1"/>
  <c r="K44" i="27"/>
  <c r="N44" i="27"/>
  <c r="L44" i="27"/>
  <c r="G11" i="27"/>
  <c r="G4" i="27"/>
  <c r="X136" i="26"/>
  <c r="X115" i="26"/>
  <c r="G54" i="27" s="1"/>
  <c r="X133" i="26"/>
  <c r="H55" i="27" s="1"/>
  <c r="V50" i="27" s="1"/>
  <c r="X132" i="26"/>
  <c r="X137" i="26" s="1"/>
  <c r="G13" i="27"/>
  <c r="U9" i="27" s="1"/>
  <c r="K41" i="27"/>
  <c r="U41" i="27"/>
  <c r="N41" i="27"/>
  <c r="L41" i="27"/>
  <c r="K50" i="27"/>
  <c r="U47" i="27"/>
  <c r="L50" i="27"/>
  <c r="N50" i="27"/>
  <c r="L12" i="27"/>
  <c r="N12" i="27"/>
  <c r="N25" i="27"/>
  <c r="L22" i="27"/>
  <c r="N22" i="27"/>
  <c r="H7" i="27"/>
  <c r="V5" i="27" s="1"/>
  <c r="H10" i="27"/>
  <c r="V7" i="27" s="1"/>
  <c r="G7" i="27"/>
  <c r="N6" i="27" s="1"/>
  <c r="U24" i="27"/>
  <c r="K25" i="27"/>
  <c r="U10" i="27"/>
  <c r="K12" i="27"/>
  <c r="U22" i="27"/>
  <c r="K22" i="27"/>
  <c r="U30" i="27"/>
  <c r="K34" i="27"/>
  <c r="X23" i="25"/>
  <c r="X28" i="25" s="1"/>
  <c r="X24" i="25"/>
  <c r="H24" i="27" s="1"/>
  <c r="V23" i="27" s="1"/>
  <c r="X105" i="25"/>
  <c r="X84" i="25"/>
  <c r="G32" i="27" s="1"/>
  <c r="X49" i="25"/>
  <c r="X54" i="25" s="1"/>
  <c r="X50" i="25"/>
  <c r="H27" i="27" s="1"/>
  <c r="V25" i="27" s="1"/>
  <c r="X101" i="25"/>
  <c r="X106" i="25" s="1"/>
  <c r="X102" i="25"/>
  <c r="H33" i="27" s="1"/>
  <c r="V29" i="27" s="1"/>
  <c r="Y124" i="25"/>
  <c r="J35" i="27" s="1"/>
  <c r="Y123" i="25"/>
  <c r="Y115" i="25" s="1"/>
  <c r="I35" i="27" s="1"/>
  <c r="X27" i="25"/>
  <c r="X132" i="25"/>
  <c r="X137" i="25" s="1"/>
  <c r="X133" i="25"/>
  <c r="H36" i="27" s="1"/>
  <c r="V31" i="27" s="1"/>
  <c r="Y15" i="25"/>
  <c r="J23" i="27" s="1"/>
  <c r="Y14" i="25"/>
  <c r="Y6" i="25" s="1"/>
  <c r="I23" i="27" s="1"/>
  <c r="X79" i="25"/>
  <c r="X58" i="25"/>
  <c r="G29" i="27" s="1"/>
  <c r="Y32" i="25"/>
  <c r="I26" i="27" s="1"/>
  <c r="X111" i="26"/>
  <c r="Y129" i="26"/>
  <c r="Y132" i="26" s="1"/>
  <c r="Y116" i="26" s="1"/>
  <c r="I55" i="27" s="1"/>
  <c r="Y123" i="26"/>
  <c r="Y115" i="26" s="1"/>
  <c r="I54" i="27" s="1"/>
  <c r="Y124" i="26"/>
  <c r="J54" i="27" s="1"/>
  <c r="Y129" i="25"/>
  <c r="X79" i="26"/>
  <c r="Y92" i="26"/>
  <c r="Y93" i="26"/>
  <c r="J51" i="27" s="1"/>
  <c r="Y20" i="26"/>
  <c r="Y23" i="26" s="1"/>
  <c r="Y7" i="26" s="1"/>
  <c r="I43" i="27" s="1"/>
  <c r="X24" i="26"/>
  <c r="H43" i="27" s="1"/>
  <c r="V42" i="27" s="1"/>
  <c r="Y66" i="26"/>
  <c r="Y67" i="26"/>
  <c r="J48" i="27" s="1"/>
  <c r="X15" i="26"/>
  <c r="H42" i="27" s="1"/>
  <c r="V41" i="27" s="1"/>
  <c r="Y12" i="26"/>
  <c r="Y14" i="26" s="1"/>
  <c r="Y6" i="26" s="1"/>
  <c r="I42" i="27" s="1"/>
  <c r="X76" i="26"/>
  <c r="H49" i="27" s="1"/>
  <c r="V46" i="27" s="1"/>
  <c r="Y72" i="26"/>
  <c r="Y50" i="26"/>
  <c r="J46" i="27" s="1"/>
  <c r="X105" i="26"/>
  <c r="Y46" i="25"/>
  <c r="Y75" i="25"/>
  <c r="Y76" i="25"/>
  <c r="J30" i="27" s="1"/>
  <c r="Y20" i="25"/>
  <c r="Y98" i="25"/>
  <c r="Y93" i="25"/>
  <c r="J32" i="27" s="1"/>
  <c r="Y92" i="25"/>
  <c r="Y66" i="25"/>
  <c r="Y67" i="25"/>
  <c r="J29" i="27" s="1"/>
  <c r="Y141" i="22"/>
  <c r="X127" i="22"/>
  <c r="X144" i="22"/>
  <c r="X84" i="22"/>
  <c r="Y80" i="22"/>
  <c r="Y105" i="22"/>
  <c r="J13" i="27" s="1"/>
  <c r="Y104" i="22"/>
  <c r="Y96" i="22" s="1"/>
  <c r="I13" i="27" s="1"/>
  <c r="Y53" i="22"/>
  <c r="X57" i="22"/>
  <c r="Y47" i="22"/>
  <c r="Y39" i="22" s="1"/>
  <c r="I7" i="27" s="1"/>
  <c r="Y48" i="22"/>
  <c r="Y18" i="22"/>
  <c r="J4" i="27" s="1"/>
  <c r="Y27" i="22"/>
  <c r="J5" i="27" s="1"/>
  <c r="Y84" i="26" l="1"/>
  <c r="I51" i="27" s="1"/>
  <c r="H11" i="27"/>
  <c r="V8" i="27" s="1"/>
  <c r="H8" i="27"/>
  <c r="V6" i="27" s="1"/>
  <c r="K53" i="27"/>
  <c r="K57" i="27" s="1"/>
  <c r="U49" i="27"/>
  <c r="N53" i="27"/>
  <c r="L53" i="27"/>
  <c r="U8" i="27"/>
  <c r="N9" i="27"/>
  <c r="L9" i="27"/>
  <c r="K9" i="27"/>
  <c r="Y58" i="26"/>
  <c r="I48" i="27" s="1"/>
  <c r="U3" i="27"/>
  <c r="N3" i="27"/>
  <c r="L3" i="27"/>
  <c r="K3" i="27"/>
  <c r="L28" i="27"/>
  <c r="N28" i="27"/>
  <c r="L31" i="27"/>
  <c r="N31" i="27"/>
  <c r="U5" i="27"/>
  <c r="K6" i="27"/>
  <c r="L6" i="27"/>
  <c r="J10" i="27"/>
  <c r="J7" i="27"/>
  <c r="U26" i="27"/>
  <c r="K28" i="27"/>
  <c r="U28" i="27"/>
  <c r="K31" i="27"/>
  <c r="Y49" i="25"/>
  <c r="Y33" i="25" s="1"/>
  <c r="I27" i="27" s="1"/>
  <c r="Y50" i="25"/>
  <c r="J27" i="27" s="1"/>
  <c r="Y58" i="25"/>
  <c r="I29" i="27" s="1"/>
  <c r="Y23" i="25"/>
  <c r="Y7" i="25" s="1"/>
  <c r="I24" i="27" s="1"/>
  <c r="Y24" i="25"/>
  <c r="J24" i="27" s="1"/>
  <c r="Y84" i="25"/>
  <c r="I32" i="27" s="1"/>
  <c r="Y132" i="25"/>
  <c r="Y116" i="25" s="1"/>
  <c r="I36" i="27" s="1"/>
  <c r="Y133" i="25"/>
  <c r="J36" i="27" s="1"/>
  <c r="Y102" i="25"/>
  <c r="J33" i="27" s="1"/>
  <c r="Y101" i="25"/>
  <c r="Y85" i="25" s="1"/>
  <c r="I33" i="27" s="1"/>
  <c r="Y59" i="25"/>
  <c r="I30" i="27" s="1"/>
  <c r="X111" i="25"/>
  <c r="Y133" i="26"/>
  <c r="J55" i="27" s="1"/>
  <c r="X28" i="26"/>
  <c r="X27" i="26"/>
  <c r="Y15" i="26"/>
  <c r="J42" i="27" s="1"/>
  <c r="Y24" i="26"/>
  <c r="J43" i="27" s="1"/>
  <c r="X80" i="26"/>
  <c r="Y76" i="26"/>
  <c r="J49" i="27" s="1"/>
  <c r="Y144" i="22"/>
  <c r="Y143" i="22"/>
  <c r="Y127" i="22" s="1"/>
  <c r="Y83" i="22"/>
  <c r="Y67" i="22" s="1"/>
  <c r="I11" i="27" s="1"/>
  <c r="Y84" i="22"/>
  <c r="Y57" i="22"/>
  <c r="K19" i="27" l="1"/>
  <c r="K56" i="27"/>
  <c r="K37" i="27"/>
  <c r="J8" i="27"/>
  <c r="J11" i="27"/>
  <c r="K38" i="27"/>
  <c r="K18" i="27"/>
  <c r="I9" i="21" l="1"/>
  <c r="H9" i="21"/>
  <c r="D9" i="21"/>
  <c r="C9" i="21"/>
  <c r="I8" i="21"/>
  <c r="H8" i="21"/>
  <c r="D8" i="21"/>
  <c r="C8" i="21"/>
  <c r="I7" i="21"/>
  <c r="H7" i="21"/>
  <c r="D7" i="21"/>
  <c r="C7" i="21"/>
  <c r="I6" i="21"/>
  <c r="H6" i="21"/>
  <c r="D6" i="21"/>
  <c r="C6" i="21"/>
  <c r="I5" i="21"/>
  <c r="H5" i="21"/>
  <c r="D5" i="21"/>
  <c r="C5" i="21"/>
  <c r="I4" i="21"/>
  <c r="H4" i="21"/>
  <c r="D4" i="21"/>
  <c r="C4" i="21"/>
  <c r="D9" i="16"/>
  <c r="C9" i="16"/>
  <c r="B9" i="16"/>
  <c r="D8" i="16"/>
  <c r="C8" i="16"/>
  <c r="B8" i="16"/>
  <c r="D7" i="16"/>
  <c r="C7" i="16"/>
  <c r="B7" i="16"/>
  <c r="D6" i="16"/>
  <c r="C6" i="16"/>
  <c r="B6" i="16"/>
  <c r="D5" i="16"/>
  <c r="C5" i="16"/>
  <c r="B5" i="16"/>
  <c r="D4" i="16"/>
  <c r="C4" i="16"/>
  <c r="N8" i="20"/>
  <c r="M8" i="20"/>
  <c r="L8" i="20"/>
  <c r="K8" i="20"/>
  <c r="H8" i="20"/>
  <c r="G8" i="20"/>
  <c r="F8" i="20"/>
  <c r="E8" i="20"/>
  <c r="D8" i="20"/>
  <c r="N7" i="20"/>
  <c r="M7" i="20"/>
  <c r="L7" i="20"/>
  <c r="K7" i="20"/>
  <c r="H7" i="20"/>
  <c r="G7" i="20"/>
  <c r="F7" i="20"/>
  <c r="E7" i="20"/>
  <c r="D7" i="20"/>
  <c r="J113" i="25" l="1"/>
  <c r="J117" i="25" s="1"/>
  <c r="J116" i="25"/>
  <c r="W138" i="25" l="1"/>
  <c r="W114" i="25"/>
  <c r="E34" i="27" s="1"/>
  <c r="L113" i="25"/>
  <c r="L117" i="25" s="1"/>
  <c r="L116" i="25"/>
  <c r="Y114" i="25" s="1"/>
  <c r="I34" i="27" s="1"/>
  <c r="K117" i="25"/>
  <c r="K116" i="25"/>
  <c r="X138" i="25" l="1"/>
  <c r="X114" i="25"/>
  <c r="G34" i="27" s="1"/>
  <c r="N34" i="27" s="1"/>
</calcChain>
</file>

<file path=xl/sharedStrings.xml><?xml version="1.0" encoding="utf-8"?>
<sst xmlns="http://schemas.openxmlformats.org/spreadsheetml/2006/main" count="1999" uniqueCount="121">
  <si>
    <t>PEG</t>
  </si>
  <si>
    <t>MDX</t>
  </si>
  <si>
    <t>MDX in 2 ml (ug)</t>
  </si>
  <si>
    <t>Absorbance</t>
  </si>
  <si>
    <t>b</t>
  </si>
  <si>
    <t>c</t>
  </si>
  <si>
    <t>a</t>
  </si>
  <si>
    <t>Ave</t>
  </si>
  <si>
    <t>Std dev</t>
  </si>
  <si>
    <t>PEG 10000</t>
  </si>
  <si>
    <t>Top</t>
  </si>
  <si>
    <t>Bottom</t>
  </si>
  <si>
    <t>Overall</t>
  </si>
  <si>
    <t>A</t>
  </si>
  <si>
    <t>B</t>
  </si>
  <si>
    <t>C</t>
  </si>
  <si>
    <t>PEG 10%</t>
  </si>
  <si>
    <t>MDX %</t>
  </si>
  <si>
    <t>PEG %</t>
  </si>
  <si>
    <t>Stock solutions</t>
  </si>
  <si>
    <t>Compostion</t>
  </si>
  <si>
    <t>Total</t>
  </si>
  <si>
    <t>Average</t>
  </si>
  <si>
    <t>Mass 1st dil.</t>
  </si>
  <si>
    <t>RI</t>
  </si>
  <si>
    <t>Mass sol.</t>
  </si>
  <si>
    <t>Abs 488</t>
  </si>
  <si>
    <t>Used mL</t>
  </si>
  <si>
    <t>total vol. mL</t>
  </si>
  <si>
    <t>Buffer</t>
  </si>
  <si>
    <t>MDX concentration dilute (ug/2mL)</t>
  </si>
  <si>
    <t>Buffer used in 1st dil (mL)</t>
  </si>
  <si>
    <t>Total mass</t>
  </si>
  <si>
    <t>Mass 2nd dil</t>
  </si>
  <si>
    <t>MDX concentration (wt%) 2nd dil.</t>
  </si>
  <si>
    <t>MDX wt %</t>
  </si>
  <si>
    <t>MDX concentration (wt%) before 2nd dil.</t>
  </si>
  <si>
    <t>RI contribution MDX</t>
  </si>
  <si>
    <t>RI contribution PEG</t>
  </si>
  <si>
    <t>PEG conc</t>
  </si>
  <si>
    <t>PEG 20%</t>
  </si>
  <si>
    <t>PEG 10k</t>
  </si>
  <si>
    <t>y = 0.1478x + 1.333</t>
  </si>
  <si>
    <t>y = 0.1358x + 1.333</t>
  </si>
  <si>
    <t>Water</t>
  </si>
  <si>
    <t>MDX 25% PEG 5%</t>
  </si>
  <si>
    <t>MDX 25% PEG 10%</t>
  </si>
  <si>
    <t>true PEG</t>
  </si>
  <si>
    <t>Weights</t>
  </si>
  <si>
    <t>MDX 50%</t>
  </si>
  <si>
    <t>MDX 30% PEG 5%</t>
  </si>
  <si>
    <t>MDX 60%</t>
  </si>
  <si>
    <t>O</t>
  </si>
  <si>
    <t>T</t>
  </si>
  <si>
    <t>MDX 30% PEG 10%</t>
  </si>
  <si>
    <t>MDX 30% PEG 15%</t>
  </si>
  <si>
    <t>MDX 30% PEG 20%</t>
  </si>
  <si>
    <t>PEG 12k</t>
  </si>
  <si>
    <t>PEG 20k</t>
  </si>
  <si>
    <t>y = 0.1374x + 1.333</t>
  </si>
  <si>
    <t>y = 0.1376x + 1.333</t>
  </si>
  <si>
    <t>PEG 40%</t>
  </si>
  <si>
    <t>Dilution</t>
  </si>
  <si>
    <t>Std err</t>
  </si>
  <si>
    <t>Concentration =</t>
  </si>
  <si>
    <t>Attempt 2 - After changing phenol solution</t>
  </si>
  <si>
    <t>Std error</t>
  </si>
  <si>
    <t>PEG 12000</t>
  </si>
  <si>
    <t>PEG 20000</t>
  </si>
  <si>
    <t>Density</t>
  </si>
  <si>
    <t>Volume ratio</t>
  </si>
  <si>
    <t>Tie-line slope</t>
  </si>
  <si>
    <t>Tie line length</t>
  </si>
  <si>
    <t>Volume ratio (predicted)</t>
  </si>
  <si>
    <t>Average TLS</t>
  </si>
  <si>
    <t>Mass</t>
  </si>
  <si>
    <t>From volumes</t>
  </si>
  <si>
    <t>From compositions</t>
  </si>
  <si>
    <t>Error %</t>
  </si>
  <si>
    <t>Ramyadevi 2012</t>
  </si>
  <si>
    <t>da Silva 1999</t>
  </si>
  <si>
    <t>Machado 1984</t>
  </si>
  <si>
    <t>Average RI</t>
  </si>
  <si>
    <t>Standard deviation</t>
  </si>
  <si>
    <t>Concentration (wt %)</t>
  </si>
  <si>
    <t>Work</t>
  </si>
  <si>
    <t>Polymers</t>
  </si>
  <si>
    <t>MDX 10.5 wt%</t>
  </si>
  <si>
    <t>PEG 8000 wt%</t>
  </si>
  <si>
    <t>MDX 15 wt%</t>
  </si>
  <si>
    <t>MDX 4000 wt%</t>
  </si>
  <si>
    <t>PEG 10000 wt%</t>
  </si>
  <si>
    <t>MDX wt%</t>
  </si>
  <si>
    <t>PEG 10000 mass balance comparison</t>
  </si>
  <si>
    <t>PEG 12000 mass balance comparison</t>
  </si>
  <si>
    <t>PEG 20000 mass balance comparison</t>
  </si>
  <si>
    <t>Sample</t>
  </si>
  <si>
    <t>Composition</t>
  </si>
  <si>
    <t>PEG wt% (model)</t>
  </si>
  <si>
    <t>PEG wt% (experimental)</t>
  </si>
  <si>
    <t>Squared error</t>
  </si>
  <si>
    <t>SSE</t>
  </si>
  <si>
    <t>PEG 10000 Constants</t>
  </si>
  <si>
    <t>Model constants</t>
  </si>
  <si>
    <t>PEG 12000 Constants</t>
  </si>
  <si>
    <t>PEG 20000 Constants</t>
  </si>
  <si>
    <t>PEG wt%</t>
  </si>
  <si>
    <t>Polymer concentrations</t>
  </si>
  <si>
    <t>Attempt 1</t>
  </si>
  <si>
    <t>Mass 4</t>
  </si>
  <si>
    <t>Mass 1</t>
  </si>
  <si>
    <t>Total 1</t>
  </si>
  <si>
    <t>Mass 2</t>
  </si>
  <si>
    <t>Total 2</t>
  </si>
  <si>
    <t>Mass 3</t>
  </si>
  <si>
    <t>Total 3</t>
  </si>
  <si>
    <t>Total 4</t>
  </si>
  <si>
    <t>Test no.</t>
  </si>
  <si>
    <t>On spectrophotometer</t>
  </si>
  <si>
    <t>MDX in 2 ml (µg)</t>
  </si>
  <si>
    <t>Amount (µg)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</si>
</sst>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
    <numFmt numFmtId="165" formatCode="0.0%"/>
    <numFmt numFmtId="166" formatCode="0.00000"/>
    <numFmt numFmtId="167" formatCode="0.0000"/>
  </numFmts>
  <fonts count="4" x14ac:knownFonts="1">
    <font>
      <sz val="11"/>
      <color theme="1"/>
      <name val="Calibri"/>
      <family val="2"/>
      <scheme val="minor"/>
    </font>
    <font>
      <sz val="11"/>
      <color theme="1"/>
      <name val="Calibri"/>
      <family val="2"/>
      <scheme val="minor"/>
    </font>
    <font>
      <b/>
      <sz val="11"/>
      <color theme="1"/>
      <name val="Calibri"/>
      <family val="2"/>
      <scheme val="minor"/>
    </font>
    <font>
      <b/>
      <sz val="14"/>
      <color theme="1"/>
      <name val="Calibri"/>
      <family val="2"/>
      <scheme val="minor"/>
    </font>
  </fonts>
  <fills count="13">
    <fill>
      <patternFill patternType="none"/>
    </fill>
    <fill>
      <patternFill patternType="gray125"/>
    </fill>
    <fill>
      <patternFill patternType="solid">
        <fgColor rgb="FFFFFF00"/>
        <bgColor indexed="64"/>
      </patternFill>
    </fill>
    <fill>
      <patternFill patternType="solid">
        <fgColor rgb="FF92D050"/>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theme="5" tint="0.59999389629810485"/>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5"/>
        <bgColor indexed="64"/>
      </patternFill>
    </fill>
    <fill>
      <patternFill patternType="solid">
        <fgColor theme="8"/>
        <bgColor indexed="64"/>
      </patternFill>
    </fill>
    <fill>
      <patternFill patternType="solid">
        <fgColor theme="9"/>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top/>
      <bottom style="medium">
        <color indexed="64"/>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thin">
        <color indexed="64"/>
      </bottom>
      <diagonal/>
    </border>
  </borders>
  <cellStyleXfs count="2">
    <xf numFmtId="0" fontId="0" fillId="0" borderId="0"/>
    <xf numFmtId="9" fontId="1" fillId="0" borderId="0" applyFont="0" applyFill="0" applyBorder="0" applyAlignment="0" applyProtection="0"/>
  </cellStyleXfs>
  <cellXfs count="332">
    <xf numFmtId="0" fontId="0" fillId="0" borderId="0" xfId="0"/>
    <xf numFmtId="0" fontId="0" fillId="0" borderId="0" xfId="0" applyBorder="1"/>
    <xf numFmtId="0" fontId="0" fillId="0" borderId="1" xfId="0" applyBorder="1"/>
    <xf numFmtId="164" fontId="0" fillId="0" borderId="0" xfId="0" applyNumberFormat="1"/>
    <xf numFmtId="164" fontId="0" fillId="0" borderId="1" xfId="0" applyNumberFormat="1" applyBorder="1"/>
    <xf numFmtId="0" fontId="0" fillId="0" borderId="1" xfId="0" applyFill="1" applyBorder="1"/>
    <xf numFmtId="9" fontId="0" fillId="0" borderId="1" xfId="1" applyFont="1" applyBorder="1"/>
    <xf numFmtId="165" fontId="0" fillId="0" borderId="1" xfId="1" applyNumberFormat="1" applyFont="1" applyBorder="1"/>
    <xf numFmtId="9" fontId="0" fillId="0" borderId="0" xfId="1" applyFont="1"/>
    <xf numFmtId="0" fontId="0" fillId="0" borderId="0" xfId="1" applyNumberFormat="1" applyFont="1"/>
    <xf numFmtId="0" fontId="0" fillId="0" borderId="0" xfId="0" applyBorder="1" applyAlignment="1">
      <alignment horizontal="center"/>
    </xf>
    <xf numFmtId="167" fontId="0" fillId="0" borderId="0" xfId="0" applyNumberFormat="1" applyFill="1" applyBorder="1"/>
    <xf numFmtId="165" fontId="0" fillId="0" borderId="0" xfId="0" applyNumberFormat="1"/>
    <xf numFmtId="164" fontId="0" fillId="0" borderId="0" xfId="0" applyNumberFormat="1" applyBorder="1"/>
    <xf numFmtId="167" fontId="0" fillId="0" borderId="0" xfId="0" applyNumberFormat="1" applyBorder="1"/>
    <xf numFmtId="9" fontId="0" fillId="0" borderId="0" xfId="1" applyFont="1" applyBorder="1"/>
    <xf numFmtId="0" fontId="0" fillId="0" borderId="0" xfId="0" applyAlignment="1">
      <alignment horizontal="center"/>
    </xf>
    <xf numFmtId="0" fontId="0" fillId="0" borderId="0" xfId="0" applyFill="1" applyBorder="1"/>
    <xf numFmtId="0" fontId="0" fillId="0" borderId="0" xfId="0" applyFill="1" applyBorder="1" applyAlignment="1">
      <alignment horizontal="center"/>
    </xf>
    <xf numFmtId="164" fontId="0" fillId="0" borderId="0" xfId="0" applyNumberFormat="1" applyFill="1" applyBorder="1"/>
    <xf numFmtId="165" fontId="0" fillId="0" borderId="0" xfId="1" applyNumberFormat="1" applyFont="1" applyFill="1" applyBorder="1"/>
    <xf numFmtId="165" fontId="0" fillId="0" borderId="0" xfId="0" applyNumberFormat="1" applyFill="1" applyBorder="1"/>
    <xf numFmtId="0" fontId="0" fillId="0" borderId="0" xfId="0" applyFill="1" applyBorder="1" applyAlignment="1"/>
    <xf numFmtId="166" fontId="0" fillId="0" borderId="0" xfId="0" applyNumberFormat="1" applyFill="1" applyBorder="1"/>
    <xf numFmtId="0" fontId="0" fillId="0" borderId="0" xfId="1" applyNumberFormat="1" applyFont="1" applyFill="1" applyBorder="1"/>
    <xf numFmtId="9" fontId="0" fillId="0" borderId="0" xfId="1" applyFont="1" applyFill="1" applyBorder="1"/>
    <xf numFmtId="9" fontId="0" fillId="0" borderId="0" xfId="1" applyNumberFormat="1" applyFont="1"/>
    <xf numFmtId="0" fontId="0" fillId="3" borderId="1" xfId="0" applyFill="1" applyBorder="1"/>
    <xf numFmtId="165" fontId="0" fillId="0" borderId="6" xfId="1" applyNumberFormat="1" applyFont="1" applyBorder="1"/>
    <xf numFmtId="165" fontId="0" fillId="0" borderId="11" xfId="1" applyNumberFormat="1" applyFont="1" applyBorder="1"/>
    <xf numFmtId="165" fontId="0" fillId="0" borderId="1" xfId="0" applyNumberFormat="1" applyBorder="1"/>
    <xf numFmtId="165" fontId="0" fillId="0" borderId="9" xfId="0" applyNumberFormat="1" applyBorder="1"/>
    <xf numFmtId="165" fontId="0" fillId="0" borderId="11" xfId="0" applyNumberFormat="1" applyBorder="1"/>
    <xf numFmtId="165" fontId="0" fillId="0" borderId="12" xfId="0" applyNumberFormat="1" applyBorder="1"/>
    <xf numFmtId="165" fontId="0" fillId="0" borderId="1" xfId="0" applyNumberFormat="1" applyFill="1" applyBorder="1"/>
    <xf numFmtId="165" fontId="0" fillId="0" borderId="9" xfId="0" applyNumberFormat="1" applyFill="1" applyBorder="1"/>
    <xf numFmtId="0" fontId="0" fillId="0" borderId="0" xfId="0" applyFill="1" applyBorder="1" applyAlignment="1">
      <alignment horizontal="center"/>
    </xf>
    <xf numFmtId="9" fontId="0" fillId="0" borderId="1" xfId="0" applyNumberFormat="1" applyFill="1" applyBorder="1"/>
    <xf numFmtId="9" fontId="0" fillId="0" borderId="9" xfId="0" applyNumberFormat="1" applyFill="1" applyBorder="1"/>
    <xf numFmtId="0" fontId="0" fillId="0" borderId="0" xfId="0" applyFill="1"/>
    <xf numFmtId="0" fontId="0" fillId="0" borderId="0" xfId="0" applyFill="1" applyAlignment="1">
      <alignment horizontal="center"/>
    </xf>
    <xf numFmtId="164" fontId="0" fillId="0" borderId="1" xfId="0" applyNumberFormat="1" applyFill="1" applyBorder="1"/>
    <xf numFmtId="164" fontId="0" fillId="0" borderId="0" xfId="0" applyNumberFormat="1" applyFill="1"/>
    <xf numFmtId="165" fontId="0" fillId="0" borderId="1" xfId="1" applyNumberFormat="1" applyFont="1" applyFill="1" applyBorder="1"/>
    <xf numFmtId="165" fontId="0" fillId="0" borderId="0" xfId="0" applyNumberFormat="1" applyFill="1"/>
    <xf numFmtId="165" fontId="0" fillId="0" borderId="0" xfId="0" applyNumberFormat="1" applyBorder="1"/>
    <xf numFmtId="165" fontId="0" fillId="0" borderId="13" xfId="1" applyNumberFormat="1" applyFont="1" applyBorder="1"/>
    <xf numFmtId="165" fontId="0" fillId="0" borderId="2" xfId="1" applyNumberFormat="1" applyFont="1" applyBorder="1"/>
    <xf numFmtId="165" fontId="0" fillId="0" borderId="14" xfId="1" applyNumberFormat="1" applyFont="1" applyBorder="1"/>
    <xf numFmtId="165" fontId="0" fillId="0" borderId="2" xfId="0" applyNumberFormat="1" applyBorder="1"/>
    <xf numFmtId="165" fontId="0" fillId="0" borderId="14" xfId="0" applyNumberFormat="1" applyBorder="1"/>
    <xf numFmtId="165" fontId="0" fillId="0" borderId="16" xfId="1" applyNumberFormat="1" applyFont="1" applyBorder="1"/>
    <xf numFmtId="165" fontId="0" fillId="0" borderId="17" xfId="1" applyNumberFormat="1" applyFont="1" applyBorder="1"/>
    <xf numFmtId="165" fontId="0" fillId="0" borderId="16" xfId="0" applyNumberFormat="1" applyBorder="1"/>
    <xf numFmtId="165" fontId="0" fillId="0" borderId="19" xfId="0" applyNumberFormat="1" applyBorder="1"/>
    <xf numFmtId="0" fontId="0" fillId="3" borderId="19" xfId="0" applyFill="1" applyBorder="1"/>
    <xf numFmtId="165" fontId="0" fillId="0" borderId="19" xfId="1" applyNumberFormat="1" applyFont="1" applyBorder="1"/>
    <xf numFmtId="165" fontId="0" fillId="0" borderId="22" xfId="0" applyNumberFormat="1" applyBorder="1"/>
    <xf numFmtId="9" fontId="0" fillId="0" borderId="19" xfId="0" applyNumberFormat="1" applyFill="1" applyBorder="1"/>
    <xf numFmtId="9" fontId="0" fillId="0" borderId="20" xfId="0" applyNumberFormat="1" applyFill="1" applyBorder="1"/>
    <xf numFmtId="165" fontId="0" fillId="0" borderId="0" xfId="1" applyNumberFormat="1" applyFont="1" applyBorder="1"/>
    <xf numFmtId="166" fontId="0" fillId="0" borderId="0" xfId="0" applyNumberFormat="1" applyBorder="1"/>
    <xf numFmtId="0" fontId="0" fillId="0" borderId="0" xfId="1" applyNumberFormat="1" applyFont="1" applyBorder="1"/>
    <xf numFmtId="0" fontId="0" fillId="0" borderId="16" xfId="0" applyBorder="1"/>
    <xf numFmtId="9" fontId="0" fillId="0" borderId="6" xfId="1" applyFont="1" applyBorder="1"/>
    <xf numFmtId="9" fontId="0" fillId="0" borderId="11" xfId="1" applyFont="1" applyBorder="1"/>
    <xf numFmtId="2" fontId="0" fillId="0" borderId="0" xfId="0" applyNumberFormat="1" applyFill="1" applyBorder="1"/>
    <xf numFmtId="2" fontId="0" fillId="0" borderId="0" xfId="0" applyNumberFormat="1"/>
    <xf numFmtId="164" fontId="0" fillId="0" borderId="6" xfId="1" applyNumberFormat="1" applyFont="1" applyBorder="1"/>
    <xf numFmtId="164" fontId="0" fillId="0" borderId="7" xfId="1" applyNumberFormat="1" applyFont="1" applyBorder="1"/>
    <xf numFmtId="164" fontId="0" fillId="0" borderId="1" xfId="1" applyNumberFormat="1" applyFont="1" applyBorder="1"/>
    <xf numFmtId="164" fontId="0" fillId="0" borderId="11" xfId="1" applyNumberFormat="1" applyFont="1" applyBorder="1"/>
    <xf numFmtId="164" fontId="0" fillId="0" borderId="11" xfId="0" applyNumberFormat="1" applyBorder="1"/>
    <xf numFmtId="164" fontId="0" fillId="0" borderId="16" xfId="1" applyNumberFormat="1" applyFont="1" applyBorder="1"/>
    <xf numFmtId="164" fontId="0" fillId="0" borderId="18" xfId="1" applyNumberFormat="1" applyFont="1" applyBorder="1"/>
    <xf numFmtId="164" fontId="0" fillId="0" borderId="19" xfId="0" applyNumberFormat="1" applyBorder="1"/>
    <xf numFmtId="164" fontId="0" fillId="0" borderId="9" xfId="1" applyNumberFormat="1" applyFont="1" applyBorder="1"/>
    <xf numFmtId="164" fontId="0" fillId="0" borderId="12" xfId="1" applyNumberFormat="1" applyFont="1" applyBorder="1"/>
    <xf numFmtId="164" fontId="0" fillId="0" borderId="9" xfId="0" applyNumberFormat="1" applyBorder="1"/>
    <xf numFmtId="164" fontId="0" fillId="0" borderId="12" xfId="0" applyNumberFormat="1" applyBorder="1"/>
    <xf numFmtId="0" fontId="0" fillId="0" borderId="0" xfId="0" applyNumberFormat="1" applyFill="1" applyBorder="1"/>
    <xf numFmtId="10" fontId="0" fillId="0" borderId="0" xfId="0" applyNumberFormat="1"/>
    <xf numFmtId="0" fontId="0" fillId="0" borderId="0" xfId="0" applyNumberFormat="1" applyFill="1"/>
    <xf numFmtId="165" fontId="0" fillId="0" borderId="0" xfId="1" applyNumberFormat="1" applyFont="1"/>
    <xf numFmtId="0" fontId="0" fillId="0" borderId="0" xfId="0" applyBorder="1" applyAlignment="1"/>
    <xf numFmtId="167" fontId="0" fillId="0" borderId="0" xfId="0" applyNumberFormat="1" applyBorder="1" applyAlignment="1"/>
    <xf numFmtId="0" fontId="2" fillId="0" borderId="1" xfId="0" applyFont="1" applyBorder="1"/>
    <xf numFmtId="0" fontId="2" fillId="3" borderId="2" xfId="0" applyFont="1" applyFill="1" applyBorder="1"/>
    <xf numFmtId="9" fontId="2" fillId="0" borderId="30" xfId="1" applyFont="1" applyBorder="1"/>
    <xf numFmtId="9" fontId="2" fillId="0" borderId="31" xfId="1" applyFont="1" applyBorder="1"/>
    <xf numFmtId="9" fontId="2" fillId="0" borderId="32" xfId="1" applyFont="1" applyBorder="1"/>
    <xf numFmtId="0" fontId="2" fillId="3" borderId="1" xfId="0" applyFont="1" applyFill="1" applyBorder="1"/>
    <xf numFmtId="0" fontId="0" fillId="4" borderId="1" xfId="0" applyFill="1" applyBorder="1"/>
    <xf numFmtId="0" fontId="0" fillId="5" borderId="1" xfId="0" applyFill="1" applyBorder="1"/>
    <xf numFmtId="9" fontId="0" fillId="5" borderId="8" xfId="1" applyFont="1" applyFill="1" applyBorder="1"/>
    <xf numFmtId="9" fontId="0" fillId="5" borderId="9" xfId="1" applyFont="1" applyFill="1" applyBorder="1"/>
    <xf numFmtId="9" fontId="0" fillId="5" borderId="12" xfId="1" applyFont="1" applyFill="1" applyBorder="1"/>
    <xf numFmtId="9" fontId="0" fillId="5" borderId="2" xfId="1" applyFont="1" applyFill="1" applyBorder="1"/>
    <xf numFmtId="0" fontId="0" fillId="5" borderId="34" xfId="0" applyFill="1" applyBorder="1"/>
    <xf numFmtId="0" fontId="0" fillId="5" borderId="35" xfId="0" applyFill="1" applyBorder="1"/>
    <xf numFmtId="0" fontId="0" fillId="4" borderId="36" xfId="0" applyFill="1" applyBorder="1"/>
    <xf numFmtId="0" fontId="0" fillId="4" borderId="37" xfId="0" applyFill="1" applyBorder="1"/>
    <xf numFmtId="0" fontId="0" fillId="4" borderId="38" xfId="0" applyFill="1" applyBorder="1"/>
    <xf numFmtId="0" fontId="0" fillId="4" borderId="25" xfId="0" applyFill="1" applyBorder="1"/>
    <xf numFmtId="0" fontId="0" fillId="4" borderId="39" xfId="0" applyFill="1" applyBorder="1"/>
    <xf numFmtId="0" fontId="0" fillId="4" borderId="40" xfId="0" applyFill="1" applyBorder="1"/>
    <xf numFmtId="0" fontId="0" fillId="4" borderId="30" xfId="0" applyFill="1" applyBorder="1"/>
    <xf numFmtId="0" fontId="0" fillId="4" borderId="32" xfId="0" applyFill="1" applyBorder="1"/>
    <xf numFmtId="0" fontId="0" fillId="4" borderId="41" xfId="0" applyFill="1" applyBorder="1"/>
    <xf numFmtId="0" fontId="0" fillId="4" borderId="42" xfId="0" applyFill="1" applyBorder="1"/>
    <xf numFmtId="164" fontId="0" fillId="5" borderId="1" xfId="0" applyNumberFormat="1" applyFill="1" applyBorder="1"/>
    <xf numFmtId="10" fontId="0" fillId="5" borderId="1" xfId="1" applyNumberFormat="1" applyFont="1" applyFill="1" applyBorder="1"/>
    <xf numFmtId="0" fontId="0" fillId="4" borderId="29" xfId="0" applyFill="1" applyBorder="1"/>
    <xf numFmtId="10" fontId="0" fillId="4" borderId="29" xfId="0" applyNumberFormat="1" applyFill="1" applyBorder="1"/>
    <xf numFmtId="0" fontId="0" fillId="5" borderId="1" xfId="0" applyNumberFormat="1" applyFill="1" applyBorder="1"/>
    <xf numFmtId="0" fontId="0" fillId="5" borderId="2" xfId="0" applyNumberFormat="1" applyFill="1" applyBorder="1"/>
    <xf numFmtId="0" fontId="2" fillId="0" borderId="0" xfId="0" applyFont="1" applyBorder="1"/>
    <xf numFmtId="11" fontId="2" fillId="0" borderId="0" xfId="0" applyNumberFormat="1" applyFont="1" applyBorder="1"/>
    <xf numFmtId="0" fontId="0" fillId="0" borderId="0" xfId="0" applyBorder="1" applyAlignment="1">
      <alignment horizontal="center" wrapText="1"/>
    </xf>
    <xf numFmtId="0" fontId="0" fillId="4" borderId="1" xfId="0" applyNumberFormat="1" applyFill="1" applyBorder="1"/>
    <xf numFmtId="0" fontId="2" fillId="4" borderId="1" xfId="0" applyFont="1" applyFill="1" applyBorder="1"/>
    <xf numFmtId="11" fontId="2" fillId="4" borderId="1" xfId="0" applyNumberFormat="1" applyFont="1" applyFill="1" applyBorder="1"/>
    <xf numFmtId="165" fontId="0" fillId="5" borderId="1" xfId="0" applyNumberFormat="1" applyFill="1" applyBorder="1"/>
    <xf numFmtId="9" fontId="0" fillId="5" borderId="1" xfId="0" applyNumberFormat="1" applyFill="1" applyBorder="1"/>
    <xf numFmtId="0" fontId="0" fillId="4" borderId="2" xfId="0" applyFill="1" applyBorder="1"/>
    <xf numFmtId="9" fontId="0" fillId="0" borderId="0" xfId="0" applyNumberFormat="1" applyFill="1" applyBorder="1"/>
    <xf numFmtId="10" fontId="0" fillId="0" borderId="0" xfId="1" applyNumberFormat="1" applyFont="1" applyFill="1" applyBorder="1"/>
    <xf numFmtId="11" fontId="0" fillId="0" borderId="0" xfId="0" applyNumberFormat="1" applyFill="1" applyBorder="1"/>
    <xf numFmtId="167" fontId="2" fillId="0" borderId="1" xfId="0" applyNumberFormat="1" applyFont="1" applyBorder="1"/>
    <xf numFmtId="164" fontId="0" fillId="0" borderId="0" xfId="0" applyNumberFormat="1" applyAlignment="1">
      <alignment horizontal="center"/>
    </xf>
    <xf numFmtId="164" fontId="0" fillId="0" borderId="31" xfId="0" applyNumberFormat="1" applyBorder="1"/>
    <xf numFmtId="164" fontId="0" fillId="0" borderId="32" xfId="0" applyNumberFormat="1" applyBorder="1"/>
    <xf numFmtId="1" fontId="0" fillId="3" borderId="31" xfId="0" applyNumberFormat="1" applyFill="1" applyBorder="1"/>
    <xf numFmtId="1" fontId="0" fillId="3" borderId="32" xfId="0" applyNumberFormat="1" applyFill="1" applyBorder="1"/>
    <xf numFmtId="1" fontId="0" fillId="3" borderId="42" xfId="0" applyNumberFormat="1" applyFill="1" applyBorder="1"/>
    <xf numFmtId="164" fontId="0" fillId="0" borderId="4" xfId="0" applyNumberFormat="1" applyBorder="1"/>
    <xf numFmtId="164" fontId="0" fillId="0" borderId="33" xfId="0" applyNumberFormat="1" applyBorder="1"/>
    <xf numFmtId="0" fontId="0" fillId="3" borderId="47" xfId="0" applyFill="1" applyBorder="1"/>
    <xf numFmtId="0" fontId="0" fillId="3" borderId="48" xfId="0" applyFill="1" applyBorder="1"/>
    <xf numFmtId="0" fontId="0" fillId="3" borderId="49" xfId="0" applyFill="1" applyBorder="1"/>
    <xf numFmtId="164" fontId="0" fillId="0" borderId="42" xfId="0" applyNumberFormat="1" applyBorder="1"/>
    <xf numFmtId="0" fontId="0" fillId="3" borderId="44" xfId="0" applyFill="1" applyBorder="1"/>
    <xf numFmtId="0" fontId="0" fillId="3" borderId="51" xfId="0" applyFill="1" applyBorder="1"/>
    <xf numFmtId="0" fontId="0" fillId="3" borderId="52" xfId="0" applyFill="1" applyBorder="1"/>
    <xf numFmtId="164" fontId="0" fillId="0" borderId="53" xfId="0" applyNumberFormat="1" applyBorder="1"/>
    <xf numFmtId="164" fontId="0" fillId="0" borderId="6" xfId="0" applyNumberFormat="1" applyBorder="1"/>
    <xf numFmtId="164" fontId="0" fillId="0" borderId="7" xfId="0" applyNumberFormat="1" applyBorder="1"/>
    <xf numFmtId="164" fontId="0" fillId="0" borderId="39" xfId="0" applyNumberFormat="1" applyBorder="1"/>
    <xf numFmtId="164" fontId="0" fillId="0" borderId="54" xfId="0" applyNumberFormat="1" applyBorder="1"/>
    <xf numFmtId="164" fontId="0" fillId="0" borderId="38" xfId="0" applyNumberFormat="1" applyBorder="1"/>
    <xf numFmtId="0" fontId="0" fillId="6" borderId="0" xfId="0" applyFill="1"/>
    <xf numFmtId="0" fontId="0" fillId="6" borderId="1" xfId="0" applyFill="1" applyBorder="1"/>
    <xf numFmtId="0" fontId="0" fillId="6" borderId="2" xfId="0" applyFill="1" applyBorder="1"/>
    <xf numFmtId="0" fontId="0" fillId="6" borderId="4" xfId="0" applyFill="1" applyBorder="1"/>
    <xf numFmtId="0" fontId="0" fillId="6" borderId="29" xfId="0" applyFill="1" applyBorder="1"/>
    <xf numFmtId="10" fontId="0" fillId="6" borderId="29" xfId="0" applyNumberFormat="1" applyFill="1" applyBorder="1"/>
    <xf numFmtId="164" fontId="0" fillId="6" borderId="1" xfId="0" applyNumberFormat="1" applyFill="1" applyBorder="1"/>
    <xf numFmtId="0" fontId="0" fillId="4" borderId="0" xfId="0" applyFill="1"/>
    <xf numFmtId="164" fontId="0" fillId="4" borderId="0" xfId="0" applyNumberFormat="1" applyFill="1"/>
    <xf numFmtId="164" fontId="0" fillId="4" borderId="1" xfId="0" applyNumberFormat="1" applyFill="1" applyBorder="1"/>
    <xf numFmtId="0" fontId="0" fillId="7" borderId="0" xfId="0" applyFill="1"/>
    <xf numFmtId="164" fontId="0" fillId="7" borderId="0" xfId="0" applyNumberFormat="1" applyFill="1"/>
    <xf numFmtId="0" fontId="0" fillId="7" borderId="1" xfId="0" applyFill="1" applyBorder="1"/>
    <xf numFmtId="164" fontId="0" fillId="7" borderId="1" xfId="0" applyNumberFormat="1" applyFill="1" applyBorder="1"/>
    <xf numFmtId="0" fontId="0" fillId="7" borderId="29" xfId="0" applyFill="1" applyBorder="1"/>
    <xf numFmtId="10" fontId="0" fillId="7" borderId="29" xfId="0" applyNumberFormat="1" applyFill="1" applyBorder="1"/>
    <xf numFmtId="164" fontId="0" fillId="8" borderId="1" xfId="0" applyNumberFormat="1" applyFill="1" applyBorder="1"/>
    <xf numFmtId="10" fontId="0" fillId="8" borderId="1" xfId="1" applyNumberFormat="1" applyFont="1" applyFill="1" applyBorder="1"/>
    <xf numFmtId="164" fontId="0" fillId="9" borderId="1" xfId="0" applyNumberFormat="1" applyFill="1" applyBorder="1"/>
    <xf numFmtId="10" fontId="0" fillId="9" borderId="1" xfId="1" applyNumberFormat="1" applyFont="1" applyFill="1" applyBorder="1"/>
    <xf numFmtId="9" fontId="2" fillId="9" borderId="30" xfId="1" applyFont="1" applyFill="1" applyBorder="1"/>
    <xf numFmtId="9" fontId="2" fillId="9" borderId="31" xfId="1" applyFont="1" applyFill="1" applyBorder="1"/>
    <xf numFmtId="9" fontId="2" fillId="9" borderId="32" xfId="1" applyFont="1" applyFill="1" applyBorder="1"/>
    <xf numFmtId="0" fontId="0" fillId="9" borderId="16" xfId="0" applyFill="1" applyBorder="1"/>
    <xf numFmtId="0" fontId="0" fillId="9" borderId="1" xfId="0" applyFill="1" applyBorder="1"/>
    <xf numFmtId="167" fontId="2" fillId="9" borderId="1" xfId="0" applyNumberFormat="1" applyFont="1" applyFill="1" applyBorder="1"/>
    <xf numFmtId="0" fontId="2" fillId="6" borderId="2" xfId="0" applyFont="1" applyFill="1" applyBorder="1"/>
    <xf numFmtId="0" fontId="2" fillId="6" borderId="1" xfId="0" applyFont="1" applyFill="1" applyBorder="1"/>
    <xf numFmtId="0" fontId="2" fillId="4" borderId="2" xfId="0" applyFont="1" applyFill="1" applyBorder="1"/>
    <xf numFmtId="9" fontId="2" fillId="5" borderId="30" xfId="1" applyFont="1" applyFill="1" applyBorder="1"/>
    <xf numFmtId="9" fontId="2" fillId="5" borderId="31" xfId="1" applyFont="1" applyFill="1" applyBorder="1"/>
    <xf numFmtId="9" fontId="2" fillId="5" borderId="32" xfId="1" applyFont="1" applyFill="1" applyBorder="1"/>
    <xf numFmtId="0" fontId="0" fillId="5" borderId="16" xfId="0" applyFill="1" applyBorder="1"/>
    <xf numFmtId="167" fontId="2" fillId="5" borderId="1" xfId="0" applyNumberFormat="1" applyFont="1" applyFill="1" applyBorder="1"/>
    <xf numFmtId="0" fontId="2" fillId="7" borderId="2" xfId="0" applyFont="1" applyFill="1" applyBorder="1"/>
    <xf numFmtId="0" fontId="2" fillId="7" borderId="1" xfId="0" applyFont="1" applyFill="1" applyBorder="1"/>
    <xf numFmtId="0" fontId="2" fillId="8" borderId="30" xfId="0" applyFont="1" applyFill="1" applyBorder="1"/>
    <xf numFmtId="0" fontId="2" fillId="8" borderId="31" xfId="0" applyFont="1" applyFill="1" applyBorder="1"/>
    <xf numFmtId="0" fontId="2" fillId="8" borderId="32" xfId="0" applyFont="1" applyFill="1" applyBorder="1"/>
    <xf numFmtId="0" fontId="0" fillId="8" borderId="16" xfId="0" applyFill="1" applyBorder="1"/>
    <xf numFmtId="0" fontId="0" fillId="8" borderId="1" xfId="0" applyFill="1" applyBorder="1"/>
    <xf numFmtId="167" fontId="2" fillId="8" borderId="1" xfId="0" applyNumberFormat="1" applyFont="1" applyFill="1" applyBorder="1"/>
    <xf numFmtId="0" fontId="2" fillId="6" borderId="0" xfId="0" applyFont="1" applyFill="1"/>
    <xf numFmtId="164" fontId="0" fillId="0" borderId="1" xfId="1" applyNumberFormat="1" applyFont="1" applyFill="1" applyBorder="1"/>
    <xf numFmtId="164" fontId="0" fillId="0" borderId="0" xfId="0" applyNumberFormat="1" applyFill="1" applyBorder="1" applyAlignment="1">
      <alignment horizontal="center"/>
    </xf>
    <xf numFmtId="164" fontId="0" fillId="0" borderId="0" xfId="0" applyNumberFormat="1" applyFill="1" applyAlignment="1">
      <alignment horizontal="center"/>
    </xf>
    <xf numFmtId="164" fontId="0" fillId="6" borderId="0" xfId="0" applyNumberFormat="1" applyFill="1" applyBorder="1" applyAlignment="1">
      <alignment horizontal="center"/>
    </xf>
    <xf numFmtId="165" fontId="0" fillId="0" borderId="0" xfId="1" applyNumberFormat="1" applyFont="1" applyFill="1"/>
    <xf numFmtId="165" fontId="0" fillId="6" borderId="2" xfId="1" applyNumberFormat="1" applyFont="1" applyFill="1" applyBorder="1" applyAlignment="1"/>
    <xf numFmtId="165" fontId="0" fillId="6" borderId="3" xfId="1" applyNumberFormat="1" applyFont="1" applyFill="1" applyBorder="1" applyAlignment="1"/>
    <xf numFmtId="165" fontId="0" fillId="6" borderId="4" xfId="1" applyNumberFormat="1" applyFont="1" applyFill="1" applyBorder="1" applyAlignment="1"/>
    <xf numFmtId="165" fontId="0" fillId="6" borderId="1" xfId="1" applyNumberFormat="1" applyFont="1" applyFill="1" applyBorder="1"/>
    <xf numFmtId="164" fontId="0" fillId="2" borderId="0" xfId="0" applyNumberFormat="1" applyFill="1"/>
    <xf numFmtId="164" fontId="0" fillId="0" borderId="0" xfId="1" applyNumberFormat="1" applyFont="1"/>
    <xf numFmtId="164" fontId="0" fillId="0" borderId="0" xfId="0" applyNumberFormat="1" applyBorder="1" applyAlignment="1">
      <alignment horizontal="center"/>
    </xf>
    <xf numFmtId="164" fontId="0" fillId="0" borderId="0" xfId="1" applyNumberFormat="1" applyFont="1" applyFill="1" applyBorder="1"/>
    <xf numFmtId="164" fontId="0" fillId="0" borderId="0" xfId="0" applyNumberFormat="1" applyFill="1" applyBorder="1" applyAlignment="1"/>
    <xf numFmtId="165" fontId="0" fillId="2" borderId="0" xfId="1" applyNumberFormat="1" applyFont="1" applyFill="1"/>
    <xf numFmtId="0" fontId="2" fillId="4" borderId="0" xfId="0" applyFont="1" applyFill="1"/>
    <xf numFmtId="0" fontId="0" fillId="4" borderId="0" xfId="0" applyFill="1" applyBorder="1" applyAlignment="1">
      <alignment horizontal="center"/>
    </xf>
    <xf numFmtId="165" fontId="0" fillId="4" borderId="2" xfId="1" applyNumberFormat="1" applyFont="1" applyFill="1" applyBorder="1" applyAlignment="1"/>
    <xf numFmtId="165" fontId="0" fillId="4" borderId="3" xfId="1" applyNumberFormat="1" applyFont="1" applyFill="1" applyBorder="1" applyAlignment="1"/>
    <xf numFmtId="165" fontId="0" fillId="4" borderId="4" xfId="1" applyNumberFormat="1" applyFont="1" applyFill="1" applyBorder="1" applyAlignment="1"/>
    <xf numFmtId="165" fontId="0" fillId="4" borderId="1" xfId="1" applyNumberFormat="1" applyFont="1" applyFill="1" applyBorder="1"/>
    <xf numFmtId="164" fontId="0" fillId="4" borderId="0" xfId="0" applyNumberFormat="1" applyFill="1" applyBorder="1" applyAlignment="1">
      <alignment horizontal="center"/>
    </xf>
    <xf numFmtId="0" fontId="2" fillId="7" borderId="0" xfId="0" applyFont="1" applyFill="1"/>
    <xf numFmtId="0" fontId="0" fillId="7" borderId="0" xfId="0" applyFill="1" applyBorder="1" applyAlignment="1">
      <alignment horizontal="center"/>
    </xf>
    <xf numFmtId="164" fontId="0" fillId="7" borderId="0" xfId="0" applyNumberFormat="1" applyFill="1" applyBorder="1" applyAlignment="1">
      <alignment horizontal="center"/>
    </xf>
    <xf numFmtId="165" fontId="0" fillId="7" borderId="2" xfId="1" applyNumberFormat="1" applyFont="1" applyFill="1" applyBorder="1" applyAlignment="1"/>
    <xf numFmtId="165" fontId="0" fillId="7" borderId="3" xfId="1" applyNumberFormat="1" applyFont="1" applyFill="1" applyBorder="1" applyAlignment="1"/>
    <xf numFmtId="165" fontId="0" fillId="7" borderId="4" xfId="1" applyNumberFormat="1" applyFont="1" applyFill="1" applyBorder="1" applyAlignment="1"/>
    <xf numFmtId="165" fontId="0" fillId="7" borderId="1" xfId="1" applyNumberFormat="1" applyFont="1" applyFill="1" applyBorder="1"/>
    <xf numFmtId="0" fontId="3" fillId="10" borderId="0" xfId="0" applyFont="1" applyFill="1"/>
    <xf numFmtId="0" fontId="3" fillId="11" borderId="0" xfId="0" applyFont="1" applyFill="1"/>
    <xf numFmtId="0" fontId="3" fillId="12" borderId="0" xfId="0" applyFont="1" applyFill="1"/>
    <xf numFmtId="0" fontId="0" fillId="6" borderId="28" xfId="0" applyFill="1" applyBorder="1"/>
    <xf numFmtId="0" fontId="0" fillId="6" borderId="23" xfId="0" applyFill="1" applyBorder="1"/>
    <xf numFmtId="0" fontId="0" fillId="6" borderId="6" xfId="0" applyFill="1" applyBorder="1"/>
    <xf numFmtId="0" fontId="0" fillId="6" borderId="11" xfId="0" applyFill="1" applyBorder="1"/>
    <xf numFmtId="0" fontId="0" fillId="6" borderId="16" xfId="0" applyFill="1" applyBorder="1"/>
    <xf numFmtId="0" fontId="0" fillId="6" borderId="19" xfId="0" applyFill="1" applyBorder="1"/>
    <xf numFmtId="0" fontId="0" fillId="6" borderId="26" xfId="0" applyFill="1" applyBorder="1"/>
    <xf numFmtId="0" fontId="0" fillId="6" borderId="27" xfId="0" applyFill="1" applyBorder="1"/>
    <xf numFmtId="0" fontId="0" fillId="4" borderId="28" xfId="0" applyFill="1" applyBorder="1"/>
    <xf numFmtId="0" fontId="0" fillId="4" borderId="23" xfId="0" applyFill="1" applyBorder="1"/>
    <xf numFmtId="0" fontId="0" fillId="4" borderId="11" xfId="0" applyFill="1" applyBorder="1"/>
    <xf numFmtId="0" fontId="0" fillId="4" borderId="6" xfId="0" applyFill="1" applyBorder="1"/>
    <xf numFmtId="0" fontId="0" fillId="4" borderId="26" xfId="0" applyFill="1" applyBorder="1"/>
    <xf numFmtId="2" fontId="0" fillId="4" borderId="23" xfId="0" applyNumberFormat="1" applyFill="1" applyBorder="1"/>
    <xf numFmtId="164" fontId="0" fillId="4" borderId="7" xfId="0" applyNumberFormat="1" applyFill="1" applyBorder="1"/>
    <xf numFmtId="0" fontId="0" fillId="4" borderId="5" xfId="0" applyFill="1" applyBorder="1"/>
    <xf numFmtId="165" fontId="0" fillId="4" borderId="8" xfId="0" applyNumberFormat="1" applyFill="1" applyBorder="1"/>
    <xf numFmtId="165" fontId="0" fillId="4" borderId="10" xfId="0" applyNumberFormat="1" applyFill="1" applyBorder="1"/>
    <xf numFmtId="0" fontId="0" fillId="4" borderId="7" xfId="0" applyFill="1" applyBorder="1"/>
    <xf numFmtId="0" fontId="0" fillId="6" borderId="5" xfId="0" applyFill="1" applyBorder="1"/>
    <xf numFmtId="165" fontId="0" fillId="6" borderId="8" xfId="0" applyNumberFormat="1" applyFill="1" applyBorder="1"/>
    <xf numFmtId="165" fontId="0" fillId="6" borderId="21" xfId="0" applyNumberFormat="1" applyFill="1" applyBorder="1"/>
    <xf numFmtId="165" fontId="0" fillId="6" borderId="10" xfId="0" applyNumberFormat="1" applyFill="1" applyBorder="1"/>
    <xf numFmtId="0" fontId="0" fillId="6" borderId="7" xfId="0" applyFill="1" applyBorder="1"/>
    <xf numFmtId="0" fontId="0" fillId="7" borderId="28" xfId="0" applyFill="1" applyBorder="1"/>
    <xf numFmtId="0" fontId="0" fillId="7" borderId="23" xfId="0" applyFill="1" applyBorder="1"/>
    <xf numFmtId="0" fontId="0" fillId="7" borderId="11" xfId="0" applyFill="1" applyBorder="1"/>
    <xf numFmtId="0" fontId="0" fillId="7" borderId="6" xfId="0" applyFill="1" applyBorder="1"/>
    <xf numFmtId="0" fontId="0" fillId="7" borderId="26" xfId="0" applyFill="1" applyBorder="1"/>
    <xf numFmtId="2" fontId="0" fillId="7" borderId="23" xfId="0" applyNumberFormat="1" applyFill="1" applyBorder="1"/>
    <xf numFmtId="164" fontId="0" fillId="7" borderId="7" xfId="0" applyNumberFormat="1" applyFill="1" applyBorder="1"/>
    <xf numFmtId="0" fontId="0" fillId="7" borderId="5" xfId="0" applyFill="1" applyBorder="1"/>
    <xf numFmtId="165" fontId="0" fillId="7" borderId="8" xfId="0" applyNumberFormat="1" applyFill="1" applyBorder="1"/>
    <xf numFmtId="165" fontId="0" fillId="7" borderId="10" xfId="0" applyNumberFormat="1" applyFill="1" applyBorder="1"/>
    <xf numFmtId="0" fontId="0" fillId="7" borderId="7" xfId="0" applyFill="1" applyBorder="1"/>
    <xf numFmtId="0" fontId="0" fillId="9" borderId="1" xfId="0" applyNumberFormat="1" applyFill="1" applyBorder="1"/>
    <xf numFmtId="165" fontId="0" fillId="9" borderId="1" xfId="0" applyNumberFormat="1" applyFill="1" applyBorder="1"/>
    <xf numFmtId="11" fontId="2" fillId="6" borderId="1" xfId="0" applyNumberFormat="1" applyFont="1" applyFill="1" applyBorder="1"/>
    <xf numFmtId="0" fontId="0" fillId="9" borderId="2" xfId="0" applyNumberFormat="1" applyFill="1" applyBorder="1"/>
    <xf numFmtId="0" fontId="0" fillId="8" borderId="1" xfId="0" applyNumberFormat="1" applyFill="1" applyBorder="1"/>
    <xf numFmtId="165" fontId="0" fillId="8" borderId="1" xfId="0" applyNumberFormat="1" applyFill="1" applyBorder="1"/>
    <xf numFmtId="0" fontId="0" fillId="8" borderId="2" xfId="0" applyNumberFormat="1" applyFill="1" applyBorder="1"/>
    <xf numFmtId="11" fontId="2" fillId="7" borderId="1" xfId="0" applyNumberFormat="1" applyFont="1" applyFill="1" applyBorder="1"/>
    <xf numFmtId="0" fontId="0" fillId="5" borderId="55" xfId="0" applyFill="1" applyBorder="1"/>
    <xf numFmtId="9" fontId="0" fillId="5" borderId="5" xfId="1" applyFont="1" applyFill="1" applyBorder="1"/>
    <xf numFmtId="9" fontId="0" fillId="5" borderId="7" xfId="1" applyFont="1" applyFill="1" applyBorder="1"/>
    <xf numFmtId="9" fontId="0" fillId="5" borderId="10" xfId="1" applyFont="1" applyFill="1" applyBorder="1"/>
    <xf numFmtId="9" fontId="0" fillId="5" borderId="13" xfId="1" applyFont="1" applyFill="1" applyBorder="1"/>
    <xf numFmtId="9" fontId="0" fillId="5" borderId="14" xfId="1" applyFont="1" applyFill="1" applyBorder="1"/>
    <xf numFmtId="11" fontId="0" fillId="9" borderId="1" xfId="0" applyNumberFormat="1" applyFill="1" applyBorder="1"/>
    <xf numFmtId="11" fontId="0" fillId="5" borderId="1" xfId="0" applyNumberFormat="1" applyFill="1" applyBorder="1"/>
    <xf numFmtId="11" fontId="0" fillId="8" borderId="1" xfId="0" applyNumberFormat="1" applyFill="1" applyBorder="1"/>
    <xf numFmtId="0" fontId="0" fillId="3" borderId="19" xfId="0" applyFill="1" applyBorder="1" applyAlignment="1">
      <alignment horizontal="center"/>
    </xf>
    <xf numFmtId="0" fontId="0" fillId="6" borderId="19" xfId="0" applyFill="1" applyBorder="1" applyAlignment="1">
      <alignment horizontal="center"/>
    </xf>
    <xf numFmtId="0" fontId="0" fillId="4" borderId="19" xfId="0" applyFill="1" applyBorder="1" applyAlignment="1">
      <alignment horizontal="center"/>
    </xf>
    <xf numFmtId="0" fontId="0" fillId="7" borderId="19" xfId="0" applyFill="1" applyBorder="1" applyAlignment="1">
      <alignment horizontal="center"/>
    </xf>
    <xf numFmtId="0" fontId="0" fillId="3" borderId="1" xfId="0" applyFill="1" applyBorder="1" applyAlignment="1">
      <alignment horizontal="center"/>
    </xf>
    <xf numFmtId="164" fontId="0" fillId="3" borderId="45" xfId="0" applyNumberFormat="1" applyFill="1" applyBorder="1" applyAlignment="1">
      <alignment horizontal="center"/>
    </xf>
    <xf numFmtId="164" fontId="0" fillId="3" borderId="46" xfId="0" applyNumberFormat="1" applyFill="1" applyBorder="1" applyAlignment="1">
      <alignment horizontal="center"/>
    </xf>
    <xf numFmtId="164" fontId="0" fillId="3" borderId="50" xfId="0" applyNumberFormat="1" applyFill="1" applyBorder="1" applyAlignment="1">
      <alignment horizontal="center"/>
    </xf>
    <xf numFmtId="164" fontId="0" fillId="3" borderId="23" xfId="0" applyNumberFormat="1" applyFill="1" applyBorder="1" applyAlignment="1">
      <alignment horizontal="center"/>
    </xf>
    <xf numFmtId="164" fontId="0" fillId="3" borderId="27" xfId="0" applyNumberFormat="1" applyFill="1" applyBorder="1" applyAlignment="1">
      <alignment horizontal="center"/>
    </xf>
    <xf numFmtId="164" fontId="0" fillId="6" borderId="1" xfId="0" applyNumberFormat="1" applyFill="1" applyBorder="1" applyAlignment="1">
      <alignment horizontal="center"/>
    </xf>
    <xf numFmtId="165" fontId="0" fillId="6" borderId="2" xfId="1" applyNumberFormat="1" applyFont="1" applyFill="1" applyBorder="1" applyAlignment="1">
      <alignment horizontal="center"/>
    </xf>
    <xf numFmtId="165" fontId="0" fillId="6" borderId="3" xfId="1" applyNumberFormat="1" applyFont="1" applyFill="1" applyBorder="1" applyAlignment="1">
      <alignment horizontal="center"/>
    </xf>
    <xf numFmtId="165" fontId="0" fillId="6" borderId="4" xfId="1" applyNumberFormat="1" applyFont="1" applyFill="1" applyBorder="1" applyAlignment="1">
      <alignment horizontal="center"/>
    </xf>
    <xf numFmtId="0" fontId="0" fillId="6" borderId="1" xfId="0" applyFill="1" applyBorder="1" applyAlignment="1">
      <alignment horizontal="center"/>
    </xf>
    <xf numFmtId="0" fontId="0" fillId="0" borderId="0" xfId="0" applyBorder="1" applyAlignment="1">
      <alignment horizontal="center"/>
    </xf>
    <xf numFmtId="165" fontId="0" fillId="4" borderId="2" xfId="1" applyNumberFormat="1" applyFont="1" applyFill="1" applyBorder="1" applyAlignment="1">
      <alignment horizontal="center"/>
    </xf>
    <xf numFmtId="165" fontId="0" fillId="4" borderId="3" xfId="1" applyNumberFormat="1" applyFont="1" applyFill="1" applyBorder="1" applyAlignment="1">
      <alignment horizontal="center"/>
    </xf>
    <xf numFmtId="165" fontId="0" fillId="4" borderId="4" xfId="1" applyNumberFormat="1" applyFont="1" applyFill="1" applyBorder="1" applyAlignment="1">
      <alignment horizontal="center"/>
    </xf>
    <xf numFmtId="0" fontId="0" fillId="4" borderId="1" xfId="0" applyFill="1" applyBorder="1" applyAlignment="1">
      <alignment horizontal="center"/>
    </xf>
    <xf numFmtId="164" fontId="0" fillId="4" borderId="1" xfId="0" applyNumberFormat="1" applyFill="1" applyBorder="1" applyAlignment="1">
      <alignment horizontal="center"/>
    </xf>
    <xf numFmtId="0" fontId="0" fillId="0" borderId="0" xfId="0" applyFill="1" applyBorder="1" applyAlignment="1">
      <alignment horizontal="center"/>
    </xf>
    <xf numFmtId="164" fontId="0" fillId="0" borderId="0" xfId="0" applyNumberFormat="1" applyFill="1" applyBorder="1" applyAlignment="1">
      <alignment horizontal="center"/>
    </xf>
    <xf numFmtId="165" fontId="0" fillId="7" borderId="2" xfId="1" applyNumberFormat="1" applyFont="1" applyFill="1" applyBorder="1" applyAlignment="1">
      <alignment horizontal="center"/>
    </xf>
    <xf numFmtId="165" fontId="0" fillId="7" borderId="3" xfId="1" applyNumberFormat="1" applyFont="1" applyFill="1" applyBorder="1" applyAlignment="1">
      <alignment horizontal="center"/>
    </xf>
    <xf numFmtId="165" fontId="0" fillId="7" borderId="4" xfId="1" applyNumberFormat="1" applyFont="1" applyFill="1" applyBorder="1" applyAlignment="1">
      <alignment horizontal="center"/>
    </xf>
    <xf numFmtId="0" fontId="0" fillId="7" borderId="1" xfId="0" applyFill="1" applyBorder="1" applyAlignment="1">
      <alignment horizontal="center"/>
    </xf>
    <xf numFmtId="164" fontId="0" fillId="7" borderId="1" xfId="0" applyNumberFormat="1" applyFill="1" applyBorder="1" applyAlignment="1">
      <alignment horizontal="center"/>
    </xf>
    <xf numFmtId="2" fontId="0" fillId="0" borderId="26" xfId="1" applyNumberFormat="1" applyFont="1" applyBorder="1" applyAlignment="1">
      <alignment horizontal="center"/>
    </xf>
    <xf numFmtId="2" fontId="0" fillId="0" borderId="24" xfId="1" applyNumberFormat="1" applyFont="1" applyBorder="1" applyAlignment="1">
      <alignment horizontal="center"/>
    </xf>
    <xf numFmtId="2" fontId="0" fillId="0" borderId="25" xfId="1" applyNumberFormat="1" applyFont="1" applyBorder="1" applyAlignment="1">
      <alignment horizontal="center"/>
    </xf>
    <xf numFmtId="165" fontId="0" fillId="0" borderId="26" xfId="1" applyNumberFormat="1" applyFont="1" applyBorder="1" applyAlignment="1">
      <alignment horizontal="center"/>
    </xf>
    <xf numFmtId="165" fontId="0" fillId="0" borderId="24" xfId="1" applyNumberFormat="1" applyFont="1" applyBorder="1" applyAlignment="1">
      <alignment horizontal="center"/>
    </xf>
    <xf numFmtId="165" fontId="0" fillId="0" borderId="25" xfId="1" applyNumberFormat="1" applyFont="1" applyBorder="1" applyAlignment="1">
      <alignment horizontal="center"/>
    </xf>
    <xf numFmtId="165" fontId="0" fillId="0" borderId="6" xfId="1" applyNumberFormat="1" applyFont="1" applyBorder="1" applyAlignment="1">
      <alignment horizontal="center"/>
    </xf>
    <xf numFmtId="165" fontId="0" fillId="0" borderId="1" xfId="1" applyNumberFormat="1" applyFont="1" applyBorder="1" applyAlignment="1">
      <alignment horizontal="center"/>
    </xf>
    <xf numFmtId="165" fontId="0" fillId="0" borderId="11" xfId="1" applyNumberFormat="1" applyFont="1" applyBorder="1" applyAlignment="1">
      <alignment horizontal="center"/>
    </xf>
    <xf numFmtId="0" fontId="0" fillId="7" borderId="8" xfId="0" applyFill="1" applyBorder="1" applyAlignment="1">
      <alignment horizontal="center"/>
    </xf>
    <xf numFmtId="0" fontId="0" fillId="7" borderId="10" xfId="0" applyFill="1" applyBorder="1" applyAlignment="1">
      <alignment horizontal="center"/>
    </xf>
    <xf numFmtId="0" fontId="0" fillId="4" borderId="8" xfId="0" applyFill="1" applyBorder="1" applyAlignment="1">
      <alignment horizontal="center"/>
    </xf>
    <xf numFmtId="0" fontId="0" fillId="4" borderId="10" xfId="0" applyFill="1" applyBorder="1" applyAlignment="1">
      <alignment horizontal="center"/>
    </xf>
    <xf numFmtId="0" fontId="0" fillId="6" borderId="5" xfId="0" applyFill="1" applyBorder="1" applyAlignment="1">
      <alignment horizontal="center"/>
    </xf>
    <xf numFmtId="0" fontId="0" fillId="6" borderId="8" xfId="0" applyFill="1" applyBorder="1" applyAlignment="1">
      <alignment horizontal="center"/>
    </xf>
    <xf numFmtId="0" fontId="0" fillId="6" borderId="10" xfId="0" applyFill="1" applyBorder="1" applyAlignment="1">
      <alignment horizontal="center"/>
    </xf>
    <xf numFmtId="0" fontId="0" fillId="6" borderId="15" xfId="0" applyFill="1" applyBorder="1" applyAlignment="1">
      <alignment horizontal="center"/>
    </xf>
    <xf numFmtId="0" fontId="0" fillId="6" borderId="21" xfId="0" applyFill="1" applyBorder="1" applyAlignment="1">
      <alignment horizontal="center"/>
    </xf>
    <xf numFmtId="0" fontId="0" fillId="6" borderId="19" xfId="0" applyFill="1" applyBorder="1" applyAlignment="1">
      <alignment horizontal="center" wrapText="1"/>
    </xf>
    <xf numFmtId="0" fontId="0" fillId="6" borderId="43" xfId="0" applyFill="1" applyBorder="1" applyAlignment="1">
      <alignment horizontal="center" wrapText="1"/>
    </xf>
    <xf numFmtId="0" fontId="0" fillId="6" borderId="16" xfId="0" applyFill="1" applyBorder="1" applyAlignment="1">
      <alignment horizontal="center" wrapText="1"/>
    </xf>
    <xf numFmtId="0" fontId="0" fillId="4" borderId="19" xfId="0" applyFill="1" applyBorder="1" applyAlignment="1">
      <alignment horizontal="center" wrapText="1"/>
    </xf>
    <xf numFmtId="0" fontId="0" fillId="4" borderId="43" xfId="0" applyFill="1" applyBorder="1" applyAlignment="1">
      <alignment horizontal="center" wrapText="1"/>
    </xf>
    <xf numFmtId="0" fontId="0" fillId="4" borderId="16" xfId="0" applyFill="1" applyBorder="1" applyAlignment="1">
      <alignment horizontal="center" wrapText="1"/>
    </xf>
    <xf numFmtId="0" fontId="0" fillId="7" borderId="19" xfId="0" applyFill="1" applyBorder="1" applyAlignment="1">
      <alignment horizontal="center" wrapText="1"/>
    </xf>
    <xf numFmtId="0" fontId="0" fillId="7" borderId="43" xfId="0" applyFill="1" applyBorder="1" applyAlignment="1">
      <alignment horizontal="center" wrapText="1"/>
    </xf>
    <xf numFmtId="0" fontId="0" fillId="7" borderId="16" xfId="0" applyFill="1" applyBorder="1" applyAlignment="1">
      <alignment horizontal="center" wrapText="1"/>
    </xf>
  </cellXfs>
  <cellStyles count="2">
    <cellStyle name="Normal" xfId="0" builtinId="0"/>
    <cellStyle name="Percent" xfId="1" builtinId="5"/>
  </cellStyles>
  <dxfs count="0"/>
  <tableStyles count="0" defaultTableStyle="TableStyleMedium2" defaultPivotStyle="PivotStyleLight16"/>
  <colors>
    <mruColors>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2.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13.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14.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15.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16.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7.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8.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9.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7.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8.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Phase diagram PEG 10000 - MDX</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3253380144058885"/>
          <c:y val="5.448345820588351E-2"/>
          <c:w val="0.80142136035792788"/>
          <c:h val="0.80978682030715887"/>
        </c:manualLayout>
      </c:layout>
      <c:scatterChart>
        <c:scatterStyle val="lineMarker"/>
        <c:varyColors val="0"/>
        <c:ser>
          <c:idx val="0"/>
          <c:order val="0"/>
          <c:spPr>
            <a:ln w="25400" cap="rnd">
              <a:noFill/>
              <a:round/>
            </a:ln>
            <a:effectLst/>
          </c:spPr>
          <c:marker>
            <c:symbol val="circle"/>
            <c:size val="5"/>
            <c:spPr>
              <a:solidFill>
                <a:schemeClr val="accent2"/>
              </a:solidFill>
              <a:ln w="9525">
                <a:noFill/>
              </a:ln>
              <a:effectLst/>
            </c:spPr>
          </c:marker>
          <c:errBars>
            <c:errDir val="x"/>
            <c:errBarType val="both"/>
            <c:errValType val="cust"/>
            <c:noEndCap val="0"/>
            <c:plus>
              <c:numRef>
                <c:f>'PEG-MDX results summary'!$T$3:$T$12</c:f>
                <c:numCache>
                  <c:formatCode>General</c:formatCode>
                  <c:ptCount val="10"/>
                  <c:pt idx="0">
                    <c:v>4.3111180984155137E-3</c:v>
                  </c:pt>
                  <c:pt idx="1">
                    <c:v>3.3483638626083771E-2</c:v>
                  </c:pt>
                  <c:pt idx="2">
                    <c:v>5.7278380088919886E-3</c:v>
                  </c:pt>
                  <c:pt idx="3">
                    <c:v>6.53837347791028E-3</c:v>
                  </c:pt>
                  <c:pt idx="4">
                    <c:v>5.7278380088919886E-3</c:v>
                  </c:pt>
                  <c:pt idx="5">
                    <c:v>6.53837347791028E-3</c:v>
                  </c:pt>
                  <c:pt idx="6">
                    <c:v>1.3271408326777116E-2</c:v>
                  </c:pt>
                  <c:pt idx="7">
                    <c:v>2.1629812844043934E-2</c:v>
                  </c:pt>
                  <c:pt idx="8">
                    <c:v>2.2767032302116151E-2</c:v>
                  </c:pt>
                  <c:pt idx="9">
                    <c:v>1.3498743237831866E-2</c:v>
                  </c:pt>
                </c:numCache>
              </c:numRef>
            </c:plus>
            <c:minus>
              <c:numRef>
                <c:f>'PEG-MDX results summary'!$T$3:$T$12</c:f>
                <c:numCache>
                  <c:formatCode>General</c:formatCode>
                  <c:ptCount val="10"/>
                  <c:pt idx="0">
                    <c:v>4.3111180984155137E-3</c:v>
                  </c:pt>
                  <c:pt idx="1">
                    <c:v>3.3483638626083771E-2</c:v>
                  </c:pt>
                  <c:pt idx="2">
                    <c:v>5.7278380088919886E-3</c:v>
                  </c:pt>
                  <c:pt idx="3">
                    <c:v>6.53837347791028E-3</c:v>
                  </c:pt>
                  <c:pt idx="4">
                    <c:v>5.7278380088919886E-3</c:v>
                  </c:pt>
                  <c:pt idx="5">
                    <c:v>6.53837347791028E-3</c:v>
                  </c:pt>
                  <c:pt idx="6">
                    <c:v>1.3271408326777116E-2</c:v>
                  </c:pt>
                  <c:pt idx="7">
                    <c:v>2.1629812844043934E-2</c:v>
                  </c:pt>
                  <c:pt idx="8">
                    <c:v>2.2767032302116151E-2</c:v>
                  </c:pt>
                  <c:pt idx="9">
                    <c:v>1.3498743237831866E-2</c:v>
                  </c:pt>
                </c:numCache>
              </c:numRef>
            </c:minus>
            <c:spPr>
              <a:noFill/>
              <a:ln w="9525" cap="flat" cmpd="sng" algn="ctr">
                <a:solidFill>
                  <a:schemeClr val="tx1">
                    <a:lumMod val="65000"/>
                    <a:lumOff val="35000"/>
                  </a:schemeClr>
                </a:solidFill>
                <a:round/>
              </a:ln>
              <a:effectLst/>
            </c:spPr>
          </c:errBars>
          <c:errBars>
            <c:errDir val="y"/>
            <c:errBarType val="both"/>
            <c:errValType val="cust"/>
            <c:noEndCap val="0"/>
            <c:plus>
              <c:numRef>
                <c:f>'PEG-MDX results summary'!$V$3:$V$12</c:f>
                <c:numCache>
                  <c:formatCode>General</c:formatCode>
                  <c:ptCount val="10"/>
                  <c:pt idx="0">
                    <c:v>4.5474841808879453E-3</c:v>
                  </c:pt>
                  <c:pt idx="1">
                    <c:v>8.039911460082181E-3</c:v>
                  </c:pt>
                  <c:pt idx="2">
                    <c:v>6.7397303874434326E-3</c:v>
                  </c:pt>
                  <c:pt idx="3">
                    <c:v>7.8068918034286386E-3</c:v>
                  </c:pt>
                  <c:pt idx="4">
                    <c:v>6.7397303874434326E-3</c:v>
                  </c:pt>
                  <c:pt idx="5">
                    <c:v>7.8068918034286386E-3</c:v>
                  </c:pt>
                  <c:pt idx="6">
                    <c:v>1.308397036296856E-2</c:v>
                  </c:pt>
                  <c:pt idx="7">
                    <c:v>2.4964616522679933E-2</c:v>
                  </c:pt>
                  <c:pt idx="8">
                    <c:v>2.4656726721818387E-2</c:v>
                  </c:pt>
                  <c:pt idx="9">
                    <c:v>1.4691096385176702E-2</c:v>
                  </c:pt>
                </c:numCache>
              </c:numRef>
            </c:plus>
            <c:minus>
              <c:numRef>
                <c:f>'PEG-MDX results summary'!$V$3:$V$12</c:f>
                <c:numCache>
                  <c:formatCode>General</c:formatCode>
                  <c:ptCount val="10"/>
                  <c:pt idx="0">
                    <c:v>4.5474841808879453E-3</c:v>
                  </c:pt>
                  <c:pt idx="1">
                    <c:v>8.039911460082181E-3</c:v>
                  </c:pt>
                  <c:pt idx="2">
                    <c:v>6.7397303874434326E-3</c:v>
                  </c:pt>
                  <c:pt idx="3">
                    <c:v>7.8068918034286386E-3</c:v>
                  </c:pt>
                  <c:pt idx="4">
                    <c:v>6.7397303874434326E-3</c:v>
                  </c:pt>
                  <c:pt idx="5">
                    <c:v>7.8068918034286386E-3</c:v>
                  </c:pt>
                  <c:pt idx="6">
                    <c:v>1.308397036296856E-2</c:v>
                  </c:pt>
                  <c:pt idx="7">
                    <c:v>2.4964616522679933E-2</c:v>
                  </c:pt>
                  <c:pt idx="8">
                    <c:v>2.4656726721818387E-2</c:v>
                  </c:pt>
                  <c:pt idx="9">
                    <c:v>1.4691096385176702E-2</c:v>
                  </c:pt>
                </c:numCache>
              </c:numRef>
            </c:minus>
            <c:spPr>
              <a:noFill/>
              <a:ln w="9525" cap="flat" cmpd="sng" algn="ctr">
                <a:solidFill>
                  <a:schemeClr val="tx1">
                    <a:lumMod val="65000"/>
                    <a:lumOff val="35000"/>
                  </a:schemeClr>
                </a:solidFill>
                <a:round/>
              </a:ln>
              <a:effectLst/>
            </c:spPr>
          </c:errBars>
          <c:xVal>
            <c:numRef>
              <c:f>'PEG-MDX results summary'!$S$3:$S$12</c:f>
              <c:numCache>
                <c:formatCode>0%</c:formatCode>
                <c:ptCount val="10"/>
                <c:pt idx="0">
                  <c:v>0.14131838626276161</c:v>
                </c:pt>
                <c:pt idx="1">
                  <c:v>0.428003014150241</c:v>
                </c:pt>
                <c:pt idx="2">
                  <c:v>0.19090136456015738</c:v>
                </c:pt>
                <c:pt idx="3">
                  <c:v>0.38948910617414195</c:v>
                </c:pt>
                <c:pt idx="4">
                  <c:v>0.17112661819258931</c:v>
                </c:pt>
                <c:pt idx="5">
                  <c:v>0.33137956644433736</c:v>
                </c:pt>
                <c:pt idx="6">
                  <c:v>0.13691669226407471</c:v>
                </c:pt>
                <c:pt idx="7">
                  <c:v>0.48986493746420751</c:v>
                </c:pt>
                <c:pt idx="8" formatCode="0.0%">
                  <c:v>0.13133916557971617</c:v>
                </c:pt>
                <c:pt idx="9" formatCode="0.0%">
                  <c:v>0.55815312075381984</c:v>
                </c:pt>
              </c:numCache>
            </c:numRef>
          </c:xVal>
          <c:yVal>
            <c:numRef>
              <c:f>'PEG-MDX results summary'!$U$3:$U$12</c:f>
              <c:numCache>
                <c:formatCode>0%</c:formatCode>
                <c:ptCount val="10"/>
                <c:pt idx="0">
                  <c:v>0.14540954490937325</c:v>
                </c:pt>
                <c:pt idx="1">
                  <c:v>1E-3</c:v>
                </c:pt>
                <c:pt idx="2">
                  <c:v>9.0260384198242935E-2</c:v>
                </c:pt>
                <c:pt idx="3">
                  <c:v>1E-3</c:v>
                </c:pt>
                <c:pt idx="4">
                  <c:v>8.6337103120981432E-2</c:v>
                </c:pt>
                <c:pt idx="5">
                  <c:v>1.2671609602289391E-2</c:v>
                </c:pt>
                <c:pt idx="6">
                  <c:v>0.19659116876943217</c:v>
                </c:pt>
                <c:pt idx="7">
                  <c:v>2.0447826056263752E-3</c:v>
                </c:pt>
                <c:pt idx="8" formatCode="0.0%">
                  <c:v>0.24394454389649806</c:v>
                </c:pt>
                <c:pt idx="9" formatCode="0.0%">
                  <c:v>0</c:v>
                </c:pt>
              </c:numCache>
            </c:numRef>
          </c:yVal>
          <c:smooth val="0"/>
          <c:extLst>
            <c:ext xmlns:c16="http://schemas.microsoft.com/office/drawing/2014/chart" uri="{C3380CC4-5D6E-409C-BE32-E72D297353CC}">
              <c16:uniqueId val="{00000000-35F5-4A8F-97A7-67B60A5A66CF}"/>
            </c:ext>
          </c:extLst>
        </c:ser>
        <c:dLbls>
          <c:showLegendKey val="0"/>
          <c:showVal val="0"/>
          <c:showCatName val="0"/>
          <c:showSerName val="0"/>
          <c:showPercent val="0"/>
          <c:showBubbleSize val="0"/>
        </c:dLbls>
        <c:axId val="624976296"/>
        <c:axId val="624975640"/>
      </c:scatterChart>
      <c:valAx>
        <c:axId val="624976296"/>
        <c:scaling>
          <c:orientation val="minMax"/>
          <c:max val="0.70000000000000007"/>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sz="1000" b="0" i="0" u="none" strike="noStrike" baseline="0">
                    <a:effectLst/>
                  </a:rPr>
                  <a:t>MDX concentration (% w/w)</a:t>
                </a:r>
                <a:endParaRPr lang="en-ZA"/>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24975640"/>
        <c:crosses val="autoZero"/>
        <c:crossBetween val="midCat"/>
      </c:valAx>
      <c:valAx>
        <c:axId val="624975640"/>
        <c:scaling>
          <c:orientation val="minMax"/>
          <c:min val="0"/>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sz="1000" b="0" i="0" u="none" strike="noStrike" baseline="0">
                    <a:effectLst/>
                  </a:rPr>
                  <a:t>PEG 10000 concentration (% w/w)</a:t>
                </a:r>
                <a:endParaRPr lang="en-ZA"/>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24976296"/>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a:pPr>
            <a:r>
              <a:rPr lang="en-ZA" sz="1400"/>
              <a:t>PEG  - MDX Phase equilibrium curve models</a:t>
            </a:r>
          </a:p>
        </c:rich>
      </c:tx>
      <c:overlay val="0"/>
    </c:title>
    <c:autoTitleDeleted val="0"/>
    <c:plotArea>
      <c:layout>
        <c:manualLayout>
          <c:layoutTarget val="inner"/>
          <c:xMode val="edge"/>
          <c:yMode val="edge"/>
          <c:x val="0.13573625869730044"/>
          <c:y val="0.17171296296296296"/>
          <c:w val="0.83203067872765391"/>
          <c:h val="0.68385061242344702"/>
        </c:manualLayout>
      </c:layout>
      <c:scatterChart>
        <c:scatterStyle val="lineMarker"/>
        <c:varyColors val="0"/>
        <c:ser>
          <c:idx val="2"/>
          <c:order val="0"/>
          <c:tx>
            <c:v>10k</c:v>
          </c:tx>
          <c:spPr>
            <a:ln>
              <a:solidFill>
                <a:schemeClr val="accent2"/>
              </a:solidFill>
            </a:ln>
          </c:spPr>
          <c:marker>
            <c:symbol val="none"/>
          </c:marker>
          <c:xVal>
            <c:numRef>
              <c:f>'Phase diagram models'!$E$59:$E$88</c:f>
              <c:numCache>
                <c:formatCode>General</c:formatCode>
                <c:ptCount val="30"/>
                <c:pt idx="0">
                  <c:v>0.123</c:v>
                </c:pt>
                <c:pt idx="1">
                  <c:v>0.13</c:v>
                </c:pt>
                <c:pt idx="2">
                  <c:v>0.14000000000000001</c:v>
                </c:pt>
                <c:pt idx="3">
                  <c:v>0.15</c:v>
                </c:pt>
                <c:pt idx="4">
                  <c:v>0.16</c:v>
                </c:pt>
                <c:pt idx="5">
                  <c:v>0.17</c:v>
                </c:pt>
                <c:pt idx="6">
                  <c:v>0.18</c:v>
                </c:pt>
                <c:pt idx="7">
                  <c:v>0.19</c:v>
                </c:pt>
                <c:pt idx="8">
                  <c:v>0.2</c:v>
                </c:pt>
                <c:pt idx="9">
                  <c:v>0.22</c:v>
                </c:pt>
                <c:pt idx="10">
                  <c:v>0.24</c:v>
                </c:pt>
                <c:pt idx="11">
                  <c:v>0.26</c:v>
                </c:pt>
                <c:pt idx="12">
                  <c:v>0.28000000000000003</c:v>
                </c:pt>
                <c:pt idx="13">
                  <c:v>0.3</c:v>
                </c:pt>
                <c:pt idx="14">
                  <c:v>0.32</c:v>
                </c:pt>
                <c:pt idx="15">
                  <c:v>0.34</c:v>
                </c:pt>
                <c:pt idx="16">
                  <c:v>0.36</c:v>
                </c:pt>
                <c:pt idx="17">
                  <c:v>0.38</c:v>
                </c:pt>
                <c:pt idx="18">
                  <c:v>0.4</c:v>
                </c:pt>
                <c:pt idx="19">
                  <c:v>0.43</c:v>
                </c:pt>
                <c:pt idx="20">
                  <c:v>0.46</c:v>
                </c:pt>
                <c:pt idx="21">
                  <c:v>0.49</c:v>
                </c:pt>
                <c:pt idx="22">
                  <c:v>0.52</c:v>
                </c:pt>
                <c:pt idx="23">
                  <c:v>0.55000000000000004</c:v>
                </c:pt>
                <c:pt idx="24">
                  <c:v>0.57999999999999996</c:v>
                </c:pt>
                <c:pt idx="25">
                  <c:v>0.61</c:v>
                </c:pt>
                <c:pt idx="26">
                  <c:v>0.64</c:v>
                </c:pt>
                <c:pt idx="27">
                  <c:v>0.67</c:v>
                </c:pt>
                <c:pt idx="28">
                  <c:v>0.7</c:v>
                </c:pt>
                <c:pt idx="29">
                  <c:v>0.73</c:v>
                </c:pt>
              </c:numCache>
            </c:numRef>
          </c:xVal>
          <c:yVal>
            <c:numRef>
              <c:f>'Phase diagram models'!$F$59:$F$88</c:f>
              <c:numCache>
                <c:formatCode>0.000</c:formatCode>
                <c:ptCount val="30"/>
                <c:pt idx="0">
                  <c:v>0.27238220371836375</c:v>
                </c:pt>
                <c:pt idx="1">
                  <c:v>0.24282689775802599</c:v>
                </c:pt>
                <c:pt idx="2">
                  <c:v>0.20187141942768991</c:v>
                </c:pt>
                <c:pt idx="3">
                  <c:v>0.16351243291473397</c:v>
                </c:pt>
                <c:pt idx="4">
                  <c:v>0.12879089380669678</c:v>
                </c:pt>
                <c:pt idx="5">
                  <c:v>9.8455815886067888E-2</c:v>
                </c:pt>
                <c:pt idx="6">
                  <c:v>7.2909670187161713E-2</c:v>
                </c:pt>
                <c:pt idx="7">
                  <c:v>5.2201619914995147E-2</c:v>
                </c:pt>
                <c:pt idx="8">
                  <c:v>3.6066747242289449E-2</c:v>
                </c:pt>
                <c:pt idx="9">
                  <c:v>1.5353511247132365E-2</c:v>
                </c:pt>
                <c:pt idx="10">
                  <c:v>5.5393833274491227E-3</c:v>
                </c:pt>
                <c:pt idx="11">
                  <c:v>1.6682239062234285E-3</c:v>
                </c:pt>
                <c:pt idx="12">
                  <c:v>4.130300500626039E-4</c:v>
                </c:pt>
                <c:pt idx="13">
                  <c:v>8.2802844730511815E-5</c:v>
                </c:pt>
                <c:pt idx="14">
                  <c:v>1.3238910814257299E-5</c:v>
                </c:pt>
                <c:pt idx="15">
                  <c:v>1.6626996508668749E-6</c:v>
                </c:pt>
                <c:pt idx="16">
                  <c:v>1.6156389011781548E-7</c:v>
                </c:pt>
                <c:pt idx="17">
                  <c:v>1.1963568957264963E-8</c:v>
                </c:pt>
                <c:pt idx="18">
                  <c:v>6.6493979494758363E-10</c:v>
                </c:pt>
                <c:pt idx="19">
                  <c:v>4.9221850828544075E-12</c:v>
                </c:pt>
                <c:pt idx="20">
                  <c:v>1.7546644453142552E-14</c:v>
                </c:pt>
                <c:pt idx="21">
                  <c:v>2.8621881302932164E-17</c:v>
                </c:pt>
                <c:pt idx="22">
                  <c:v>2.0299357436258649E-20</c:v>
                </c:pt>
                <c:pt idx="23">
                  <c:v>5.9478794540942081E-24</c:v>
                </c:pt>
                <c:pt idx="24">
                  <c:v>6.8415815694395056E-28</c:v>
                </c:pt>
                <c:pt idx="25">
                  <c:v>2.9355300619484899E-32</c:v>
                </c:pt>
                <c:pt idx="26">
                  <c:v>4.4645269957287029E-37</c:v>
                </c:pt>
                <c:pt idx="27">
                  <c:v>2.2869054341498924E-42</c:v>
                </c:pt>
                <c:pt idx="28">
                  <c:v>3.7491357675878718E-48</c:v>
                </c:pt>
                <c:pt idx="29">
                  <c:v>1.8691835140867904E-54</c:v>
                </c:pt>
              </c:numCache>
            </c:numRef>
          </c:yVal>
          <c:smooth val="0"/>
          <c:extLst>
            <c:ext xmlns:c16="http://schemas.microsoft.com/office/drawing/2014/chart" uri="{C3380CC4-5D6E-409C-BE32-E72D297353CC}">
              <c16:uniqueId val="{00000000-973E-4B7D-9D8E-4D69306CA568}"/>
            </c:ext>
          </c:extLst>
        </c:ser>
        <c:ser>
          <c:idx val="0"/>
          <c:order val="1"/>
          <c:tx>
            <c:v>12k</c:v>
          </c:tx>
          <c:spPr>
            <a:ln>
              <a:solidFill>
                <a:schemeClr val="accent5"/>
              </a:solidFill>
            </a:ln>
          </c:spPr>
          <c:marker>
            <c:symbol val="none"/>
          </c:marker>
          <c:xVal>
            <c:numRef>
              <c:f>'Phase diagram models'!$E$57:$E$88</c:f>
              <c:numCache>
                <c:formatCode>General</c:formatCode>
                <c:ptCount val="32"/>
                <c:pt idx="0">
                  <c:v>0.11</c:v>
                </c:pt>
                <c:pt idx="1">
                  <c:v>0.115</c:v>
                </c:pt>
                <c:pt idx="2">
                  <c:v>0.123</c:v>
                </c:pt>
                <c:pt idx="3">
                  <c:v>0.13</c:v>
                </c:pt>
                <c:pt idx="4">
                  <c:v>0.14000000000000001</c:v>
                </c:pt>
                <c:pt idx="5">
                  <c:v>0.15</c:v>
                </c:pt>
                <c:pt idx="6">
                  <c:v>0.16</c:v>
                </c:pt>
                <c:pt idx="7">
                  <c:v>0.17</c:v>
                </c:pt>
                <c:pt idx="8">
                  <c:v>0.18</c:v>
                </c:pt>
                <c:pt idx="9">
                  <c:v>0.19</c:v>
                </c:pt>
                <c:pt idx="10">
                  <c:v>0.2</c:v>
                </c:pt>
                <c:pt idx="11">
                  <c:v>0.22</c:v>
                </c:pt>
                <c:pt idx="12">
                  <c:v>0.24</c:v>
                </c:pt>
                <c:pt idx="13">
                  <c:v>0.26</c:v>
                </c:pt>
                <c:pt idx="14">
                  <c:v>0.28000000000000003</c:v>
                </c:pt>
                <c:pt idx="15">
                  <c:v>0.3</c:v>
                </c:pt>
                <c:pt idx="16">
                  <c:v>0.32</c:v>
                </c:pt>
                <c:pt idx="17">
                  <c:v>0.34</c:v>
                </c:pt>
                <c:pt idx="18">
                  <c:v>0.36</c:v>
                </c:pt>
                <c:pt idx="19">
                  <c:v>0.38</c:v>
                </c:pt>
                <c:pt idx="20">
                  <c:v>0.4</c:v>
                </c:pt>
                <c:pt idx="21">
                  <c:v>0.43</c:v>
                </c:pt>
                <c:pt idx="22">
                  <c:v>0.46</c:v>
                </c:pt>
                <c:pt idx="23">
                  <c:v>0.49</c:v>
                </c:pt>
                <c:pt idx="24">
                  <c:v>0.52</c:v>
                </c:pt>
                <c:pt idx="25">
                  <c:v>0.55000000000000004</c:v>
                </c:pt>
                <c:pt idx="26">
                  <c:v>0.57999999999999996</c:v>
                </c:pt>
                <c:pt idx="27">
                  <c:v>0.61</c:v>
                </c:pt>
                <c:pt idx="28">
                  <c:v>0.64</c:v>
                </c:pt>
                <c:pt idx="29">
                  <c:v>0.67</c:v>
                </c:pt>
                <c:pt idx="30">
                  <c:v>0.7</c:v>
                </c:pt>
                <c:pt idx="31">
                  <c:v>0.73</c:v>
                </c:pt>
              </c:numCache>
            </c:numRef>
          </c:xVal>
          <c:yVal>
            <c:numRef>
              <c:f>'Phase diagram models'!$G$57:$G$88</c:f>
              <c:numCache>
                <c:formatCode>0.000</c:formatCode>
                <c:ptCount val="32"/>
                <c:pt idx="0">
                  <c:v>0.31716150875731564</c:v>
                </c:pt>
                <c:pt idx="1">
                  <c:v>0.29088180007945708</c:v>
                </c:pt>
                <c:pt idx="2">
                  <c:v>0.25321247063207841</c:v>
                </c:pt>
                <c:pt idx="3">
                  <c:v>0.22410971627819432</c:v>
                </c:pt>
                <c:pt idx="4">
                  <c:v>0.18785958280569234</c:v>
                </c:pt>
                <c:pt idx="5">
                  <c:v>0.15694789500504036</c:v>
                </c:pt>
                <c:pt idx="6">
                  <c:v>0.13055610615066304</c:v>
                </c:pt>
                <c:pt idx="7">
                  <c:v>0.10803330539393415</c:v>
                </c:pt>
                <c:pt idx="8">
                  <c:v>8.8850397726486952E-2</c:v>
                </c:pt>
                <c:pt idx="9">
                  <c:v>7.2567730807297892E-2</c:v>
                </c:pt>
                <c:pt idx="10">
                  <c:v>5.8812105418684486E-2</c:v>
                </c:pt>
                <c:pt idx="11">
                  <c:v>3.7628573252309241E-2</c:v>
                </c:pt>
                <c:pt idx="12">
                  <c:v>2.3135768558611644E-2</c:v>
                </c:pt>
                <c:pt idx="13">
                  <c:v>1.3594400995739398E-2</c:v>
                </c:pt>
                <c:pt idx="14">
                  <c:v>7.5933186914034015E-3</c:v>
                </c:pt>
                <c:pt idx="15">
                  <c:v>4.0109968828392177E-3</c:v>
                </c:pt>
                <c:pt idx="16">
                  <c:v>1.993556213381252E-3</c:v>
                </c:pt>
                <c:pt idx="17">
                  <c:v>9.2770022093028107E-4</c:v>
                </c:pt>
                <c:pt idx="18">
                  <c:v>4.0222609083665064E-4</c:v>
                </c:pt>
                <c:pt idx="19">
                  <c:v>1.6170488765204801E-4</c:v>
                </c:pt>
                <c:pt idx="20">
                  <c:v>5.9992231223347019E-5</c:v>
                </c:pt>
                <c:pt idx="21">
                  <c:v>1.1541523951617898E-5</c:v>
                </c:pt>
                <c:pt idx="22">
                  <c:v>1.804939568463298E-6</c:v>
                </c:pt>
                <c:pt idx="23">
                  <c:v>2.2588283248903856E-7</c:v>
                </c:pt>
                <c:pt idx="24">
                  <c:v>2.227210425015867E-8</c:v>
                </c:pt>
                <c:pt idx="25">
                  <c:v>1.7036115247076865E-9</c:v>
                </c:pt>
                <c:pt idx="26">
                  <c:v>9.9544062026516818E-11</c:v>
                </c:pt>
                <c:pt idx="27">
                  <c:v>4.3754700467263586E-12</c:v>
                </c:pt>
                <c:pt idx="28">
                  <c:v>1.4247819671393458E-13</c:v>
                </c:pt>
                <c:pt idx="29">
                  <c:v>3.3849599290799252E-15</c:v>
                </c:pt>
                <c:pt idx="30">
                  <c:v>5.7785889294905829E-17</c:v>
                </c:pt>
                <c:pt idx="31">
                  <c:v>6.981478333948662E-19</c:v>
                </c:pt>
              </c:numCache>
            </c:numRef>
          </c:yVal>
          <c:smooth val="0"/>
          <c:extLst>
            <c:ext xmlns:c16="http://schemas.microsoft.com/office/drawing/2014/chart" uri="{C3380CC4-5D6E-409C-BE32-E72D297353CC}">
              <c16:uniqueId val="{00000001-973E-4B7D-9D8E-4D69306CA568}"/>
            </c:ext>
          </c:extLst>
        </c:ser>
        <c:ser>
          <c:idx val="1"/>
          <c:order val="2"/>
          <c:tx>
            <c:v>20k</c:v>
          </c:tx>
          <c:spPr>
            <a:ln>
              <a:solidFill>
                <a:schemeClr val="accent6"/>
              </a:solidFill>
            </a:ln>
          </c:spPr>
          <c:marker>
            <c:symbol val="none"/>
          </c:marker>
          <c:xVal>
            <c:numRef>
              <c:f>'Phase diagram models'!$E$59:$E$88</c:f>
              <c:numCache>
                <c:formatCode>General</c:formatCode>
                <c:ptCount val="30"/>
                <c:pt idx="0">
                  <c:v>0.123</c:v>
                </c:pt>
                <c:pt idx="1">
                  <c:v>0.13</c:v>
                </c:pt>
                <c:pt idx="2">
                  <c:v>0.14000000000000001</c:v>
                </c:pt>
                <c:pt idx="3">
                  <c:v>0.15</c:v>
                </c:pt>
                <c:pt idx="4">
                  <c:v>0.16</c:v>
                </c:pt>
                <c:pt idx="5">
                  <c:v>0.17</c:v>
                </c:pt>
                <c:pt idx="6">
                  <c:v>0.18</c:v>
                </c:pt>
                <c:pt idx="7">
                  <c:v>0.19</c:v>
                </c:pt>
                <c:pt idx="8">
                  <c:v>0.2</c:v>
                </c:pt>
                <c:pt idx="9">
                  <c:v>0.22</c:v>
                </c:pt>
                <c:pt idx="10">
                  <c:v>0.24</c:v>
                </c:pt>
                <c:pt idx="11">
                  <c:v>0.26</c:v>
                </c:pt>
                <c:pt idx="12">
                  <c:v>0.28000000000000003</c:v>
                </c:pt>
                <c:pt idx="13">
                  <c:v>0.3</c:v>
                </c:pt>
                <c:pt idx="14">
                  <c:v>0.32</c:v>
                </c:pt>
                <c:pt idx="15">
                  <c:v>0.34</c:v>
                </c:pt>
                <c:pt idx="16">
                  <c:v>0.36</c:v>
                </c:pt>
                <c:pt idx="17">
                  <c:v>0.38</c:v>
                </c:pt>
                <c:pt idx="18">
                  <c:v>0.4</c:v>
                </c:pt>
                <c:pt idx="19">
                  <c:v>0.43</c:v>
                </c:pt>
                <c:pt idx="20">
                  <c:v>0.46</c:v>
                </c:pt>
                <c:pt idx="21">
                  <c:v>0.49</c:v>
                </c:pt>
                <c:pt idx="22">
                  <c:v>0.52</c:v>
                </c:pt>
                <c:pt idx="23">
                  <c:v>0.55000000000000004</c:v>
                </c:pt>
                <c:pt idx="24">
                  <c:v>0.57999999999999996</c:v>
                </c:pt>
                <c:pt idx="25">
                  <c:v>0.61</c:v>
                </c:pt>
                <c:pt idx="26">
                  <c:v>0.64</c:v>
                </c:pt>
                <c:pt idx="27">
                  <c:v>0.67</c:v>
                </c:pt>
                <c:pt idx="28">
                  <c:v>0.7</c:v>
                </c:pt>
                <c:pt idx="29">
                  <c:v>0.73</c:v>
                </c:pt>
              </c:numCache>
            </c:numRef>
          </c:xVal>
          <c:yVal>
            <c:numRef>
              <c:f>'Phase diagram models'!$H$59:$H$88</c:f>
              <c:numCache>
                <c:formatCode>0.000</c:formatCode>
                <c:ptCount val="30"/>
                <c:pt idx="0">
                  <c:v>0.26287789348444068</c:v>
                </c:pt>
                <c:pt idx="1">
                  <c:v>0.21697016771322319</c:v>
                </c:pt>
                <c:pt idx="2">
                  <c:v>0.16031138902072523</c:v>
                </c:pt>
                <c:pt idx="3">
                  <c:v>0.11424562588880356</c:v>
                </c:pt>
                <c:pt idx="4">
                  <c:v>7.8300190201037331E-2</c:v>
                </c:pt>
                <c:pt idx="5">
                  <c:v>5.146168061575495E-2</c:v>
                </c:pt>
                <c:pt idx="6">
                  <c:v>3.2341713453122457E-2</c:v>
                </c:pt>
                <c:pt idx="7">
                  <c:v>1.9380642485097826E-2</c:v>
                </c:pt>
                <c:pt idx="8">
                  <c:v>1.1042674227426769E-2</c:v>
                </c:pt>
                <c:pt idx="9">
                  <c:v>3.0473016097697357E-3</c:v>
                </c:pt>
                <c:pt idx="10">
                  <c:v>6.6463138481734135E-4</c:v>
                </c:pt>
                <c:pt idx="11">
                  <c:v>1.1205170842627965E-4</c:v>
                </c:pt>
                <c:pt idx="12">
                  <c:v>1.4282881958768717E-5</c:v>
                </c:pt>
                <c:pt idx="13">
                  <c:v>1.3464498722093336E-6</c:v>
                </c:pt>
                <c:pt idx="14">
                  <c:v>9.1829383448033612E-8</c:v>
                </c:pt>
                <c:pt idx="15">
                  <c:v>4.4324965315754997E-9</c:v>
                </c:pt>
                <c:pt idx="16">
                  <c:v>1.481367552491351E-10</c:v>
                </c:pt>
                <c:pt idx="17">
                  <c:v>3.3535819917905255E-12</c:v>
                </c:pt>
                <c:pt idx="18">
                  <c:v>5.0312993003527811E-14</c:v>
                </c:pt>
                <c:pt idx="19">
                  <c:v>4.0751624411155591E-17</c:v>
                </c:pt>
                <c:pt idx="20">
                  <c:v>1.1566149931991364E-20</c:v>
                </c:pt>
                <c:pt idx="21">
                  <c:v>1.0685771369697516E-24</c:v>
                </c:pt>
                <c:pt idx="22">
                  <c:v>2.9854548743357636E-29</c:v>
                </c:pt>
                <c:pt idx="23">
                  <c:v>2.3433298358809577E-34</c:v>
                </c:pt>
                <c:pt idx="24">
                  <c:v>4.8008544440173606E-40</c:v>
                </c:pt>
                <c:pt idx="25">
                  <c:v>2.3851771814078643E-46</c:v>
                </c:pt>
                <c:pt idx="26">
                  <c:v>2.6699524995630803E-53</c:v>
                </c:pt>
                <c:pt idx="27">
                  <c:v>6.256602203220217E-61</c:v>
                </c:pt>
                <c:pt idx="28">
                  <c:v>2.8516970203232482E-69</c:v>
                </c:pt>
                <c:pt idx="29">
                  <c:v>2.3489901145820881E-78</c:v>
                </c:pt>
              </c:numCache>
            </c:numRef>
          </c:yVal>
          <c:smooth val="0"/>
          <c:extLst>
            <c:ext xmlns:c16="http://schemas.microsoft.com/office/drawing/2014/chart" uri="{C3380CC4-5D6E-409C-BE32-E72D297353CC}">
              <c16:uniqueId val="{00000002-973E-4B7D-9D8E-4D69306CA568}"/>
            </c:ext>
          </c:extLst>
        </c:ser>
        <c:dLbls>
          <c:showLegendKey val="0"/>
          <c:showVal val="0"/>
          <c:showCatName val="0"/>
          <c:showSerName val="0"/>
          <c:showPercent val="0"/>
          <c:showBubbleSize val="0"/>
        </c:dLbls>
        <c:axId val="663556496"/>
        <c:axId val="663552888"/>
      </c:scatterChart>
      <c:valAx>
        <c:axId val="663556496"/>
        <c:scaling>
          <c:orientation val="minMax"/>
        </c:scaling>
        <c:delete val="0"/>
        <c:axPos val="b"/>
        <c:majorGridlines>
          <c:spPr>
            <a:ln w="9525" cap="flat" cmpd="sng" algn="ctr">
              <a:solidFill>
                <a:schemeClr val="tx1">
                  <a:lumMod val="15000"/>
                  <a:lumOff val="85000"/>
                </a:schemeClr>
              </a:solidFill>
              <a:round/>
            </a:ln>
            <a:effectLst/>
          </c:spPr>
        </c:majorGridlines>
        <c:title>
          <c:tx>
            <c:rich>
              <a:bodyPr/>
              <a:lstStyle/>
              <a:p>
                <a:pPr>
                  <a:defRPr/>
                </a:pPr>
                <a:r>
                  <a:rPr lang="en-ZA"/>
                  <a:t>MDX concentation (wt%)</a:t>
                </a:r>
              </a:p>
            </c:rich>
          </c:tx>
          <c:overlay val="0"/>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63552888"/>
        <c:crosses val="autoZero"/>
        <c:crossBetween val="midCat"/>
      </c:valAx>
      <c:valAx>
        <c:axId val="663552888"/>
        <c:scaling>
          <c:orientation val="minMax"/>
        </c:scaling>
        <c:delete val="0"/>
        <c:axPos val="l"/>
        <c:majorGridlines>
          <c:spPr>
            <a:ln w="9525" cap="flat" cmpd="sng" algn="ctr">
              <a:solidFill>
                <a:schemeClr val="tx1">
                  <a:lumMod val="15000"/>
                  <a:lumOff val="85000"/>
                </a:schemeClr>
              </a:solidFill>
              <a:round/>
            </a:ln>
            <a:effectLst/>
          </c:spPr>
        </c:majorGridlines>
        <c:title>
          <c:tx>
            <c:rich>
              <a:bodyPr/>
              <a:lstStyle/>
              <a:p>
                <a:pPr>
                  <a:defRPr/>
                </a:pPr>
                <a:r>
                  <a:rPr lang="en-ZA"/>
                  <a:t>PEG concentration (wt%)</a:t>
                </a:r>
              </a:p>
            </c:rich>
          </c:tx>
          <c:overlay val="0"/>
        </c:title>
        <c:numFmt formatCode="0.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63556496"/>
        <c:crosses val="autoZero"/>
        <c:crossBetween val="midCat"/>
      </c:valAx>
    </c:plotArea>
    <c:legend>
      <c:legendPos val="r"/>
      <c:layout>
        <c:manualLayout>
          <c:xMode val="edge"/>
          <c:yMode val="edge"/>
          <c:x val="0.79596270552740167"/>
          <c:y val="0.41166958296879558"/>
          <c:w val="0.11835444978319759"/>
          <c:h val="0.25115157480314959"/>
        </c:manualLayout>
      </c:layout>
      <c:overlay val="0"/>
    </c:legend>
    <c:plotVisOnly val="1"/>
    <c:dispBlanksAs val="gap"/>
    <c:showDLblsOverMax val="0"/>
    <c:extLst/>
  </c:chart>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ZA" sz="1800" b="0" i="0" baseline="0">
                <a:effectLst/>
              </a:rPr>
              <a:t>PEG  - MDX Phase diagrams all PEG MWs with model curves</a:t>
            </a:r>
            <a:endParaRPr lang="en-ZA">
              <a:effectLst/>
            </a:endParaRPr>
          </a:p>
        </c:rich>
      </c:tx>
      <c:overlay val="0"/>
    </c:title>
    <c:autoTitleDeleted val="0"/>
    <c:plotArea>
      <c:layout>
        <c:manualLayout>
          <c:layoutTarget val="inner"/>
          <c:xMode val="edge"/>
          <c:yMode val="edge"/>
          <c:x val="0.11210586471528936"/>
          <c:y val="8.5658943600165904E-2"/>
          <c:w val="0.85002477024488665"/>
          <c:h val="0.77773450180297732"/>
        </c:manualLayout>
      </c:layout>
      <c:scatterChart>
        <c:scatterStyle val="lineMarker"/>
        <c:varyColors val="0"/>
        <c:ser>
          <c:idx val="3"/>
          <c:order val="0"/>
          <c:tx>
            <c:v>PEG 10000</c:v>
          </c:tx>
          <c:spPr>
            <a:ln w="25400" cap="rnd">
              <a:noFill/>
              <a:round/>
            </a:ln>
            <a:effectLst/>
          </c:spPr>
          <c:marker>
            <c:symbol val="x"/>
            <c:size val="5"/>
            <c:spPr>
              <a:solidFill>
                <a:schemeClr val="accent2"/>
              </a:solidFill>
              <a:ln>
                <a:noFill/>
              </a:ln>
            </c:spPr>
          </c:marker>
          <c:errBars>
            <c:errDir val="x"/>
            <c:errBarType val="both"/>
            <c:errValType val="cust"/>
            <c:noEndCap val="0"/>
            <c:plus>
              <c:numRef>
                <c:f>('PEG-MDX results summary'!$F$4:$F$5,'PEG-MDX results summary'!$F$7:$F$8,'PEG-MDX results summary'!$F$10:$F$11,'PEG-MDX results summary'!$F$13:$F$14,'PEG-MDX results summary'!$F$16:$F$17)</c:f>
                <c:numCache>
                  <c:formatCode>General</c:formatCode>
                  <c:ptCount val="10"/>
                  <c:pt idx="0">
                    <c:v>4.3111180984155137E-3</c:v>
                  </c:pt>
                  <c:pt idx="1">
                    <c:v>3.3483638626083771E-2</c:v>
                  </c:pt>
                  <c:pt idx="2">
                    <c:v>5.7278380088919886E-3</c:v>
                  </c:pt>
                  <c:pt idx="3">
                    <c:v>6.53837347791028E-3</c:v>
                  </c:pt>
                  <c:pt idx="4">
                    <c:v>5.7278380088919886E-3</c:v>
                  </c:pt>
                  <c:pt idx="5">
                    <c:v>6.53837347791028E-3</c:v>
                  </c:pt>
                  <c:pt idx="6">
                    <c:v>1.3271408326777116E-2</c:v>
                  </c:pt>
                  <c:pt idx="7">
                    <c:v>2.1629812844043934E-2</c:v>
                  </c:pt>
                  <c:pt idx="8">
                    <c:v>2.2767032302116151E-2</c:v>
                  </c:pt>
                  <c:pt idx="9">
                    <c:v>1.3498743237831866E-2</c:v>
                  </c:pt>
                </c:numCache>
              </c:numRef>
            </c:plus>
            <c:minus>
              <c:numRef>
                <c:f>('PEG-MDX results summary'!$F$4:$F$5,'PEG-MDX results summary'!$F$7:$F$8,'PEG-MDX results summary'!$F$10:$F$11,'PEG-MDX results summary'!$F$13:$F$14,'PEG-MDX results summary'!$F$16:$F$17)</c:f>
                <c:numCache>
                  <c:formatCode>General</c:formatCode>
                  <c:ptCount val="10"/>
                  <c:pt idx="0">
                    <c:v>4.3111180984155137E-3</c:v>
                  </c:pt>
                  <c:pt idx="1">
                    <c:v>3.3483638626083771E-2</c:v>
                  </c:pt>
                  <c:pt idx="2">
                    <c:v>5.7278380088919886E-3</c:v>
                  </c:pt>
                  <c:pt idx="3">
                    <c:v>6.53837347791028E-3</c:v>
                  </c:pt>
                  <c:pt idx="4">
                    <c:v>5.7278380088919886E-3</c:v>
                  </c:pt>
                  <c:pt idx="5">
                    <c:v>6.53837347791028E-3</c:v>
                  </c:pt>
                  <c:pt idx="6">
                    <c:v>1.3271408326777116E-2</c:v>
                  </c:pt>
                  <c:pt idx="7">
                    <c:v>2.1629812844043934E-2</c:v>
                  </c:pt>
                  <c:pt idx="8">
                    <c:v>2.2767032302116151E-2</c:v>
                  </c:pt>
                  <c:pt idx="9">
                    <c:v>1.3498743237831866E-2</c:v>
                  </c:pt>
                </c:numCache>
              </c:numRef>
            </c:minus>
          </c:errBars>
          <c:errBars>
            <c:errDir val="y"/>
            <c:errBarType val="both"/>
            <c:errValType val="cust"/>
            <c:noEndCap val="0"/>
            <c:plus>
              <c:numRef>
                <c:f>('PEG-MDX results summary'!$H$4:$H$5,'PEG-MDX results summary'!$H$7:$H$8,'PEG-MDX results summary'!$H$10:$H$11,'PEG-MDX results summary'!$H$13:$H$14,'PEG-MDX results summary'!$H$16:$H$17)</c:f>
                <c:numCache>
                  <c:formatCode>General</c:formatCode>
                  <c:ptCount val="10"/>
                  <c:pt idx="0">
                    <c:v>4.5474841808879453E-3</c:v>
                  </c:pt>
                  <c:pt idx="1">
                    <c:v>8.039911460082181E-3</c:v>
                  </c:pt>
                  <c:pt idx="2">
                    <c:v>6.7397303874434326E-3</c:v>
                  </c:pt>
                  <c:pt idx="3">
                    <c:v>7.8068918034286386E-3</c:v>
                  </c:pt>
                  <c:pt idx="4">
                    <c:v>6.7397303874434326E-3</c:v>
                  </c:pt>
                  <c:pt idx="5">
                    <c:v>7.8068918034286386E-3</c:v>
                  </c:pt>
                  <c:pt idx="6">
                    <c:v>1.308397036296856E-2</c:v>
                  </c:pt>
                  <c:pt idx="7">
                    <c:v>2.4964616522679933E-2</c:v>
                  </c:pt>
                  <c:pt idx="8">
                    <c:v>2.4656726721818387E-2</c:v>
                  </c:pt>
                  <c:pt idx="9">
                    <c:v>1.4691096385176702E-2</c:v>
                  </c:pt>
                </c:numCache>
              </c:numRef>
            </c:plus>
            <c:minus>
              <c:numRef>
                <c:f>('PEG-MDX results summary'!$H$4:$H$5,'PEG-MDX results summary'!$H$7:$H$8,'PEG-MDX results summary'!$H$10:$H$11,'PEG-MDX results summary'!$H$13:$H$14,'PEG-MDX results summary'!$H$16:$H$17)</c:f>
                <c:numCache>
                  <c:formatCode>General</c:formatCode>
                  <c:ptCount val="10"/>
                  <c:pt idx="0">
                    <c:v>4.5474841808879453E-3</c:v>
                  </c:pt>
                  <c:pt idx="1">
                    <c:v>8.039911460082181E-3</c:v>
                  </c:pt>
                  <c:pt idx="2">
                    <c:v>6.7397303874434326E-3</c:v>
                  </c:pt>
                  <c:pt idx="3">
                    <c:v>7.8068918034286386E-3</c:v>
                  </c:pt>
                  <c:pt idx="4">
                    <c:v>6.7397303874434326E-3</c:v>
                  </c:pt>
                  <c:pt idx="5">
                    <c:v>7.8068918034286386E-3</c:v>
                  </c:pt>
                  <c:pt idx="6">
                    <c:v>1.308397036296856E-2</c:v>
                  </c:pt>
                  <c:pt idx="7">
                    <c:v>2.4964616522679933E-2</c:v>
                  </c:pt>
                  <c:pt idx="8">
                    <c:v>2.4656726721818387E-2</c:v>
                  </c:pt>
                  <c:pt idx="9">
                    <c:v>1.4691096385176702E-2</c:v>
                  </c:pt>
                </c:numCache>
              </c:numRef>
            </c:minus>
          </c:errBars>
          <c:xVal>
            <c:numRef>
              <c:f>('PEG-MDX results summary'!$S$3:$S$4,'PEG-MDX results summary'!$S$7:$S$12)</c:f>
              <c:numCache>
                <c:formatCode>0%</c:formatCode>
                <c:ptCount val="8"/>
                <c:pt idx="0">
                  <c:v>0.14131838626276161</c:v>
                </c:pt>
                <c:pt idx="1">
                  <c:v>0.428003014150241</c:v>
                </c:pt>
                <c:pt idx="2">
                  <c:v>0.17112661819258931</c:v>
                </c:pt>
                <c:pt idx="3">
                  <c:v>0.33137956644433736</c:v>
                </c:pt>
                <c:pt idx="4">
                  <c:v>0.13691669226407471</c:v>
                </c:pt>
                <c:pt idx="5">
                  <c:v>0.48986493746420751</c:v>
                </c:pt>
                <c:pt idx="6" formatCode="0.0%">
                  <c:v>0.13133916557971617</c:v>
                </c:pt>
                <c:pt idx="7" formatCode="0.0%">
                  <c:v>0.55815312075381984</c:v>
                </c:pt>
              </c:numCache>
            </c:numRef>
          </c:xVal>
          <c:yVal>
            <c:numRef>
              <c:f>('PEG-MDX results summary'!$U$3:$U$4,'PEG-MDX results summary'!$U$7:$U$12)</c:f>
              <c:numCache>
                <c:formatCode>0%</c:formatCode>
                <c:ptCount val="8"/>
                <c:pt idx="0">
                  <c:v>0.14540954490937325</c:v>
                </c:pt>
                <c:pt idx="1">
                  <c:v>1E-3</c:v>
                </c:pt>
                <c:pt idx="2">
                  <c:v>8.6337103120981432E-2</c:v>
                </c:pt>
                <c:pt idx="3">
                  <c:v>1.2671609602289391E-2</c:v>
                </c:pt>
                <c:pt idx="4">
                  <c:v>0.19659116876943217</c:v>
                </c:pt>
                <c:pt idx="5">
                  <c:v>2.0447826056263752E-3</c:v>
                </c:pt>
                <c:pt idx="6" formatCode="0.0%">
                  <c:v>0.24394454389649806</c:v>
                </c:pt>
                <c:pt idx="7" formatCode="0.0%">
                  <c:v>0</c:v>
                </c:pt>
              </c:numCache>
            </c:numRef>
          </c:yVal>
          <c:smooth val="0"/>
          <c:extLst>
            <c:ext xmlns:c16="http://schemas.microsoft.com/office/drawing/2014/chart" uri="{C3380CC4-5D6E-409C-BE32-E72D297353CC}">
              <c16:uniqueId val="{00000000-72E9-45BC-99DA-8A28C0A16909}"/>
            </c:ext>
          </c:extLst>
        </c:ser>
        <c:ser>
          <c:idx val="4"/>
          <c:order val="1"/>
          <c:tx>
            <c:v>PEG 12000</c:v>
          </c:tx>
          <c:spPr>
            <a:ln w="25400">
              <a:noFill/>
            </a:ln>
          </c:spPr>
          <c:marker>
            <c:symbol val="triangle"/>
            <c:size val="5"/>
            <c:spPr>
              <a:solidFill>
                <a:schemeClr val="accent5"/>
              </a:solidFill>
              <a:ln>
                <a:noFill/>
              </a:ln>
            </c:spPr>
          </c:marker>
          <c:errBars>
            <c:errDir val="x"/>
            <c:errBarType val="both"/>
            <c:errValType val="cust"/>
            <c:noEndCap val="0"/>
            <c:plus>
              <c:numRef>
                <c:f>('PEG-MDX results summary'!$F$23:$F$24,'PEG-MDX results summary'!$F$26:$F$27,'PEG-MDX results summary'!$F$29:$F$30,'PEG-MDX results summary'!$F$32:$F$33,'PEG-MDX results summary'!$F$35:$F$36)</c:f>
                <c:numCache>
                  <c:formatCode>General</c:formatCode>
                  <c:ptCount val="10"/>
                  <c:pt idx="0">
                    <c:v>8.8993276985716002E-3</c:v>
                  </c:pt>
                  <c:pt idx="1">
                    <c:v>1.6711601382036355E-3</c:v>
                  </c:pt>
                  <c:pt idx="2">
                    <c:v>3.8102257089076626E-3</c:v>
                  </c:pt>
                  <c:pt idx="3">
                    <c:v>2.1439710211055056E-2</c:v>
                  </c:pt>
                  <c:pt idx="4">
                    <c:v>8.9856538729373367E-3</c:v>
                  </c:pt>
                  <c:pt idx="5">
                    <c:v>3.0153006806095919E-2</c:v>
                  </c:pt>
                  <c:pt idx="6">
                    <c:v>2.7918980911004337E-3</c:v>
                  </c:pt>
                  <c:pt idx="7">
                    <c:v>1.2206521335958367E-2</c:v>
                  </c:pt>
                  <c:pt idx="8">
                    <c:v>9.7433656926237747E-3</c:v>
                  </c:pt>
                  <c:pt idx="9">
                    <c:v>6.0159525913579103E-3</c:v>
                  </c:pt>
                </c:numCache>
              </c:numRef>
            </c:plus>
            <c:minus>
              <c:numRef>
                <c:f>('PEG-MDX results summary'!$F$23:$F$24,'PEG-MDX results summary'!$F$26:$F$27,'PEG-MDX results summary'!$F$29:$F$30,'PEG-MDX results summary'!$F$32:$F$33,'PEG-MDX results summary'!$F$35:$F$36)</c:f>
                <c:numCache>
                  <c:formatCode>General</c:formatCode>
                  <c:ptCount val="10"/>
                  <c:pt idx="0">
                    <c:v>8.8993276985716002E-3</c:v>
                  </c:pt>
                  <c:pt idx="1">
                    <c:v>1.6711601382036355E-3</c:v>
                  </c:pt>
                  <c:pt idx="2">
                    <c:v>3.8102257089076626E-3</c:v>
                  </c:pt>
                  <c:pt idx="3">
                    <c:v>2.1439710211055056E-2</c:v>
                  </c:pt>
                  <c:pt idx="4">
                    <c:v>8.9856538729373367E-3</c:v>
                  </c:pt>
                  <c:pt idx="5">
                    <c:v>3.0153006806095919E-2</c:v>
                  </c:pt>
                  <c:pt idx="6">
                    <c:v>2.7918980911004337E-3</c:v>
                  </c:pt>
                  <c:pt idx="7">
                    <c:v>1.2206521335958367E-2</c:v>
                  </c:pt>
                  <c:pt idx="8">
                    <c:v>9.7433656926237747E-3</c:v>
                  </c:pt>
                  <c:pt idx="9">
                    <c:v>6.0159525913579103E-3</c:v>
                  </c:pt>
                </c:numCache>
              </c:numRef>
            </c:minus>
          </c:errBars>
          <c:errBars>
            <c:errDir val="y"/>
            <c:errBarType val="both"/>
            <c:errValType val="cust"/>
            <c:noEndCap val="0"/>
            <c:plus>
              <c:numRef>
                <c:f>('PEG-MDX results summary'!$H$23:$H$24,'PEG-MDX results summary'!$H$26:$H$27,'PEG-MDX results summary'!$H$29:$H$30,'PEG-MDX results summary'!$H$32:$H$33,'PEG-MDX results summary'!$H$35:$H$36)</c:f>
                <c:numCache>
                  <c:formatCode>General</c:formatCode>
                  <c:ptCount val="10"/>
                  <c:pt idx="0">
                    <c:v>1.113975451715027E-2</c:v>
                  </c:pt>
                  <c:pt idx="1">
                    <c:v>1.716228676927848E-3</c:v>
                  </c:pt>
                  <c:pt idx="2">
                    <c:v>2.8345958453633788E-3</c:v>
                  </c:pt>
                  <c:pt idx="3">
                    <c:v>2.3367562882452106E-2</c:v>
                  </c:pt>
                  <c:pt idx="4">
                    <c:v>1.2260439706692014E-2</c:v>
                  </c:pt>
                  <c:pt idx="5">
                    <c:v>3.0599044695490751E-2</c:v>
                  </c:pt>
                  <c:pt idx="6">
                    <c:v>2.7922400337770225E-3</c:v>
                  </c:pt>
                  <c:pt idx="7">
                    <c:v>9.5819862998198207E-3</c:v>
                  </c:pt>
                  <c:pt idx="8">
                    <c:v>9.6012206840775105E-3</c:v>
                  </c:pt>
                  <c:pt idx="9">
                    <c:v>9.3172366401192506E-3</c:v>
                  </c:pt>
                </c:numCache>
              </c:numRef>
            </c:plus>
            <c:minus>
              <c:numRef>
                <c:f>('PEG-MDX results summary'!$H$23:$H$24,'PEG-MDX results summary'!$H$26:$H$27,'PEG-MDX results summary'!$H$29:$H$30,'PEG-MDX results summary'!$H$32:$H$33,'PEG-MDX results summary'!$H$35:$H$36)</c:f>
                <c:numCache>
                  <c:formatCode>General</c:formatCode>
                  <c:ptCount val="10"/>
                  <c:pt idx="0">
                    <c:v>1.113975451715027E-2</c:v>
                  </c:pt>
                  <c:pt idx="1">
                    <c:v>1.716228676927848E-3</c:v>
                  </c:pt>
                  <c:pt idx="2">
                    <c:v>2.8345958453633788E-3</c:v>
                  </c:pt>
                  <c:pt idx="3">
                    <c:v>2.3367562882452106E-2</c:v>
                  </c:pt>
                  <c:pt idx="4">
                    <c:v>1.2260439706692014E-2</c:v>
                  </c:pt>
                  <c:pt idx="5">
                    <c:v>3.0599044695490751E-2</c:v>
                  </c:pt>
                  <c:pt idx="6">
                    <c:v>2.7922400337770225E-3</c:v>
                  </c:pt>
                  <c:pt idx="7">
                    <c:v>9.5819862998198207E-3</c:v>
                  </c:pt>
                  <c:pt idx="8">
                    <c:v>9.6012206840775105E-3</c:v>
                  </c:pt>
                  <c:pt idx="9">
                    <c:v>9.3172366401192506E-3</c:v>
                  </c:pt>
                </c:numCache>
              </c:numRef>
            </c:minus>
          </c:errBars>
          <c:xVal>
            <c:numRef>
              <c:f>'PEG-MDX results summary'!$S$22:$S$31</c:f>
              <c:numCache>
                <c:formatCode>0.0%</c:formatCode>
                <c:ptCount val="10"/>
                <c:pt idx="0">
                  <c:v>0.17720705010776616</c:v>
                </c:pt>
                <c:pt idx="1">
                  <c:v>0.34554341064230315</c:v>
                </c:pt>
                <c:pt idx="2">
                  <c:v>0.15700016117635504</c:v>
                </c:pt>
                <c:pt idx="3">
                  <c:v>0.42912956622280746</c:v>
                </c:pt>
                <c:pt idx="4">
                  <c:v>0.1273460846302151</c:v>
                </c:pt>
                <c:pt idx="5">
                  <c:v>0.56385117312134425</c:v>
                </c:pt>
                <c:pt idx="6">
                  <c:v>0.11217741051405894</c:v>
                </c:pt>
                <c:pt idx="7">
                  <c:v>0.62623819397190306</c:v>
                </c:pt>
                <c:pt idx="8">
                  <c:v>0.15213594567873995</c:v>
                </c:pt>
                <c:pt idx="9">
                  <c:v>0.47410315860533686</c:v>
                </c:pt>
              </c:numCache>
            </c:numRef>
          </c:xVal>
          <c:yVal>
            <c:numRef>
              <c:f>'PEG-MDX results summary'!$U$22:$U$31</c:f>
              <c:numCache>
                <c:formatCode>0.0%</c:formatCode>
                <c:ptCount val="10"/>
                <c:pt idx="0">
                  <c:v>7.1653624479604452E-2</c:v>
                </c:pt>
                <c:pt idx="1">
                  <c:v>1E-3</c:v>
                </c:pt>
                <c:pt idx="2">
                  <c:v>0.13116430539687685</c:v>
                </c:pt>
                <c:pt idx="3">
                  <c:v>1E-3</c:v>
                </c:pt>
                <c:pt idx="4">
                  <c:v>0.24977483246073254</c:v>
                </c:pt>
                <c:pt idx="5">
                  <c:v>1E-3</c:v>
                </c:pt>
                <c:pt idx="6">
                  <c:v>0.31725463897325273</c:v>
                </c:pt>
                <c:pt idx="7">
                  <c:v>1E-3</c:v>
                </c:pt>
                <c:pt idx="8">
                  <c:v>0.17602279632989112</c:v>
                </c:pt>
                <c:pt idx="9">
                  <c:v>1E-3</c:v>
                </c:pt>
              </c:numCache>
            </c:numRef>
          </c:yVal>
          <c:smooth val="0"/>
          <c:extLst>
            <c:ext xmlns:c16="http://schemas.microsoft.com/office/drawing/2014/chart" uri="{C3380CC4-5D6E-409C-BE32-E72D297353CC}">
              <c16:uniqueId val="{00000001-72E9-45BC-99DA-8A28C0A16909}"/>
            </c:ext>
          </c:extLst>
        </c:ser>
        <c:ser>
          <c:idx val="5"/>
          <c:order val="2"/>
          <c:tx>
            <c:v>PEG 20000</c:v>
          </c:tx>
          <c:spPr>
            <a:ln w="25400" cap="rnd">
              <a:noFill/>
              <a:round/>
            </a:ln>
            <a:effectLst/>
          </c:spPr>
          <c:marker>
            <c:symbol val="diamond"/>
            <c:size val="5"/>
            <c:spPr>
              <a:solidFill>
                <a:schemeClr val="accent6"/>
              </a:solidFill>
              <a:ln>
                <a:noFill/>
              </a:ln>
            </c:spPr>
          </c:marker>
          <c:errBars>
            <c:errDir val="x"/>
            <c:errBarType val="both"/>
            <c:errValType val="cust"/>
            <c:noEndCap val="0"/>
            <c:plus>
              <c:numRef>
                <c:f>('PEG-MDX results summary'!$F$42:$F$43,'PEG-MDX results summary'!$F$45:$F$46,'PEG-MDX results summary'!$F$48:$F$49,'PEG-MDX results summary'!$F$51:$F$52,'PEG-MDX results summary'!$F$54:$F$55)</c:f>
                <c:numCache>
                  <c:formatCode>General</c:formatCode>
                  <c:ptCount val="10"/>
                  <c:pt idx="0">
                    <c:v>9.8105846596029719E-4</c:v>
                  </c:pt>
                  <c:pt idx="1">
                    <c:v>8.4767953375795967E-3</c:v>
                  </c:pt>
                  <c:pt idx="2">
                    <c:v>2.7580938352412643E-3</c:v>
                  </c:pt>
                  <c:pt idx="3">
                    <c:v>9.8507089460942616E-3</c:v>
                  </c:pt>
                  <c:pt idx="4">
                    <c:v>8.1942257047657226E-3</c:v>
                  </c:pt>
                  <c:pt idx="5">
                    <c:v>5.6617579431991341E-3</c:v>
                  </c:pt>
                  <c:pt idx="6">
                    <c:v>4.815430496337334E-3</c:v>
                  </c:pt>
                  <c:pt idx="7">
                    <c:v>3.0891954878820693E-2</c:v>
                  </c:pt>
                  <c:pt idx="8">
                    <c:v>1.1878619801761969E-2</c:v>
                  </c:pt>
                  <c:pt idx="9">
                    <c:v>2.4917758437263821E-2</c:v>
                  </c:pt>
                </c:numCache>
              </c:numRef>
            </c:plus>
            <c:minus>
              <c:numRef>
                <c:f>('PEG-MDX results summary'!$F$42:$F$43,'PEG-MDX results summary'!$F$45:$F$46,'PEG-MDX results summary'!$F$48:$F$49,'PEG-MDX results summary'!$F$51:$F$52,'PEG-MDX results summary'!$F$54:$F$55)</c:f>
                <c:numCache>
                  <c:formatCode>General</c:formatCode>
                  <c:ptCount val="10"/>
                  <c:pt idx="0">
                    <c:v>9.8105846596029719E-4</c:v>
                  </c:pt>
                  <c:pt idx="1">
                    <c:v>8.4767953375795967E-3</c:v>
                  </c:pt>
                  <c:pt idx="2">
                    <c:v>2.7580938352412643E-3</c:v>
                  </c:pt>
                  <c:pt idx="3">
                    <c:v>9.8507089460942616E-3</c:v>
                  </c:pt>
                  <c:pt idx="4">
                    <c:v>8.1942257047657226E-3</c:v>
                  </c:pt>
                  <c:pt idx="5">
                    <c:v>5.6617579431991341E-3</c:v>
                  </c:pt>
                  <c:pt idx="6">
                    <c:v>4.815430496337334E-3</c:v>
                  </c:pt>
                  <c:pt idx="7">
                    <c:v>3.0891954878820693E-2</c:v>
                  </c:pt>
                  <c:pt idx="8">
                    <c:v>1.1878619801761969E-2</c:v>
                  </c:pt>
                  <c:pt idx="9">
                    <c:v>2.4917758437263821E-2</c:v>
                  </c:pt>
                </c:numCache>
              </c:numRef>
            </c:minus>
          </c:errBars>
          <c:errBars>
            <c:errDir val="y"/>
            <c:errBarType val="both"/>
            <c:errValType val="cust"/>
            <c:noEndCap val="0"/>
            <c:plus>
              <c:numRef>
                <c:f>('PEG-MDX results summary'!$H$42:$H$43,'PEG-MDX results summary'!$H$45:$H$46,'PEG-MDX results summary'!$H$48:$H$49,'PEG-MDX results summary'!$H$51:$H$52,'PEG-MDX results summary'!$H$54:$H$55)</c:f>
                <c:numCache>
                  <c:formatCode>General</c:formatCode>
                  <c:ptCount val="10"/>
                  <c:pt idx="0">
                    <c:v>1.9028909328900891E-3</c:v>
                  </c:pt>
                  <c:pt idx="1">
                    <c:v>6.0269878015437525E-3</c:v>
                  </c:pt>
                  <c:pt idx="2">
                    <c:v>3.4802330808113577E-3</c:v>
                  </c:pt>
                  <c:pt idx="3">
                    <c:v>1.0004296120469245E-2</c:v>
                  </c:pt>
                  <c:pt idx="4">
                    <c:v>8.4414611329540722E-3</c:v>
                  </c:pt>
                  <c:pt idx="5">
                    <c:v>5.7267881517027042E-3</c:v>
                  </c:pt>
                  <c:pt idx="6">
                    <c:v>3.4698515979618254E-3</c:v>
                  </c:pt>
                  <c:pt idx="7">
                    <c:v>3.5353692166164491E-2</c:v>
                  </c:pt>
                  <c:pt idx="8">
                    <c:v>1.1064377070880252E-2</c:v>
                  </c:pt>
                  <c:pt idx="9">
                    <c:v>3.3851198264168894E-2</c:v>
                  </c:pt>
                </c:numCache>
              </c:numRef>
            </c:plus>
            <c:minus>
              <c:numRef>
                <c:f>('PEG-MDX results summary'!$H$42:$H$43,'PEG-MDX results summary'!$H$45:$H$46,'PEG-MDX results summary'!$H$48:$H$49,'PEG-MDX results summary'!$H$51:$H$52,'PEG-MDX results summary'!$H$54:$H$55)</c:f>
                <c:numCache>
                  <c:formatCode>General</c:formatCode>
                  <c:ptCount val="10"/>
                  <c:pt idx="0">
                    <c:v>1.9028909328900891E-3</c:v>
                  </c:pt>
                  <c:pt idx="1">
                    <c:v>6.0269878015437525E-3</c:v>
                  </c:pt>
                  <c:pt idx="2">
                    <c:v>3.4802330808113577E-3</c:v>
                  </c:pt>
                  <c:pt idx="3">
                    <c:v>1.0004296120469245E-2</c:v>
                  </c:pt>
                  <c:pt idx="4">
                    <c:v>8.4414611329540722E-3</c:v>
                  </c:pt>
                  <c:pt idx="5">
                    <c:v>5.7267881517027042E-3</c:v>
                  </c:pt>
                  <c:pt idx="6">
                    <c:v>3.4698515979618254E-3</c:v>
                  </c:pt>
                  <c:pt idx="7">
                    <c:v>3.5353692166164491E-2</c:v>
                  </c:pt>
                  <c:pt idx="8">
                    <c:v>1.1064377070880252E-2</c:v>
                  </c:pt>
                  <c:pt idx="9">
                    <c:v>3.3851198264168894E-2</c:v>
                  </c:pt>
                </c:numCache>
              </c:numRef>
            </c:minus>
          </c:errBars>
          <c:xVal>
            <c:numRef>
              <c:f>'PEG-MDX results summary'!$S$41:$S$50</c:f>
              <c:numCache>
                <c:formatCode>0.0%</c:formatCode>
                <c:ptCount val="10"/>
                <c:pt idx="0">
                  <c:v>0.14800253819463519</c:v>
                </c:pt>
                <c:pt idx="1">
                  <c:v>0.34825313143033321</c:v>
                </c:pt>
                <c:pt idx="2">
                  <c:v>0.12424210937324466</c:v>
                </c:pt>
                <c:pt idx="3">
                  <c:v>0.43907059403520421</c:v>
                </c:pt>
                <c:pt idx="4">
                  <c:v>0.12944037758466811</c:v>
                </c:pt>
                <c:pt idx="5">
                  <c:v>0.56291456354761793</c:v>
                </c:pt>
                <c:pt idx="6">
                  <c:v>0.1275901410544604</c:v>
                </c:pt>
                <c:pt idx="7">
                  <c:v>0.64014366446238091</c:v>
                </c:pt>
                <c:pt idx="8">
                  <c:v>0.13852663503088306</c:v>
                </c:pt>
                <c:pt idx="9">
                  <c:v>0.48533153600175966</c:v>
                </c:pt>
              </c:numCache>
            </c:numRef>
          </c:xVal>
          <c:yVal>
            <c:numRef>
              <c:f>'PEG-MDX results summary'!$U$41:$U$50</c:f>
              <c:numCache>
                <c:formatCode>0.0%</c:formatCode>
                <c:ptCount val="10"/>
                <c:pt idx="0">
                  <c:v>9.7168578571095635E-2</c:v>
                </c:pt>
                <c:pt idx="1">
                  <c:v>1E-3</c:v>
                </c:pt>
                <c:pt idx="2">
                  <c:v>0.16134175197834308</c:v>
                </c:pt>
                <c:pt idx="3">
                  <c:v>1E-3</c:v>
                </c:pt>
                <c:pt idx="4">
                  <c:v>0.25018011666158002</c:v>
                </c:pt>
                <c:pt idx="5">
                  <c:v>1E-3</c:v>
                </c:pt>
                <c:pt idx="6">
                  <c:v>0.30791031364825089</c:v>
                </c:pt>
                <c:pt idx="7">
                  <c:v>1E-3</c:v>
                </c:pt>
                <c:pt idx="8">
                  <c:v>0.18894888454608902</c:v>
                </c:pt>
                <c:pt idx="9">
                  <c:v>1E-3</c:v>
                </c:pt>
              </c:numCache>
            </c:numRef>
          </c:yVal>
          <c:smooth val="0"/>
          <c:extLst>
            <c:ext xmlns:c16="http://schemas.microsoft.com/office/drawing/2014/chart" uri="{C3380CC4-5D6E-409C-BE32-E72D297353CC}">
              <c16:uniqueId val="{00000002-72E9-45BC-99DA-8A28C0A16909}"/>
            </c:ext>
          </c:extLst>
        </c:ser>
        <c:ser>
          <c:idx val="2"/>
          <c:order val="3"/>
          <c:tx>
            <c:v>PEG 10000</c:v>
          </c:tx>
          <c:spPr>
            <a:ln w="19050">
              <a:solidFill>
                <a:schemeClr val="accent2"/>
              </a:solidFill>
            </a:ln>
          </c:spPr>
          <c:marker>
            <c:symbol val="none"/>
          </c:marker>
          <c:xVal>
            <c:numRef>
              <c:f>'Phase diagram models'!$E$59:$E$88</c:f>
              <c:numCache>
                <c:formatCode>General</c:formatCode>
                <c:ptCount val="30"/>
                <c:pt idx="0">
                  <c:v>0.123</c:v>
                </c:pt>
                <c:pt idx="1">
                  <c:v>0.13</c:v>
                </c:pt>
                <c:pt idx="2">
                  <c:v>0.14000000000000001</c:v>
                </c:pt>
                <c:pt idx="3">
                  <c:v>0.15</c:v>
                </c:pt>
                <c:pt idx="4">
                  <c:v>0.16</c:v>
                </c:pt>
                <c:pt idx="5">
                  <c:v>0.17</c:v>
                </c:pt>
                <c:pt idx="6">
                  <c:v>0.18</c:v>
                </c:pt>
                <c:pt idx="7">
                  <c:v>0.19</c:v>
                </c:pt>
                <c:pt idx="8">
                  <c:v>0.2</c:v>
                </c:pt>
                <c:pt idx="9">
                  <c:v>0.22</c:v>
                </c:pt>
                <c:pt idx="10">
                  <c:v>0.24</c:v>
                </c:pt>
                <c:pt idx="11">
                  <c:v>0.26</c:v>
                </c:pt>
                <c:pt idx="12">
                  <c:v>0.28000000000000003</c:v>
                </c:pt>
                <c:pt idx="13">
                  <c:v>0.3</c:v>
                </c:pt>
                <c:pt idx="14">
                  <c:v>0.32</c:v>
                </c:pt>
                <c:pt idx="15">
                  <c:v>0.34</c:v>
                </c:pt>
                <c:pt idx="16">
                  <c:v>0.36</c:v>
                </c:pt>
                <c:pt idx="17">
                  <c:v>0.38</c:v>
                </c:pt>
                <c:pt idx="18">
                  <c:v>0.4</c:v>
                </c:pt>
                <c:pt idx="19">
                  <c:v>0.43</c:v>
                </c:pt>
                <c:pt idx="20">
                  <c:v>0.46</c:v>
                </c:pt>
                <c:pt idx="21">
                  <c:v>0.49</c:v>
                </c:pt>
                <c:pt idx="22">
                  <c:v>0.52</c:v>
                </c:pt>
                <c:pt idx="23">
                  <c:v>0.55000000000000004</c:v>
                </c:pt>
                <c:pt idx="24">
                  <c:v>0.57999999999999996</c:v>
                </c:pt>
                <c:pt idx="25">
                  <c:v>0.61</c:v>
                </c:pt>
                <c:pt idx="26">
                  <c:v>0.64</c:v>
                </c:pt>
                <c:pt idx="27">
                  <c:v>0.67</c:v>
                </c:pt>
                <c:pt idx="28">
                  <c:v>0.7</c:v>
                </c:pt>
                <c:pt idx="29">
                  <c:v>0.73</c:v>
                </c:pt>
              </c:numCache>
            </c:numRef>
          </c:xVal>
          <c:yVal>
            <c:numRef>
              <c:f>'Phase diagram models'!$F$59:$F$88</c:f>
              <c:numCache>
                <c:formatCode>0.000</c:formatCode>
                <c:ptCount val="30"/>
                <c:pt idx="0">
                  <c:v>0.27238220371836375</c:v>
                </c:pt>
                <c:pt idx="1">
                  <c:v>0.24282689775802599</c:v>
                </c:pt>
                <c:pt idx="2">
                  <c:v>0.20187141942768991</c:v>
                </c:pt>
                <c:pt idx="3">
                  <c:v>0.16351243291473397</c:v>
                </c:pt>
                <c:pt idx="4">
                  <c:v>0.12879089380669678</c:v>
                </c:pt>
                <c:pt idx="5">
                  <c:v>9.8455815886067888E-2</c:v>
                </c:pt>
                <c:pt idx="6">
                  <c:v>7.2909670187161713E-2</c:v>
                </c:pt>
                <c:pt idx="7">
                  <c:v>5.2201619914995147E-2</c:v>
                </c:pt>
                <c:pt idx="8">
                  <c:v>3.6066747242289449E-2</c:v>
                </c:pt>
                <c:pt idx="9">
                  <c:v>1.5353511247132365E-2</c:v>
                </c:pt>
                <c:pt idx="10">
                  <c:v>5.5393833274491227E-3</c:v>
                </c:pt>
                <c:pt idx="11">
                  <c:v>1.6682239062234285E-3</c:v>
                </c:pt>
                <c:pt idx="12">
                  <c:v>4.130300500626039E-4</c:v>
                </c:pt>
                <c:pt idx="13">
                  <c:v>8.2802844730511815E-5</c:v>
                </c:pt>
                <c:pt idx="14">
                  <c:v>1.3238910814257299E-5</c:v>
                </c:pt>
                <c:pt idx="15">
                  <c:v>1.6626996508668749E-6</c:v>
                </c:pt>
                <c:pt idx="16">
                  <c:v>1.6156389011781548E-7</c:v>
                </c:pt>
                <c:pt idx="17">
                  <c:v>1.1963568957264963E-8</c:v>
                </c:pt>
                <c:pt idx="18">
                  <c:v>6.6493979494758363E-10</c:v>
                </c:pt>
                <c:pt idx="19">
                  <c:v>4.9221850828544075E-12</c:v>
                </c:pt>
                <c:pt idx="20">
                  <c:v>1.7546644453142552E-14</c:v>
                </c:pt>
                <c:pt idx="21">
                  <c:v>2.8621881302932164E-17</c:v>
                </c:pt>
                <c:pt idx="22">
                  <c:v>2.0299357436258649E-20</c:v>
                </c:pt>
                <c:pt idx="23">
                  <c:v>5.9478794540942081E-24</c:v>
                </c:pt>
                <c:pt idx="24">
                  <c:v>6.8415815694395056E-28</c:v>
                </c:pt>
                <c:pt idx="25">
                  <c:v>2.9355300619484899E-32</c:v>
                </c:pt>
                <c:pt idx="26">
                  <c:v>4.4645269957287029E-37</c:v>
                </c:pt>
                <c:pt idx="27">
                  <c:v>2.2869054341498924E-42</c:v>
                </c:pt>
                <c:pt idx="28">
                  <c:v>3.7491357675878718E-48</c:v>
                </c:pt>
                <c:pt idx="29">
                  <c:v>1.8691835140867904E-54</c:v>
                </c:pt>
              </c:numCache>
            </c:numRef>
          </c:yVal>
          <c:smooth val="0"/>
          <c:extLst>
            <c:ext xmlns:c16="http://schemas.microsoft.com/office/drawing/2014/chart" uri="{C3380CC4-5D6E-409C-BE32-E72D297353CC}">
              <c16:uniqueId val="{00000003-72E9-45BC-99DA-8A28C0A16909}"/>
            </c:ext>
          </c:extLst>
        </c:ser>
        <c:ser>
          <c:idx val="0"/>
          <c:order val="4"/>
          <c:tx>
            <c:v>PEG 12000</c:v>
          </c:tx>
          <c:spPr>
            <a:ln w="19050">
              <a:solidFill>
                <a:schemeClr val="accent5"/>
              </a:solidFill>
            </a:ln>
          </c:spPr>
          <c:marker>
            <c:symbol val="none"/>
          </c:marker>
          <c:xVal>
            <c:numRef>
              <c:f>'Phase diagram models'!$E$57:$E$88</c:f>
              <c:numCache>
                <c:formatCode>General</c:formatCode>
                <c:ptCount val="32"/>
                <c:pt idx="0">
                  <c:v>0.11</c:v>
                </c:pt>
                <c:pt idx="1">
                  <c:v>0.115</c:v>
                </c:pt>
                <c:pt idx="2">
                  <c:v>0.123</c:v>
                </c:pt>
                <c:pt idx="3">
                  <c:v>0.13</c:v>
                </c:pt>
                <c:pt idx="4">
                  <c:v>0.14000000000000001</c:v>
                </c:pt>
                <c:pt idx="5">
                  <c:v>0.15</c:v>
                </c:pt>
                <c:pt idx="6">
                  <c:v>0.16</c:v>
                </c:pt>
                <c:pt idx="7">
                  <c:v>0.17</c:v>
                </c:pt>
                <c:pt idx="8">
                  <c:v>0.18</c:v>
                </c:pt>
                <c:pt idx="9">
                  <c:v>0.19</c:v>
                </c:pt>
                <c:pt idx="10">
                  <c:v>0.2</c:v>
                </c:pt>
                <c:pt idx="11">
                  <c:v>0.22</c:v>
                </c:pt>
                <c:pt idx="12">
                  <c:v>0.24</c:v>
                </c:pt>
                <c:pt idx="13">
                  <c:v>0.26</c:v>
                </c:pt>
                <c:pt idx="14">
                  <c:v>0.28000000000000003</c:v>
                </c:pt>
                <c:pt idx="15">
                  <c:v>0.3</c:v>
                </c:pt>
                <c:pt idx="16">
                  <c:v>0.32</c:v>
                </c:pt>
                <c:pt idx="17">
                  <c:v>0.34</c:v>
                </c:pt>
                <c:pt idx="18">
                  <c:v>0.36</c:v>
                </c:pt>
                <c:pt idx="19">
                  <c:v>0.38</c:v>
                </c:pt>
                <c:pt idx="20">
                  <c:v>0.4</c:v>
                </c:pt>
                <c:pt idx="21">
                  <c:v>0.43</c:v>
                </c:pt>
                <c:pt idx="22">
                  <c:v>0.46</c:v>
                </c:pt>
                <c:pt idx="23">
                  <c:v>0.49</c:v>
                </c:pt>
                <c:pt idx="24">
                  <c:v>0.52</c:v>
                </c:pt>
                <c:pt idx="25">
                  <c:v>0.55000000000000004</c:v>
                </c:pt>
                <c:pt idx="26">
                  <c:v>0.57999999999999996</c:v>
                </c:pt>
                <c:pt idx="27">
                  <c:v>0.61</c:v>
                </c:pt>
                <c:pt idx="28">
                  <c:v>0.64</c:v>
                </c:pt>
                <c:pt idx="29">
                  <c:v>0.67</c:v>
                </c:pt>
                <c:pt idx="30">
                  <c:v>0.7</c:v>
                </c:pt>
                <c:pt idx="31">
                  <c:v>0.73</c:v>
                </c:pt>
              </c:numCache>
            </c:numRef>
          </c:xVal>
          <c:yVal>
            <c:numRef>
              <c:f>'Phase diagram models'!$G$57:$G$88</c:f>
              <c:numCache>
                <c:formatCode>0.000</c:formatCode>
                <c:ptCount val="32"/>
                <c:pt idx="0">
                  <c:v>0.31716150875731564</c:v>
                </c:pt>
                <c:pt idx="1">
                  <c:v>0.29088180007945708</c:v>
                </c:pt>
                <c:pt idx="2">
                  <c:v>0.25321247063207841</c:v>
                </c:pt>
                <c:pt idx="3">
                  <c:v>0.22410971627819432</c:v>
                </c:pt>
                <c:pt idx="4">
                  <c:v>0.18785958280569234</c:v>
                </c:pt>
                <c:pt idx="5">
                  <c:v>0.15694789500504036</c:v>
                </c:pt>
                <c:pt idx="6">
                  <c:v>0.13055610615066304</c:v>
                </c:pt>
                <c:pt idx="7">
                  <c:v>0.10803330539393415</c:v>
                </c:pt>
                <c:pt idx="8">
                  <c:v>8.8850397726486952E-2</c:v>
                </c:pt>
                <c:pt idx="9">
                  <c:v>7.2567730807297892E-2</c:v>
                </c:pt>
                <c:pt idx="10">
                  <c:v>5.8812105418684486E-2</c:v>
                </c:pt>
                <c:pt idx="11">
                  <c:v>3.7628573252309241E-2</c:v>
                </c:pt>
                <c:pt idx="12">
                  <c:v>2.3135768558611644E-2</c:v>
                </c:pt>
                <c:pt idx="13">
                  <c:v>1.3594400995739398E-2</c:v>
                </c:pt>
                <c:pt idx="14">
                  <c:v>7.5933186914034015E-3</c:v>
                </c:pt>
                <c:pt idx="15">
                  <c:v>4.0109968828392177E-3</c:v>
                </c:pt>
                <c:pt idx="16">
                  <c:v>1.993556213381252E-3</c:v>
                </c:pt>
                <c:pt idx="17">
                  <c:v>9.2770022093028107E-4</c:v>
                </c:pt>
                <c:pt idx="18">
                  <c:v>4.0222609083665064E-4</c:v>
                </c:pt>
                <c:pt idx="19">
                  <c:v>1.6170488765204801E-4</c:v>
                </c:pt>
                <c:pt idx="20">
                  <c:v>5.9992231223347019E-5</c:v>
                </c:pt>
                <c:pt idx="21">
                  <c:v>1.1541523951617898E-5</c:v>
                </c:pt>
                <c:pt idx="22">
                  <c:v>1.804939568463298E-6</c:v>
                </c:pt>
                <c:pt idx="23">
                  <c:v>2.2588283248903856E-7</c:v>
                </c:pt>
                <c:pt idx="24">
                  <c:v>2.227210425015867E-8</c:v>
                </c:pt>
                <c:pt idx="25">
                  <c:v>1.7036115247076865E-9</c:v>
                </c:pt>
                <c:pt idx="26">
                  <c:v>9.9544062026516818E-11</c:v>
                </c:pt>
                <c:pt idx="27">
                  <c:v>4.3754700467263586E-12</c:v>
                </c:pt>
                <c:pt idx="28">
                  <c:v>1.4247819671393458E-13</c:v>
                </c:pt>
                <c:pt idx="29">
                  <c:v>3.3849599290799252E-15</c:v>
                </c:pt>
                <c:pt idx="30">
                  <c:v>5.7785889294905829E-17</c:v>
                </c:pt>
                <c:pt idx="31">
                  <c:v>6.981478333948662E-19</c:v>
                </c:pt>
              </c:numCache>
            </c:numRef>
          </c:yVal>
          <c:smooth val="0"/>
          <c:extLst>
            <c:ext xmlns:c16="http://schemas.microsoft.com/office/drawing/2014/chart" uri="{C3380CC4-5D6E-409C-BE32-E72D297353CC}">
              <c16:uniqueId val="{00000004-72E9-45BC-99DA-8A28C0A16909}"/>
            </c:ext>
          </c:extLst>
        </c:ser>
        <c:ser>
          <c:idx val="1"/>
          <c:order val="5"/>
          <c:tx>
            <c:v>PEG 20000</c:v>
          </c:tx>
          <c:spPr>
            <a:ln w="19050">
              <a:solidFill>
                <a:schemeClr val="accent6"/>
              </a:solidFill>
            </a:ln>
          </c:spPr>
          <c:marker>
            <c:symbol val="none"/>
          </c:marker>
          <c:xVal>
            <c:numRef>
              <c:f>'Phase diagram models'!$E$59:$E$88</c:f>
              <c:numCache>
                <c:formatCode>General</c:formatCode>
                <c:ptCount val="30"/>
                <c:pt idx="0">
                  <c:v>0.123</c:v>
                </c:pt>
                <c:pt idx="1">
                  <c:v>0.13</c:v>
                </c:pt>
                <c:pt idx="2">
                  <c:v>0.14000000000000001</c:v>
                </c:pt>
                <c:pt idx="3">
                  <c:v>0.15</c:v>
                </c:pt>
                <c:pt idx="4">
                  <c:v>0.16</c:v>
                </c:pt>
                <c:pt idx="5">
                  <c:v>0.17</c:v>
                </c:pt>
                <c:pt idx="6">
                  <c:v>0.18</c:v>
                </c:pt>
                <c:pt idx="7">
                  <c:v>0.19</c:v>
                </c:pt>
                <c:pt idx="8">
                  <c:v>0.2</c:v>
                </c:pt>
                <c:pt idx="9">
                  <c:v>0.22</c:v>
                </c:pt>
                <c:pt idx="10">
                  <c:v>0.24</c:v>
                </c:pt>
                <c:pt idx="11">
                  <c:v>0.26</c:v>
                </c:pt>
                <c:pt idx="12">
                  <c:v>0.28000000000000003</c:v>
                </c:pt>
                <c:pt idx="13">
                  <c:v>0.3</c:v>
                </c:pt>
                <c:pt idx="14">
                  <c:v>0.32</c:v>
                </c:pt>
                <c:pt idx="15">
                  <c:v>0.34</c:v>
                </c:pt>
                <c:pt idx="16">
                  <c:v>0.36</c:v>
                </c:pt>
                <c:pt idx="17">
                  <c:v>0.38</c:v>
                </c:pt>
                <c:pt idx="18">
                  <c:v>0.4</c:v>
                </c:pt>
                <c:pt idx="19">
                  <c:v>0.43</c:v>
                </c:pt>
                <c:pt idx="20">
                  <c:v>0.46</c:v>
                </c:pt>
                <c:pt idx="21">
                  <c:v>0.49</c:v>
                </c:pt>
                <c:pt idx="22">
                  <c:v>0.52</c:v>
                </c:pt>
                <c:pt idx="23">
                  <c:v>0.55000000000000004</c:v>
                </c:pt>
                <c:pt idx="24">
                  <c:v>0.57999999999999996</c:v>
                </c:pt>
                <c:pt idx="25">
                  <c:v>0.61</c:v>
                </c:pt>
                <c:pt idx="26">
                  <c:v>0.64</c:v>
                </c:pt>
                <c:pt idx="27">
                  <c:v>0.67</c:v>
                </c:pt>
                <c:pt idx="28">
                  <c:v>0.7</c:v>
                </c:pt>
                <c:pt idx="29">
                  <c:v>0.73</c:v>
                </c:pt>
              </c:numCache>
            </c:numRef>
          </c:xVal>
          <c:yVal>
            <c:numRef>
              <c:f>'Phase diagram models'!$H$59:$H$88</c:f>
              <c:numCache>
                <c:formatCode>0.000</c:formatCode>
                <c:ptCount val="30"/>
                <c:pt idx="0">
                  <c:v>0.26287789348444068</c:v>
                </c:pt>
                <c:pt idx="1">
                  <c:v>0.21697016771322319</c:v>
                </c:pt>
                <c:pt idx="2">
                  <c:v>0.16031138902072523</c:v>
                </c:pt>
                <c:pt idx="3">
                  <c:v>0.11424562588880356</c:v>
                </c:pt>
                <c:pt idx="4">
                  <c:v>7.8300190201037331E-2</c:v>
                </c:pt>
                <c:pt idx="5">
                  <c:v>5.146168061575495E-2</c:v>
                </c:pt>
                <c:pt idx="6">
                  <c:v>3.2341713453122457E-2</c:v>
                </c:pt>
                <c:pt idx="7">
                  <c:v>1.9380642485097826E-2</c:v>
                </c:pt>
                <c:pt idx="8">
                  <c:v>1.1042674227426769E-2</c:v>
                </c:pt>
                <c:pt idx="9">
                  <c:v>3.0473016097697357E-3</c:v>
                </c:pt>
                <c:pt idx="10">
                  <c:v>6.6463138481734135E-4</c:v>
                </c:pt>
                <c:pt idx="11">
                  <c:v>1.1205170842627965E-4</c:v>
                </c:pt>
                <c:pt idx="12">
                  <c:v>1.4282881958768717E-5</c:v>
                </c:pt>
                <c:pt idx="13">
                  <c:v>1.3464498722093336E-6</c:v>
                </c:pt>
                <c:pt idx="14">
                  <c:v>9.1829383448033612E-8</c:v>
                </c:pt>
                <c:pt idx="15">
                  <c:v>4.4324965315754997E-9</c:v>
                </c:pt>
                <c:pt idx="16">
                  <c:v>1.481367552491351E-10</c:v>
                </c:pt>
                <c:pt idx="17">
                  <c:v>3.3535819917905255E-12</c:v>
                </c:pt>
                <c:pt idx="18">
                  <c:v>5.0312993003527811E-14</c:v>
                </c:pt>
                <c:pt idx="19">
                  <c:v>4.0751624411155591E-17</c:v>
                </c:pt>
                <c:pt idx="20">
                  <c:v>1.1566149931991364E-20</c:v>
                </c:pt>
                <c:pt idx="21">
                  <c:v>1.0685771369697516E-24</c:v>
                </c:pt>
                <c:pt idx="22">
                  <c:v>2.9854548743357636E-29</c:v>
                </c:pt>
                <c:pt idx="23">
                  <c:v>2.3433298358809577E-34</c:v>
                </c:pt>
                <c:pt idx="24">
                  <c:v>4.8008544440173606E-40</c:v>
                </c:pt>
                <c:pt idx="25">
                  <c:v>2.3851771814078643E-46</c:v>
                </c:pt>
                <c:pt idx="26">
                  <c:v>2.6699524995630803E-53</c:v>
                </c:pt>
                <c:pt idx="27">
                  <c:v>6.256602203220217E-61</c:v>
                </c:pt>
                <c:pt idx="28">
                  <c:v>2.8516970203232482E-69</c:v>
                </c:pt>
                <c:pt idx="29">
                  <c:v>2.3489901145820881E-78</c:v>
                </c:pt>
              </c:numCache>
            </c:numRef>
          </c:yVal>
          <c:smooth val="0"/>
          <c:extLst>
            <c:ext xmlns:c16="http://schemas.microsoft.com/office/drawing/2014/chart" uri="{C3380CC4-5D6E-409C-BE32-E72D297353CC}">
              <c16:uniqueId val="{00000005-72E9-45BC-99DA-8A28C0A16909}"/>
            </c:ext>
          </c:extLst>
        </c:ser>
        <c:dLbls>
          <c:showLegendKey val="0"/>
          <c:showVal val="0"/>
          <c:showCatName val="0"/>
          <c:showSerName val="0"/>
          <c:showPercent val="0"/>
          <c:showBubbleSize val="0"/>
        </c:dLbls>
        <c:axId val="663556496"/>
        <c:axId val="663552888"/>
      </c:scatterChart>
      <c:valAx>
        <c:axId val="663556496"/>
        <c:scaling>
          <c:orientation val="minMax"/>
        </c:scaling>
        <c:delete val="0"/>
        <c:axPos val="b"/>
        <c:title>
          <c:tx>
            <c:rich>
              <a:bodyPr/>
              <a:lstStyle/>
              <a:p>
                <a:pPr>
                  <a:defRPr/>
                </a:pPr>
                <a:r>
                  <a:rPr lang="en-ZA"/>
                  <a:t>MDX concentration</a:t>
                </a:r>
                <a:r>
                  <a:rPr lang="en-ZA" baseline="0"/>
                  <a:t> (wt%)</a:t>
                </a:r>
                <a:endParaRPr lang="en-ZA"/>
              </a:p>
            </c:rich>
          </c:tx>
          <c:overlay val="0"/>
        </c:title>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63552888"/>
        <c:crosses val="autoZero"/>
        <c:crossBetween val="midCat"/>
      </c:valAx>
      <c:valAx>
        <c:axId val="663552888"/>
        <c:scaling>
          <c:orientation val="minMax"/>
          <c:min val="0"/>
        </c:scaling>
        <c:delete val="0"/>
        <c:axPos val="l"/>
        <c:title>
          <c:tx>
            <c:rich>
              <a:bodyPr/>
              <a:lstStyle/>
              <a:p>
                <a:pPr>
                  <a:defRPr/>
                </a:pPr>
                <a:r>
                  <a:rPr lang="en-ZA"/>
                  <a:t>PEG concentration (wt%)</a:t>
                </a:r>
              </a:p>
            </c:rich>
          </c:tx>
          <c:overlay val="0"/>
        </c:title>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63556496"/>
        <c:crosses val="autoZero"/>
        <c:crossBetween val="midCat"/>
      </c:valAx>
    </c:plotArea>
    <c:legend>
      <c:legendPos val="r"/>
      <c:layout>
        <c:manualLayout>
          <c:xMode val="edge"/>
          <c:yMode val="edge"/>
          <c:x val="0.58542203612755939"/>
          <c:y val="0.25102725129019698"/>
          <c:w val="0.32889509332016281"/>
          <c:h val="0.41179361141690152"/>
        </c:manualLayout>
      </c:layout>
      <c:overlay val="0"/>
    </c:legend>
    <c:plotVisOnly val="1"/>
    <c:dispBlanksAs val="gap"/>
    <c:showDLblsOverMax val="0"/>
    <c:extLst/>
  </c:chart>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intercept val="1.3337999999999999"/>
            <c:dispRSqr val="1"/>
            <c:dispEq val="1"/>
            <c:trendlineLbl>
              <c:layout>
                <c:manualLayout>
                  <c:x val="3.9632983377077866E-2"/>
                  <c:y val="0.17550925925925925"/>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errBars>
            <c:errDir val="y"/>
            <c:errBarType val="both"/>
            <c:errValType val="cust"/>
            <c:noEndCap val="0"/>
            <c:plus>
              <c:numRef>
                <c:f>'R I standards DIwater'!#REF!</c:f>
                <c:numCache>
                  <c:formatCode>General</c:formatCode>
                  <c:ptCount val="1"/>
                  <c:pt idx="0">
                    <c:v>1</c:v>
                  </c:pt>
                </c:numCache>
              </c:numRef>
            </c:plus>
            <c:minus>
              <c:numRef>
                <c:f>'R I standards DIwater'!#REF!</c:f>
                <c:numCache>
                  <c:formatCode>General</c:formatCode>
                  <c:ptCount val="1"/>
                  <c:pt idx="0">
                    <c:v>1</c:v>
                  </c:pt>
                </c:numCache>
              </c:numRef>
            </c:minus>
            <c:spPr>
              <a:noFill/>
              <a:ln w="9525" cap="flat" cmpd="sng" algn="ctr">
                <a:solidFill>
                  <a:schemeClr val="tx1">
                    <a:lumMod val="65000"/>
                    <a:lumOff val="35000"/>
                  </a:schemeClr>
                </a:solidFill>
                <a:round/>
              </a:ln>
              <a:effectLst/>
            </c:spPr>
          </c:errBars>
          <c:xVal>
            <c:numRef>
              <c:f>'R I standards DIwater'!#REF!</c:f>
            </c:numRef>
          </c:xVal>
          <c:yVal>
            <c:numRef>
              <c:f>'R I standards DIwater'!#REF!</c:f>
              <c:numCache>
                <c:formatCode>General</c:formatCode>
                <c:ptCount val="1"/>
                <c:pt idx="0">
                  <c:v>1</c:v>
                </c:pt>
              </c:numCache>
            </c:numRef>
          </c:yVal>
          <c:smooth val="0"/>
          <c:extLst>
            <c:ext xmlns:c16="http://schemas.microsoft.com/office/drawing/2014/chart" uri="{C3380CC4-5D6E-409C-BE32-E72D297353CC}">
              <c16:uniqueId val="{00000001-A249-4E19-9381-4E29D7290F9D}"/>
            </c:ext>
          </c:extLst>
        </c:ser>
        <c:dLbls>
          <c:showLegendKey val="0"/>
          <c:showVal val="0"/>
          <c:showCatName val="0"/>
          <c:showSerName val="0"/>
          <c:showPercent val="0"/>
          <c:showBubbleSize val="0"/>
        </c:dLbls>
        <c:axId val="398547312"/>
        <c:axId val="398549936"/>
      </c:scatterChart>
      <c:valAx>
        <c:axId val="398547312"/>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a:t>PEG 10000</a:t>
                </a:r>
                <a:r>
                  <a:rPr lang="en-ZA" baseline="0"/>
                  <a:t> (wt %) in citrate buffer</a:t>
                </a:r>
                <a:endParaRPr lang="en-ZA"/>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98549936"/>
        <c:crosses val="autoZero"/>
        <c:crossBetween val="midCat"/>
      </c:valAx>
      <c:valAx>
        <c:axId val="3985499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a:t>Refractive index</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98547312"/>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Standard curve for MDX conc.</a:t>
            </a:r>
            <a:r>
              <a:rPr lang="en-ZA" baseline="0"/>
              <a:t> vs RI</a:t>
            </a:r>
            <a:endParaRPr lang="en-ZA"/>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19050" cap="rnd">
              <a:noFill/>
              <a:round/>
            </a:ln>
            <a:effectLst/>
          </c:spPr>
          <c:marker>
            <c:symbol val="x"/>
            <c:size val="2"/>
            <c:spPr>
              <a:noFill/>
              <a:ln w="9525">
                <a:solidFill>
                  <a:schemeClr val="accent1"/>
                </a:solidFill>
              </a:ln>
              <a:effectLst/>
            </c:spPr>
          </c:marker>
          <c:trendline>
            <c:spPr>
              <a:ln w="19050" cap="rnd">
                <a:solidFill>
                  <a:schemeClr val="accent1"/>
                </a:solidFill>
                <a:prstDash val="sysDot"/>
              </a:ln>
              <a:effectLst/>
            </c:spPr>
            <c:trendlineType val="linear"/>
            <c:intercept val="1.333"/>
            <c:dispRSqr val="1"/>
            <c:dispEq val="1"/>
            <c:trendlineLbl>
              <c:layout>
                <c:manualLayout>
                  <c:x val="-8.3104986876640419E-2"/>
                  <c:y val="-4.1666666666666669E-4"/>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errBars>
            <c:errDir val="y"/>
            <c:errBarType val="both"/>
            <c:errValType val="cust"/>
            <c:noEndCap val="0"/>
            <c:plus>
              <c:numRef>
                <c:f>'Polymer RI standards '!$D$8:$H$8</c:f>
                <c:numCache>
                  <c:formatCode>General</c:formatCode>
                  <c:ptCount val="5"/>
                  <c:pt idx="0">
                    <c:v>1.7320508075686865E-4</c:v>
                  </c:pt>
                  <c:pt idx="1">
                    <c:v>1.1547005383791244E-4</c:v>
                  </c:pt>
                  <c:pt idx="2">
                    <c:v>9.9999999999988987E-5</c:v>
                  </c:pt>
                  <c:pt idx="3">
                    <c:v>5.7735026918956222E-5</c:v>
                  </c:pt>
                  <c:pt idx="4">
                    <c:v>5.7735026918956215E-5</c:v>
                  </c:pt>
                </c:numCache>
              </c:numRef>
            </c:plus>
            <c:minus>
              <c:numRef>
                <c:f>'Polymer RI standards '!$D$8:$H$8</c:f>
                <c:numCache>
                  <c:formatCode>General</c:formatCode>
                  <c:ptCount val="5"/>
                  <c:pt idx="0">
                    <c:v>1.7320508075686865E-4</c:v>
                  </c:pt>
                  <c:pt idx="1">
                    <c:v>1.1547005383791244E-4</c:v>
                  </c:pt>
                  <c:pt idx="2">
                    <c:v>9.9999999999988987E-5</c:v>
                  </c:pt>
                  <c:pt idx="3">
                    <c:v>5.7735026918956222E-5</c:v>
                  </c:pt>
                  <c:pt idx="4">
                    <c:v>5.7735026918956215E-5</c:v>
                  </c:pt>
                </c:numCache>
              </c:numRef>
            </c:minus>
            <c:spPr>
              <a:noFill/>
              <a:ln w="9525" cap="flat" cmpd="sng" algn="ctr">
                <a:solidFill>
                  <a:schemeClr val="tx1">
                    <a:lumMod val="65000"/>
                    <a:lumOff val="35000"/>
                  </a:schemeClr>
                </a:solidFill>
                <a:round/>
              </a:ln>
              <a:effectLst/>
            </c:spPr>
          </c:errBars>
          <c:xVal>
            <c:numRef>
              <c:f>'Polymer RI standards '!$D$3:$H$3</c:f>
              <c:numCache>
                <c:formatCode>0%</c:formatCode>
                <c:ptCount val="5"/>
                <c:pt idx="0">
                  <c:v>2.5000000000000001E-2</c:v>
                </c:pt>
                <c:pt idx="1">
                  <c:v>0.05</c:v>
                </c:pt>
                <c:pt idx="2">
                  <c:v>0.1</c:v>
                </c:pt>
                <c:pt idx="3">
                  <c:v>0.15</c:v>
                </c:pt>
                <c:pt idx="4">
                  <c:v>0.2</c:v>
                </c:pt>
              </c:numCache>
            </c:numRef>
          </c:xVal>
          <c:yVal>
            <c:numRef>
              <c:f>'Polymer RI standards '!$D$7:$H$7</c:f>
              <c:numCache>
                <c:formatCode>0.0000</c:formatCode>
                <c:ptCount val="5"/>
                <c:pt idx="0">
                  <c:v>1.3366</c:v>
                </c:pt>
                <c:pt idx="1">
                  <c:v>1.3401333333333334</c:v>
                </c:pt>
                <c:pt idx="2">
                  <c:v>1.3474999999999999</c:v>
                </c:pt>
                <c:pt idx="3">
                  <c:v>1.3550666666666666</c:v>
                </c:pt>
                <c:pt idx="4">
                  <c:v>1.3628666666666664</c:v>
                </c:pt>
              </c:numCache>
            </c:numRef>
          </c:yVal>
          <c:smooth val="0"/>
          <c:extLst>
            <c:ext xmlns:c16="http://schemas.microsoft.com/office/drawing/2014/chart" uri="{C3380CC4-5D6E-409C-BE32-E72D297353CC}">
              <c16:uniqueId val="{00000001-FE91-4B75-92AF-BD6716861EDF}"/>
            </c:ext>
          </c:extLst>
        </c:ser>
        <c:dLbls>
          <c:showLegendKey val="0"/>
          <c:showVal val="0"/>
          <c:showCatName val="0"/>
          <c:showSerName val="0"/>
          <c:showPercent val="0"/>
          <c:showBubbleSize val="0"/>
        </c:dLbls>
        <c:axId val="522087464"/>
        <c:axId val="522086480"/>
      </c:scatterChart>
      <c:valAx>
        <c:axId val="522087464"/>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a:t>MDX wt %.</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22086480"/>
        <c:crosses val="autoZero"/>
        <c:crossBetween val="midCat"/>
      </c:valAx>
      <c:valAx>
        <c:axId val="5220864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a:t>RI</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22087464"/>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Standard curve for PEG 10000 conc. vs RI</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19050" cap="rnd">
              <a:noFill/>
              <a:round/>
            </a:ln>
            <a:effectLst/>
          </c:spPr>
          <c:marker>
            <c:symbol val="x"/>
            <c:size val="2"/>
            <c:spPr>
              <a:noFill/>
              <a:ln w="9525">
                <a:solidFill>
                  <a:schemeClr val="accent1"/>
                </a:solidFill>
              </a:ln>
              <a:effectLst/>
            </c:spPr>
          </c:marker>
          <c:trendline>
            <c:spPr>
              <a:ln w="19050" cap="rnd">
                <a:solidFill>
                  <a:schemeClr val="accent1"/>
                </a:solidFill>
                <a:prstDash val="sysDot"/>
              </a:ln>
              <a:effectLst/>
            </c:spPr>
            <c:trendlineType val="linear"/>
            <c:intercept val="1.333"/>
            <c:dispRSqr val="1"/>
            <c:dispEq val="1"/>
            <c:trendlineLbl>
              <c:layout>
                <c:manualLayout>
                  <c:x val="-1.0999562554680665E-2"/>
                  <c:y val="9.2592592592592587E-3"/>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errBars>
            <c:errDir val="y"/>
            <c:errBarType val="both"/>
            <c:errValType val="cust"/>
            <c:noEndCap val="0"/>
            <c:plus>
              <c:numRef>
                <c:f>'Polymer RI standards '!$K$8:$N$8</c:f>
                <c:numCache>
                  <c:formatCode>General</c:formatCode>
                  <c:ptCount val="4"/>
                  <c:pt idx="0">
                    <c:v>5.7735026918956222E-5</c:v>
                  </c:pt>
                  <c:pt idx="1">
                    <c:v>1.1547005383804064E-4</c:v>
                  </c:pt>
                  <c:pt idx="2">
                    <c:v>2.0816659994659034E-4</c:v>
                  </c:pt>
                  <c:pt idx="3">
                    <c:v>2.3094010767582489E-4</c:v>
                  </c:pt>
                </c:numCache>
              </c:numRef>
            </c:plus>
            <c:minus>
              <c:numRef>
                <c:f>'Polymer RI standards '!$K$8:$N$8</c:f>
                <c:numCache>
                  <c:formatCode>General</c:formatCode>
                  <c:ptCount val="4"/>
                  <c:pt idx="0">
                    <c:v>5.7735026918956222E-5</c:v>
                  </c:pt>
                  <c:pt idx="1">
                    <c:v>1.1547005383804064E-4</c:v>
                  </c:pt>
                  <c:pt idx="2">
                    <c:v>2.0816659994659034E-4</c:v>
                  </c:pt>
                  <c:pt idx="3">
                    <c:v>2.3094010767582489E-4</c:v>
                  </c:pt>
                </c:numCache>
              </c:numRef>
            </c:minus>
            <c:spPr>
              <a:noFill/>
              <a:ln w="9525" cap="flat" cmpd="sng" algn="ctr">
                <a:solidFill>
                  <a:schemeClr val="tx1">
                    <a:lumMod val="65000"/>
                    <a:lumOff val="35000"/>
                  </a:schemeClr>
                </a:solidFill>
                <a:round/>
              </a:ln>
              <a:effectLst/>
            </c:spPr>
          </c:errBars>
          <c:xVal>
            <c:numRef>
              <c:f>'Polymer RI standards '!$K$3:$N$3</c:f>
              <c:numCache>
                <c:formatCode>0%</c:formatCode>
                <c:ptCount val="4"/>
                <c:pt idx="0">
                  <c:v>2.5000000000000001E-2</c:v>
                </c:pt>
                <c:pt idx="1">
                  <c:v>0.05</c:v>
                </c:pt>
                <c:pt idx="2">
                  <c:v>7.4999999999999997E-2</c:v>
                </c:pt>
                <c:pt idx="3">
                  <c:v>0.1</c:v>
                </c:pt>
              </c:numCache>
            </c:numRef>
          </c:xVal>
          <c:yVal>
            <c:numRef>
              <c:f>'Polymer RI standards '!$K$7:$N$7</c:f>
              <c:numCache>
                <c:formatCode>0.0000</c:formatCode>
                <c:ptCount val="4"/>
                <c:pt idx="0">
                  <c:v>1.3363333333333334</c:v>
                </c:pt>
                <c:pt idx="1">
                  <c:v>1.3397333333333334</c:v>
                </c:pt>
                <c:pt idx="2">
                  <c:v>1.3431333333333333</c:v>
                </c:pt>
                <c:pt idx="3">
                  <c:v>1.3466666666666667</c:v>
                </c:pt>
              </c:numCache>
            </c:numRef>
          </c:yVal>
          <c:smooth val="0"/>
          <c:extLst>
            <c:ext xmlns:c16="http://schemas.microsoft.com/office/drawing/2014/chart" uri="{C3380CC4-5D6E-409C-BE32-E72D297353CC}">
              <c16:uniqueId val="{00000001-B9A3-4A1B-B8BD-41DC345E57CE}"/>
            </c:ext>
          </c:extLst>
        </c:ser>
        <c:dLbls>
          <c:showLegendKey val="0"/>
          <c:showVal val="0"/>
          <c:showCatName val="0"/>
          <c:showSerName val="0"/>
          <c:showPercent val="0"/>
          <c:showBubbleSize val="0"/>
        </c:dLbls>
        <c:axId val="758055016"/>
        <c:axId val="758051736"/>
      </c:scatterChart>
      <c:valAx>
        <c:axId val="758055016"/>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a:t>PEG 10000 wt %</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8051736"/>
        <c:crosses val="autoZero"/>
        <c:crossBetween val="midCat"/>
      </c:valAx>
      <c:valAx>
        <c:axId val="7580517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a:t>RI</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8055016"/>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Standard curve for PEG 12000 conc. vs RI</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25400" cap="rnd">
              <a:noFill/>
              <a:round/>
            </a:ln>
            <a:effectLst/>
          </c:spPr>
          <c:marker>
            <c:symbol val="x"/>
            <c:size val="2"/>
            <c:spPr>
              <a:noFill/>
              <a:ln w="9525">
                <a:solidFill>
                  <a:schemeClr val="accent1"/>
                </a:solidFill>
              </a:ln>
              <a:effectLst/>
            </c:spPr>
          </c:marker>
          <c:trendline>
            <c:spPr>
              <a:ln w="19050" cap="rnd">
                <a:solidFill>
                  <a:schemeClr val="accent1"/>
                </a:solidFill>
                <a:prstDash val="sysDot"/>
              </a:ln>
              <a:effectLst/>
            </c:spPr>
            <c:trendlineType val="linear"/>
            <c:intercept val="1.333"/>
            <c:dispRSqr val="1"/>
            <c:dispEq val="1"/>
            <c:trendlineLbl>
              <c:layout>
                <c:manualLayout>
                  <c:x val="-1.0999562554680665E-2"/>
                  <c:y val="9.2592592592592587E-3"/>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errBars>
            <c:errDir val="y"/>
            <c:errBarType val="both"/>
            <c:errValType val="cust"/>
            <c:noEndCap val="0"/>
            <c:plus>
              <c:numRef>
                <c:f>'Polymer RI standards '!$K$8:$N$8</c:f>
                <c:numCache>
                  <c:formatCode>General</c:formatCode>
                  <c:ptCount val="4"/>
                  <c:pt idx="0">
                    <c:v>5.7735026918956222E-5</c:v>
                  </c:pt>
                  <c:pt idx="1">
                    <c:v>1.1547005383804064E-4</c:v>
                  </c:pt>
                  <c:pt idx="2">
                    <c:v>2.0816659994659034E-4</c:v>
                  </c:pt>
                  <c:pt idx="3">
                    <c:v>2.3094010767582489E-4</c:v>
                  </c:pt>
                </c:numCache>
              </c:numRef>
            </c:plus>
            <c:minus>
              <c:numRef>
                <c:f>'Polymer RI standards '!$K$8:$N$8</c:f>
                <c:numCache>
                  <c:formatCode>General</c:formatCode>
                  <c:ptCount val="4"/>
                  <c:pt idx="0">
                    <c:v>5.7735026918956222E-5</c:v>
                  </c:pt>
                  <c:pt idx="1">
                    <c:v>1.1547005383804064E-4</c:v>
                  </c:pt>
                  <c:pt idx="2">
                    <c:v>2.0816659994659034E-4</c:v>
                  </c:pt>
                  <c:pt idx="3">
                    <c:v>2.3094010767582489E-4</c:v>
                  </c:pt>
                </c:numCache>
              </c:numRef>
            </c:minus>
            <c:spPr>
              <a:noFill/>
              <a:ln w="9525" cap="flat" cmpd="sng" algn="ctr">
                <a:solidFill>
                  <a:schemeClr val="tx1">
                    <a:lumMod val="65000"/>
                    <a:lumOff val="35000"/>
                  </a:schemeClr>
                </a:solidFill>
                <a:round/>
              </a:ln>
              <a:effectLst/>
            </c:spPr>
          </c:errBars>
          <c:xVal>
            <c:numRef>
              <c:f>'Polymer RI standards '!$Q$3:$T$3</c:f>
              <c:numCache>
                <c:formatCode>0%</c:formatCode>
                <c:ptCount val="4"/>
                <c:pt idx="0">
                  <c:v>2.5000000000000001E-2</c:v>
                </c:pt>
                <c:pt idx="1">
                  <c:v>0.05</c:v>
                </c:pt>
                <c:pt idx="2">
                  <c:v>7.4999999999999997E-2</c:v>
                </c:pt>
                <c:pt idx="3">
                  <c:v>0.1</c:v>
                </c:pt>
              </c:numCache>
            </c:numRef>
          </c:xVal>
          <c:yVal>
            <c:numRef>
              <c:f>'Polymer RI standards '!$Q$7:$T$7</c:f>
              <c:numCache>
                <c:formatCode>0.0000</c:formatCode>
                <c:ptCount val="4"/>
                <c:pt idx="0">
                  <c:v>1.3363666666666667</c:v>
                </c:pt>
                <c:pt idx="1">
                  <c:v>1.3398000000000001</c:v>
                </c:pt>
                <c:pt idx="2">
                  <c:v>1.3433333333333335</c:v>
                </c:pt>
                <c:pt idx="3">
                  <c:v>1.3467666666666667</c:v>
                </c:pt>
              </c:numCache>
            </c:numRef>
          </c:yVal>
          <c:smooth val="0"/>
          <c:extLst>
            <c:ext xmlns:c16="http://schemas.microsoft.com/office/drawing/2014/chart" uri="{C3380CC4-5D6E-409C-BE32-E72D297353CC}">
              <c16:uniqueId val="{00000001-675C-4D10-B57E-22C668B523C8}"/>
            </c:ext>
          </c:extLst>
        </c:ser>
        <c:dLbls>
          <c:showLegendKey val="0"/>
          <c:showVal val="0"/>
          <c:showCatName val="0"/>
          <c:showSerName val="0"/>
          <c:showPercent val="0"/>
          <c:showBubbleSize val="0"/>
        </c:dLbls>
        <c:axId val="758055016"/>
        <c:axId val="758051736"/>
      </c:scatterChart>
      <c:valAx>
        <c:axId val="758055016"/>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a:t>PEG 12000 wt %</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8051736"/>
        <c:crosses val="autoZero"/>
        <c:crossBetween val="midCat"/>
      </c:valAx>
      <c:valAx>
        <c:axId val="7580517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a:t>RI</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8055016"/>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Standard curve for PEG 20000 conc. vs RI</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25400" cap="rnd">
              <a:noFill/>
              <a:round/>
            </a:ln>
            <a:effectLst/>
          </c:spPr>
          <c:marker>
            <c:symbol val="x"/>
            <c:size val="2"/>
            <c:spPr>
              <a:noFill/>
              <a:ln w="9525">
                <a:solidFill>
                  <a:schemeClr val="accent1"/>
                </a:solidFill>
              </a:ln>
              <a:effectLst/>
            </c:spPr>
          </c:marker>
          <c:trendline>
            <c:spPr>
              <a:ln w="19050" cap="rnd">
                <a:solidFill>
                  <a:schemeClr val="accent1"/>
                </a:solidFill>
                <a:prstDash val="sysDot"/>
              </a:ln>
              <a:effectLst/>
            </c:spPr>
            <c:trendlineType val="linear"/>
            <c:intercept val="1.333"/>
            <c:dispRSqr val="1"/>
            <c:dispEq val="1"/>
            <c:trendlineLbl>
              <c:layout>
                <c:manualLayout>
                  <c:x val="-1.0999562554680665E-2"/>
                  <c:y val="9.2592592592592587E-3"/>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errBars>
            <c:errDir val="y"/>
            <c:errBarType val="both"/>
            <c:errValType val="cust"/>
            <c:noEndCap val="0"/>
            <c:plus>
              <c:numRef>
                <c:f>'Polymer RI standards '!$K$8:$N$8</c:f>
                <c:numCache>
                  <c:formatCode>General</c:formatCode>
                  <c:ptCount val="4"/>
                  <c:pt idx="0">
                    <c:v>5.7735026918956222E-5</c:v>
                  </c:pt>
                  <c:pt idx="1">
                    <c:v>1.1547005383804064E-4</c:v>
                  </c:pt>
                  <c:pt idx="2">
                    <c:v>2.0816659994659034E-4</c:v>
                  </c:pt>
                  <c:pt idx="3">
                    <c:v>2.3094010767582489E-4</c:v>
                  </c:pt>
                </c:numCache>
              </c:numRef>
            </c:plus>
            <c:minus>
              <c:numRef>
                <c:f>'Polymer RI standards '!$K$8:$N$8</c:f>
                <c:numCache>
                  <c:formatCode>General</c:formatCode>
                  <c:ptCount val="4"/>
                  <c:pt idx="0">
                    <c:v>5.7735026918956222E-5</c:v>
                  </c:pt>
                  <c:pt idx="1">
                    <c:v>1.1547005383804064E-4</c:v>
                  </c:pt>
                  <c:pt idx="2">
                    <c:v>2.0816659994659034E-4</c:v>
                  </c:pt>
                  <c:pt idx="3">
                    <c:v>2.3094010767582489E-4</c:v>
                  </c:pt>
                </c:numCache>
              </c:numRef>
            </c:minus>
            <c:spPr>
              <a:noFill/>
              <a:ln w="9525" cap="flat" cmpd="sng" algn="ctr">
                <a:solidFill>
                  <a:schemeClr val="tx1">
                    <a:lumMod val="65000"/>
                    <a:lumOff val="35000"/>
                  </a:schemeClr>
                </a:solidFill>
                <a:round/>
              </a:ln>
              <a:effectLst/>
            </c:spPr>
          </c:errBars>
          <c:xVal>
            <c:numRef>
              <c:f>'Polymer RI standards '!$W$3:$Z$3</c:f>
              <c:numCache>
                <c:formatCode>General</c:formatCode>
                <c:ptCount val="4"/>
                <c:pt idx="0">
                  <c:v>2.5000000000000001E-2</c:v>
                </c:pt>
                <c:pt idx="1">
                  <c:v>0.05</c:v>
                </c:pt>
                <c:pt idx="2">
                  <c:v>7.4999999999999997E-2</c:v>
                </c:pt>
                <c:pt idx="3">
                  <c:v>0.1</c:v>
                </c:pt>
              </c:numCache>
            </c:numRef>
          </c:xVal>
          <c:yVal>
            <c:numRef>
              <c:f>'Polymer RI standards '!$W$7:$Z$7</c:f>
              <c:numCache>
                <c:formatCode>0.0000</c:formatCode>
                <c:ptCount val="4"/>
                <c:pt idx="0">
                  <c:v>1.3364</c:v>
                </c:pt>
                <c:pt idx="1">
                  <c:v>1.3398333333333337</c:v>
                </c:pt>
                <c:pt idx="2">
                  <c:v>1.3432999999999999</c:v>
                </c:pt>
                <c:pt idx="3">
                  <c:v>1.3468</c:v>
                </c:pt>
              </c:numCache>
            </c:numRef>
          </c:yVal>
          <c:smooth val="0"/>
          <c:extLst>
            <c:ext xmlns:c16="http://schemas.microsoft.com/office/drawing/2014/chart" uri="{C3380CC4-5D6E-409C-BE32-E72D297353CC}">
              <c16:uniqueId val="{00000001-8EE6-4BC6-84A6-BD40FAE16D12}"/>
            </c:ext>
          </c:extLst>
        </c:ser>
        <c:dLbls>
          <c:showLegendKey val="0"/>
          <c:showVal val="0"/>
          <c:showCatName val="0"/>
          <c:showSerName val="0"/>
          <c:showPercent val="0"/>
          <c:showBubbleSize val="0"/>
        </c:dLbls>
        <c:axId val="758055016"/>
        <c:axId val="758051736"/>
      </c:scatterChart>
      <c:valAx>
        <c:axId val="758055016"/>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a:t>PEG 20000 wt %</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8051736"/>
        <c:crosses val="autoZero"/>
        <c:crossBetween val="midCat"/>
      </c:valAx>
      <c:valAx>
        <c:axId val="7580517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a:t>RI</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8055016"/>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Standard curve for MDX concentration vs absorbance </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1905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intercept val="0"/>
            <c:dispRSqr val="1"/>
            <c:dispEq val="1"/>
            <c:trendlineLbl>
              <c:layout>
                <c:manualLayout>
                  <c:x val="2.2468066491688539E-2"/>
                  <c:y val="0.1477314814814815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errBars>
            <c:errDir val="y"/>
            <c:errBarType val="both"/>
            <c:errValType val="cust"/>
            <c:noEndCap val="0"/>
            <c:plus>
              <c:numRef>
                <c:f>'MDX concentration standards'!$D$4:$D$9</c:f>
                <c:numCache>
                  <c:formatCode>General</c:formatCode>
                  <c:ptCount val="6"/>
                  <c:pt idx="0">
                    <c:v>1.2489995996796798E-2</c:v>
                  </c:pt>
                  <c:pt idx="1">
                    <c:v>1.9857828011475308E-2</c:v>
                  </c:pt>
                  <c:pt idx="2">
                    <c:v>1.7320508075688791E-3</c:v>
                  </c:pt>
                  <c:pt idx="3">
                    <c:v>3.8935844667863539E-2</c:v>
                  </c:pt>
                  <c:pt idx="4">
                    <c:v>6.1101009266077439E-3</c:v>
                  </c:pt>
                  <c:pt idx="5">
                    <c:v>1.2897028081435337E-2</c:v>
                  </c:pt>
                </c:numCache>
              </c:numRef>
            </c:plus>
            <c:minus>
              <c:numRef>
                <c:f>'MDX concentration standards'!$D$4:$D$9</c:f>
                <c:numCache>
                  <c:formatCode>General</c:formatCode>
                  <c:ptCount val="6"/>
                  <c:pt idx="0">
                    <c:v>1.2489995996796798E-2</c:v>
                  </c:pt>
                  <c:pt idx="1">
                    <c:v>1.9857828011475308E-2</c:v>
                  </c:pt>
                  <c:pt idx="2">
                    <c:v>1.7320508075688791E-3</c:v>
                  </c:pt>
                  <c:pt idx="3">
                    <c:v>3.8935844667863539E-2</c:v>
                  </c:pt>
                  <c:pt idx="4">
                    <c:v>6.1101009266077439E-3</c:v>
                  </c:pt>
                  <c:pt idx="5">
                    <c:v>1.2897028081435337E-2</c:v>
                  </c:pt>
                </c:numCache>
              </c:numRef>
            </c:minus>
            <c:spPr>
              <a:noFill/>
              <a:ln w="9525" cap="flat" cmpd="sng" algn="ctr">
                <a:solidFill>
                  <a:schemeClr val="tx1">
                    <a:lumMod val="65000"/>
                    <a:lumOff val="35000"/>
                  </a:schemeClr>
                </a:solidFill>
                <a:round/>
              </a:ln>
              <a:effectLst/>
            </c:spPr>
          </c:errBars>
          <c:xVal>
            <c:numRef>
              <c:f>'MDX concentration standards'!$B$4:$B$9</c:f>
              <c:numCache>
                <c:formatCode>0.000</c:formatCode>
                <c:ptCount val="6"/>
                <c:pt idx="0">
                  <c:v>0</c:v>
                </c:pt>
                <c:pt idx="1">
                  <c:v>10</c:v>
                </c:pt>
                <c:pt idx="2">
                  <c:v>25</c:v>
                </c:pt>
                <c:pt idx="3">
                  <c:v>50</c:v>
                </c:pt>
                <c:pt idx="4">
                  <c:v>75</c:v>
                </c:pt>
                <c:pt idx="5">
                  <c:v>100</c:v>
                </c:pt>
              </c:numCache>
            </c:numRef>
          </c:xVal>
          <c:yVal>
            <c:numRef>
              <c:f>'MDX concentration standards'!$C$4:$C$9</c:f>
              <c:numCache>
                <c:formatCode>0.000</c:formatCode>
                <c:ptCount val="6"/>
                <c:pt idx="0">
                  <c:v>0.01</c:v>
                </c:pt>
                <c:pt idx="1">
                  <c:v>0.10666666666666667</c:v>
                </c:pt>
                <c:pt idx="2">
                  <c:v>0.25900000000000001</c:v>
                </c:pt>
                <c:pt idx="3">
                  <c:v>0.55500000000000005</c:v>
                </c:pt>
                <c:pt idx="4">
                  <c:v>0.81433333333333324</c:v>
                </c:pt>
                <c:pt idx="5">
                  <c:v>1.1223333333333334</c:v>
                </c:pt>
              </c:numCache>
            </c:numRef>
          </c:yVal>
          <c:smooth val="0"/>
          <c:extLst>
            <c:ext xmlns:c16="http://schemas.microsoft.com/office/drawing/2014/chart" uri="{C3380CC4-5D6E-409C-BE32-E72D297353CC}">
              <c16:uniqueId val="{00000000-E380-4E6B-9494-E2B4FC594E33}"/>
            </c:ext>
          </c:extLst>
        </c:ser>
        <c:dLbls>
          <c:showLegendKey val="0"/>
          <c:showVal val="0"/>
          <c:showCatName val="0"/>
          <c:showSerName val="0"/>
          <c:showPercent val="0"/>
          <c:showBubbleSize val="0"/>
        </c:dLbls>
        <c:axId val="590699784"/>
        <c:axId val="588661592"/>
      </c:scatterChart>
      <c:valAx>
        <c:axId val="590699784"/>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a:t>MDX in 2 mL (</a:t>
                </a:r>
                <a:r>
                  <a:rPr lang="en-ZA">
                    <a:latin typeface="Arial" panose="020B0604020202020204" pitchFamily="34" charset="0"/>
                    <a:cs typeface="Arial" panose="020B0604020202020204" pitchFamily="34" charset="0"/>
                  </a:rPr>
                  <a:t>µg)</a:t>
                </a:r>
                <a:endParaRPr lang="en-ZA"/>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88661592"/>
        <c:crosses val="autoZero"/>
        <c:crossBetween val="midCat"/>
      </c:valAx>
      <c:valAx>
        <c:axId val="588661592"/>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a:t>Absorbance at 488 nm</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90699784"/>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Standard curve for MDX concentration vs absorbance 1</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1905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intercept val="0"/>
            <c:dispRSqr val="1"/>
            <c:dispEq val="1"/>
            <c:trendlineLbl>
              <c:layout>
                <c:manualLayout>
                  <c:x val="2.2468066491688539E-2"/>
                  <c:y val="0.1477314814814815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errBars>
            <c:errDir val="y"/>
            <c:errBarType val="both"/>
            <c:errValType val="cust"/>
            <c:noEndCap val="0"/>
            <c:plus>
              <c:numRef>
                <c:f>'MDX standards (new solution)'!$D$4:$D$9</c:f>
                <c:numCache>
                  <c:formatCode>General</c:formatCode>
                  <c:ptCount val="6"/>
                  <c:pt idx="0">
                    <c:v>2.0647840887931441E-2</c:v>
                  </c:pt>
                  <c:pt idx="1">
                    <c:v>2.025668613898465E-2</c:v>
                  </c:pt>
                  <c:pt idx="2">
                    <c:v>2.9512709126747437E-2</c:v>
                  </c:pt>
                  <c:pt idx="3">
                    <c:v>2.4556058315617385E-2</c:v>
                  </c:pt>
                  <c:pt idx="4">
                    <c:v>7.9663877217552831E-2</c:v>
                  </c:pt>
                  <c:pt idx="5">
                    <c:v>5.4341512676774097E-2</c:v>
                  </c:pt>
                </c:numCache>
              </c:numRef>
            </c:plus>
            <c:minus>
              <c:numRef>
                <c:f>'MDX standards (new solution)'!$D$4:$D$9</c:f>
                <c:numCache>
                  <c:formatCode>General</c:formatCode>
                  <c:ptCount val="6"/>
                  <c:pt idx="0">
                    <c:v>2.0647840887931441E-2</c:v>
                  </c:pt>
                  <c:pt idx="1">
                    <c:v>2.025668613898465E-2</c:v>
                  </c:pt>
                  <c:pt idx="2">
                    <c:v>2.9512709126747437E-2</c:v>
                  </c:pt>
                  <c:pt idx="3">
                    <c:v>2.4556058315617385E-2</c:v>
                  </c:pt>
                  <c:pt idx="4">
                    <c:v>7.9663877217552831E-2</c:v>
                  </c:pt>
                  <c:pt idx="5">
                    <c:v>5.4341512676774097E-2</c:v>
                  </c:pt>
                </c:numCache>
              </c:numRef>
            </c:minus>
            <c:spPr>
              <a:noFill/>
              <a:ln w="9525" cap="flat" cmpd="sng" algn="ctr">
                <a:solidFill>
                  <a:schemeClr val="tx1">
                    <a:lumMod val="65000"/>
                    <a:lumOff val="35000"/>
                  </a:schemeClr>
                </a:solidFill>
                <a:round/>
              </a:ln>
              <a:effectLst/>
            </c:spPr>
          </c:errBars>
          <c:xVal>
            <c:numRef>
              <c:f>'MDX standards (new solution)'!$B$4:$B$9</c:f>
              <c:numCache>
                <c:formatCode>0.000</c:formatCode>
                <c:ptCount val="6"/>
                <c:pt idx="0">
                  <c:v>20.266666666666669</c:v>
                </c:pt>
                <c:pt idx="1">
                  <c:v>41.733333333333334</c:v>
                </c:pt>
                <c:pt idx="2">
                  <c:v>61.63333333333334</c:v>
                </c:pt>
                <c:pt idx="3">
                  <c:v>102.93333333333332</c:v>
                </c:pt>
                <c:pt idx="4">
                  <c:v>144.33333333333334</c:v>
                </c:pt>
                <c:pt idx="5">
                  <c:v>187.13333333333335</c:v>
                </c:pt>
              </c:numCache>
            </c:numRef>
          </c:xVal>
          <c:yVal>
            <c:numRef>
              <c:f>'MDX standards (new solution)'!$C$4:$C$9</c:f>
              <c:numCache>
                <c:formatCode>0.000</c:formatCode>
                <c:ptCount val="6"/>
                <c:pt idx="0">
                  <c:v>0.21366666666666667</c:v>
                </c:pt>
                <c:pt idx="1">
                  <c:v>0.42766666666666664</c:v>
                </c:pt>
                <c:pt idx="2">
                  <c:v>0.63900000000000012</c:v>
                </c:pt>
                <c:pt idx="3">
                  <c:v>1.1059999999999999</c:v>
                </c:pt>
                <c:pt idx="4">
                  <c:v>1.4843333333333331</c:v>
                </c:pt>
                <c:pt idx="5">
                  <c:v>1.9530000000000001</c:v>
                </c:pt>
              </c:numCache>
            </c:numRef>
          </c:yVal>
          <c:smooth val="0"/>
          <c:extLst>
            <c:ext xmlns:c16="http://schemas.microsoft.com/office/drawing/2014/chart" uri="{C3380CC4-5D6E-409C-BE32-E72D297353CC}">
              <c16:uniqueId val="{00000001-14B3-4896-B6CC-6FF4EA1E35FF}"/>
            </c:ext>
          </c:extLst>
        </c:ser>
        <c:dLbls>
          <c:showLegendKey val="0"/>
          <c:showVal val="0"/>
          <c:showCatName val="0"/>
          <c:showSerName val="0"/>
          <c:showPercent val="0"/>
          <c:showBubbleSize val="0"/>
        </c:dLbls>
        <c:axId val="590699784"/>
        <c:axId val="588661592"/>
      </c:scatterChart>
      <c:valAx>
        <c:axId val="590699784"/>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a:t>MDX in 2 mL (</a:t>
                </a:r>
                <a:r>
                  <a:rPr lang="en-ZA">
                    <a:latin typeface="Arial" panose="020B0604020202020204" pitchFamily="34" charset="0"/>
                    <a:cs typeface="Arial" panose="020B0604020202020204" pitchFamily="34" charset="0"/>
                  </a:rPr>
                  <a:t>µg)</a:t>
                </a:r>
                <a:endParaRPr lang="en-ZA"/>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88661592"/>
        <c:crosses val="autoZero"/>
        <c:crossBetween val="midCat"/>
      </c:valAx>
      <c:valAx>
        <c:axId val="588661592"/>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a:t>Absorbance at 488 nm</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90699784"/>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Standard curve for MDX concentration vs absorbance</a:t>
            </a:r>
            <a:r>
              <a:rPr lang="en-ZA" baseline="0"/>
              <a:t> 2</a:t>
            </a:r>
            <a:endParaRPr lang="en-ZA"/>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intercept val="0"/>
            <c:dispRSqr val="1"/>
            <c:dispEq val="1"/>
            <c:trendlineLbl>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errBars>
            <c:errDir val="x"/>
            <c:errBarType val="both"/>
            <c:errValType val="cust"/>
            <c:noEndCap val="0"/>
            <c:plus>
              <c:numRef>
                <c:f>'MDX standards (new solution)'!$C$34:$F$34</c:f>
                <c:numCache>
                  <c:formatCode>General</c:formatCode>
                  <c:ptCount val="4"/>
                  <c:pt idx="0">
                    <c:v>0.93525831918772317</c:v>
                  </c:pt>
                  <c:pt idx="1">
                    <c:v>0.70144373939079308</c:v>
                  </c:pt>
                  <c:pt idx="2">
                    <c:v>1.2093727968263459</c:v>
                  </c:pt>
                  <c:pt idx="3">
                    <c:v>0.60468639841317295</c:v>
                  </c:pt>
                </c:numCache>
              </c:numRef>
            </c:plus>
            <c:minus>
              <c:numRef>
                <c:f>'MDX standards (new solution)'!$C$34:$F$34</c:f>
                <c:numCache>
                  <c:formatCode>General</c:formatCode>
                  <c:ptCount val="4"/>
                  <c:pt idx="0">
                    <c:v>0.93525831918772317</c:v>
                  </c:pt>
                  <c:pt idx="1">
                    <c:v>0.70144373939079308</c:v>
                  </c:pt>
                  <c:pt idx="2">
                    <c:v>1.2093727968263459</c:v>
                  </c:pt>
                  <c:pt idx="3">
                    <c:v>0.60468639841317295</c:v>
                  </c:pt>
                </c:numCache>
              </c:numRef>
            </c:minus>
            <c:spPr>
              <a:noFill/>
              <a:ln w="9525" cap="flat" cmpd="sng" algn="ctr">
                <a:solidFill>
                  <a:schemeClr val="tx1">
                    <a:lumMod val="65000"/>
                    <a:lumOff val="35000"/>
                  </a:schemeClr>
                </a:solidFill>
                <a:round/>
              </a:ln>
              <a:effectLst/>
            </c:spPr>
          </c:errBars>
          <c:errBars>
            <c:errDir val="y"/>
            <c:errBarType val="both"/>
            <c:errValType val="cust"/>
            <c:noEndCap val="0"/>
            <c:plus>
              <c:numRef>
                <c:f>'MDX standards (new solution)'!$C$26:$F$26</c:f>
                <c:numCache>
                  <c:formatCode>General</c:formatCode>
                  <c:ptCount val="4"/>
                  <c:pt idx="0">
                    <c:v>2.4337899115029052E-2</c:v>
                  </c:pt>
                  <c:pt idx="1">
                    <c:v>6.557438524302006E-3</c:v>
                  </c:pt>
                  <c:pt idx="2">
                    <c:v>8.5049005481153579E-3</c:v>
                  </c:pt>
                  <c:pt idx="3">
                    <c:v>1.1930353445448849E-2</c:v>
                  </c:pt>
                </c:numCache>
              </c:numRef>
            </c:plus>
            <c:minus>
              <c:numRef>
                <c:f>'MDX standards (new solution)'!$C$26:$F$26</c:f>
                <c:numCache>
                  <c:formatCode>General</c:formatCode>
                  <c:ptCount val="4"/>
                  <c:pt idx="0">
                    <c:v>2.4337899115029052E-2</c:v>
                  </c:pt>
                  <c:pt idx="1">
                    <c:v>6.557438524302006E-3</c:v>
                  </c:pt>
                  <c:pt idx="2">
                    <c:v>8.5049005481153579E-3</c:v>
                  </c:pt>
                  <c:pt idx="3">
                    <c:v>1.1930353445448849E-2</c:v>
                  </c:pt>
                </c:numCache>
              </c:numRef>
            </c:minus>
            <c:spPr>
              <a:noFill/>
              <a:ln w="9525" cap="flat" cmpd="sng" algn="ctr">
                <a:solidFill>
                  <a:schemeClr val="tx1">
                    <a:lumMod val="65000"/>
                    <a:lumOff val="35000"/>
                  </a:schemeClr>
                </a:solidFill>
                <a:round/>
              </a:ln>
              <a:effectLst/>
            </c:spPr>
          </c:errBars>
          <c:xVal>
            <c:numRef>
              <c:f>'MDX standards (new solution)'!$C$33:$F$33</c:f>
              <c:numCache>
                <c:formatCode>0.000</c:formatCode>
                <c:ptCount val="4"/>
                <c:pt idx="0">
                  <c:v>92.176113190871135</c:v>
                </c:pt>
                <c:pt idx="1">
                  <c:v>69.132084893153333</c:v>
                </c:pt>
                <c:pt idx="2">
                  <c:v>46.657387136150668</c:v>
                </c:pt>
                <c:pt idx="3">
                  <c:v>23.328693568075334</c:v>
                </c:pt>
              </c:numCache>
            </c:numRef>
          </c:xVal>
          <c:yVal>
            <c:numRef>
              <c:f>'MDX standards (new solution)'!$C$25:$F$25</c:f>
              <c:numCache>
                <c:formatCode>0.000</c:formatCode>
                <c:ptCount val="4"/>
                <c:pt idx="0">
                  <c:v>0.94766666666666666</c:v>
                </c:pt>
                <c:pt idx="1">
                  <c:v>0.71</c:v>
                </c:pt>
                <c:pt idx="2">
                  <c:v>0.46966666666666662</c:v>
                </c:pt>
                <c:pt idx="3">
                  <c:v>0.24766666666666667</c:v>
                </c:pt>
              </c:numCache>
            </c:numRef>
          </c:yVal>
          <c:smooth val="0"/>
          <c:extLst>
            <c:ext xmlns:c16="http://schemas.microsoft.com/office/drawing/2014/chart" uri="{C3380CC4-5D6E-409C-BE32-E72D297353CC}">
              <c16:uniqueId val="{00000000-947A-4F7D-90AB-4CE3A4A53882}"/>
            </c:ext>
          </c:extLst>
        </c:ser>
        <c:dLbls>
          <c:showLegendKey val="0"/>
          <c:showVal val="0"/>
          <c:showCatName val="0"/>
          <c:showSerName val="0"/>
          <c:showPercent val="0"/>
          <c:showBubbleSize val="0"/>
        </c:dLbls>
        <c:axId val="611082136"/>
        <c:axId val="611082464"/>
      </c:scatterChart>
      <c:valAx>
        <c:axId val="611082136"/>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a:t>MDX amount (ug)</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11082464"/>
        <c:crosses val="autoZero"/>
        <c:crossBetween val="midCat"/>
      </c:valAx>
      <c:valAx>
        <c:axId val="61108246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a:t>Absorbance at 488 nm</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11082136"/>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Phase diagram PEG 12000 - MDX</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25400" cap="rnd">
              <a:noFill/>
              <a:round/>
            </a:ln>
            <a:effectLst/>
          </c:spPr>
          <c:marker>
            <c:symbol val="circle"/>
            <c:size val="5"/>
            <c:spPr>
              <a:solidFill>
                <a:schemeClr val="accent5"/>
              </a:solidFill>
              <a:ln w="9525">
                <a:noFill/>
              </a:ln>
              <a:effectLst/>
            </c:spPr>
          </c:marker>
          <c:errBars>
            <c:errDir val="x"/>
            <c:errBarType val="both"/>
            <c:errValType val="cust"/>
            <c:noEndCap val="0"/>
            <c:plus>
              <c:numRef>
                <c:f>'PEG-MDX results summary'!$T$22:$T$31</c:f>
                <c:numCache>
                  <c:formatCode>General</c:formatCode>
                  <c:ptCount val="10"/>
                  <c:pt idx="0">
                    <c:v>8.8993276985716002E-3</c:v>
                  </c:pt>
                  <c:pt idx="1">
                    <c:v>1.6711601382036355E-3</c:v>
                  </c:pt>
                  <c:pt idx="2">
                    <c:v>3.8102257089076626E-3</c:v>
                  </c:pt>
                  <c:pt idx="3">
                    <c:v>2.1439710211055056E-2</c:v>
                  </c:pt>
                  <c:pt idx="4">
                    <c:v>8.9856538729373367E-3</c:v>
                  </c:pt>
                  <c:pt idx="5">
                    <c:v>3.0153006806095919E-2</c:v>
                  </c:pt>
                  <c:pt idx="6">
                    <c:v>2.7918980911004337E-3</c:v>
                  </c:pt>
                  <c:pt idx="7">
                    <c:v>1.2206521335958367E-2</c:v>
                  </c:pt>
                  <c:pt idx="8">
                    <c:v>9.7433656926237747E-3</c:v>
                  </c:pt>
                  <c:pt idx="9">
                    <c:v>6.0159525913579103E-3</c:v>
                  </c:pt>
                </c:numCache>
              </c:numRef>
            </c:plus>
            <c:minus>
              <c:numRef>
                <c:f>'PEG-MDX results summary'!$T$22:$T$31</c:f>
                <c:numCache>
                  <c:formatCode>General</c:formatCode>
                  <c:ptCount val="10"/>
                  <c:pt idx="0">
                    <c:v>8.8993276985716002E-3</c:v>
                  </c:pt>
                  <c:pt idx="1">
                    <c:v>1.6711601382036355E-3</c:v>
                  </c:pt>
                  <c:pt idx="2">
                    <c:v>3.8102257089076626E-3</c:v>
                  </c:pt>
                  <c:pt idx="3">
                    <c:v>2.1439710211055056E-2</c:v>
                  </c:pt>
                  <c:pt idx="4">
                    <c:v>8.9856538729373367E-3</c:v>
                  </c:pt>
                  <c:pt idx="5">
                    <c:v>3.0153006806095919E-2</c:v>
                  </c:pt>
                  <c:pt idx="6">
                    <c:v>2.7918980911004337E-3</c:v>
                  </c:pt>
                  <c:pt idx="7">
                    <c:v>1.2206521335958367E-2</c:v>
                  </c:pt>
                  <c:pt idx="8">
                    <c:v>9.7433656926237747E-3</c:v>
                  </c:pt>
                  <c:pt idx="9">
                    <c:v>6.0159525913579103E-3</c:v>
                  </c:pt>
                </c:numCache>
              </c:numRef>
            </c:minus>
            <c:spPr>
              <a:noFill/>
              <a:ln w="9525" cap="flat" cmpd="sng" algn="ctr">
                <a:solidFill>
                  <a:schemeClr val="tx1">
                    <a:lumMod val="65000"/>
                    <a:lumOff val="35000"/>
                  </a:schemeClr>
                </a:solidFill>
                <a:round/>
              </a:ln>
              <a:effectLst/>
            </c:spPr>
          </c:errBars>
          <c:errBars>
            <c:errDir val="y"/>
            <c:errBarType val="both"/>
            <c:errValType val="cust"/>
            <c:noEndCap val="0"/>
            <c:plus>
              <c:numRef>
                <c:f>'PEG-MDX results summary'!$V$22:$V$31</c:f>
                <c:numCache>
                  <c:formatCode>General</c:formatCode>
                  <c:ptCount val="10"/>
                  <c:pt idx="0">
                    <c:v>1.113975451715027E-2</c:v>
                  </c:pt>
                  <c:pt idx="1">
                    <c:v>1.716228676927848E-3</c:v>
                  </c:pt>
                  <c:pt idx="2">
                    <c:v>2.8345958453633788E-3</c:v>
                  </c:pt>
                  <c:pt idx="3">
                    <c:v>2.3367562882452106E-2</c:v>
                  </c:pt>
                  <c:pt idx="4">
                    <c:v>1.2260439706692014E-2</c:v>
                  </c:pt>
                  <c:pt idx="5">
                    <c:v>3.0599044695490751E-2</c:v>
                  </c:pt>
                  <c:pt idx="6">
                    <c:v>2.7922400337770225E-3</c:v>
                  </c:pt>
                  <c:pt idx="7">
                    <c:v>9.5819862998198207E-3</c:v>
                  </c:pt>
                  <c:pt idx="8">
                    <c:v>9.6012206840775105E-3</c:v>
                  </c:pt>
                  <c:pt idx="9">
                    <c:v>9.3172366401192506E-3</c:v>
                  </c:pt>
                </c:numCache>
              </c:numRef>
            </c:plus>
            <c:minus>
              <c:numRef>
                <c:f>'PEG-MDX results summary'!$V$22:$V$31</c:f>
                <c:numCache>
                  <c:formatCode>General</c:formatCode>
                  <c:ptCount val="10"/>
                  <c:pt idx="0">
                    <c:v>1.113975451715027E-2</c:v>
                  </c:pt>
                  <c:pt idx="1">
                    <c:v>1.716228676927848E-3</c:v>
                  </c:pt>
                  <c:pt idx="2">
                    <c:v>2.8345958453633788E-3</c:v>
                  </c:pt>
                  <c:pt idx="3">
                    <c:v>2.3367562882452106E-2</c:v>
                  </c:pt>
                  <c:pt idx="4">
                    <c:v>1.2260439706692014E-2</c:v>
                  </c:pt>
                  <c:pt idx="5">
                    <c:v>3.0599044695490751E-2</c:v>
                  </c:pt>
                  <c:pt idx="6">
                    <c:v>2.7922400337770225E-3</c:v>
                  </c:pt>
                  <c:pt idx="7">
                    <c:v>9.5819862998198207E-3</c:v>
                  </c:pt>
                  <c:pt idx="8">
                    <c:v>9.6012206840775105E-3</c:v>
                  </c:pt>
                  <c:pt idx="9">
                    <c:v>9.3172366401192506E-3</c:v>
                  </c:pt>
                </c:numCache>
              </c:numRef>
            </c:minus>
            <c:spPr>
              <a:noFill/>
              <a:ln w="9525" cap="flat" cmpd="sng" algn="ctr">
                <a:solidFill>
                  <a:schemeClr val="tx1">
                    <a:lumMod val="65000"/>
                    <a:lumOff val="35000"/>
                  </a:schemeClr>
                </a:solidFill>
                <a:round/>
              </a:ln>
              <a:effectLst/>
            </c:spPr>
          </c:errBars>
          <c:xVal>
            <c:numRef>
              <c:f>'PEG-MDX results summary'!$S$22:$S$31</c:f>
              <c:numCache>
                <c:formatCode>0.0%</c:formatCode>
                <c:ptCount val="10"/>
                <c:pt idx="0">
                  <c:v>0.17720705010776616</c:v>
                </c:pt>
                <c:pt idx="1">
                  <c:v>0.34554341064230315</c:v>
                </c:pt>
                <c:pt idx="2">
                  <c:v>0.15700016117635504</c:v>
                </c:pt>
                <c:pt idx="3">
                  <c:v>0.42912956622280746</c:v>
                </c:pt>
                <c:pt idx="4">
                  <c:v>0.1273460846302151</c:v>
                </c:pt>
                <c:pt idx="5">
                  <c:v>0.56385117312134425</c:v>
                </c:pt>
                <c:pt idx="6">
                  <c:v>0.11217741051405894</c:v>
                </c:pt>
                <c:pt idx="7">
                  <c:v>0.62623819397190306</c:v>
                </c:pt>
                <c:pt idx="8">
                  <c:v>0.15213594567873995</c:v>
                </c:pt>
                <c:pt idx="9">
                  <c:v>0.47410315860533686</c:v>
                </c:pt>
              </c:numCache>
            </c:numRef>
          </c:xVal>
          <c:yVal>
            <c:numRef>
              <c:f>'PEG-MDX results summary'!$U$22:$U$31</c:f>
              <c:numCache>
                <c:formatCode>0.0%</c:formatCode>
                <c:ptCount val="10"/>
                <c:pt idx="0">
                  <c:v>7.1653624479604452E-2</c:v>
                </c:pt>
                <c:pt idx="1">
                  <c:v>1E-3</c:v>
                </c:pt>
                <c:pt idx="2">
                  <c:v>0.13116430539687685</c:v>
                </c:pt>
                <c:pt idx="3">
                  <c:v>1E-3</c:v>
                </c:pt>
                <c:pt idx="4">
                  <c:v>0.24977483246073254</c:v>
                </c:pt>
                <c:pt idx="5">
                  <c:v>1E-3</c:v>
                </c:pt>
                <c:pt idx="6">
                  <c:v>0.31725463897325273</c:v>
                </c:pt>
                <c:pt idx="7">
                  <c:v>1E-3</c:v>
                </c:pt>
                <c:pt idx="8">
                  <c:v>0.17602279632989112</c:v>
                </c:pt>
                <c:pt idx="9">
                  <c:v>1E-3</c:v>
                </c:pt>
              </c:numCache>
            </c:numRef>
          </c:yVal>
          <c:smooth val="0"/>
          <c:extLst>
            <c:ext xmlns:c16="http://schemas.microsoft.com/office/drawing/2014/chart" uri="{C3380CC4-5D6E-409C-BE32-E72D297353CC}">
              <c16:uniqueId val="{00000000-B075-4CD1-96AF-52B5B1B05546}"/>
            </c:ext>
          </c:extLst>
        </c:ser>
        <c:dLbls>
          <c:showLegendKey val="0"/>
          <c:showVal val="0"/>
          <c:showCatName val="0"/>
          <c:showSerName val="0"/>
          <c:showPercent val="0"/>
          <c:showBubbleSize val="0"/>
        </c:dLbls>
        <c:axId val="624976296"/>
        <c:axId val="624975640"/>
      </c:scatterChart>
      <c:valAx>
        <c:axId val="62497629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sz="1000" b="0" i="0" u="none" strike="noStrike" baseline="0">
                    <a:effectLst/>
                  </a:rPr>
                  <a:t>MDX concentration (% w/w)</a:t>
                </a:r>
                <a:endParaRPr lang="en-ZA"/>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24975640"/>
        <c:crosses val="autoZero"/>
        <c:crossBetween val="midCat"/>
      </c:valAx>
      <c:valAx>
        <c:axId val="624975640"/>
        <c:scaling>
          <c:orientation val="minMax"/>
          <c:min val="0"/>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sz="1000" b="0" i="0" u="none" strike="noStrike" baseline="0">
                    <a:effectLst/>
                  </a:rPr>
                  <a:t>PEG 12000 concentration (% w/w)</a:t>
                </a:r>
                <a:endParaRPr lang="en-ZA"/>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24976296"/>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ZA"/>
              <a:t>Phase diagrams produced</a:t>
            </a:r>
            <a:r>
              <a:rPr lang="en-ZA" baseline="0"/>
              <a:t> in literature comparison</a:t>
            </a:r>
            <a:endParaRPr lang="en-ZA"/>
          </a:p>
        </c:rich>
      </c:tx>
      <c:overlay val="0"/>
    </c:title>
    <c:autoTitleDeleted val="0"/>
    <c:plotArea>
      <c:layout>
        <c:manualLayout>
          <c:layoutTarget val="inner"/>
          <c:xMode val="edge"/>
          <c:yMode val="edge"/>
          <c:x val="0.13253380144058885"/>
          <c:y val="0.10084103141146832"/>
          <c:w val="0.80142136035792788"/>
          <c:h val="0.76342928422656675"/>
        </c:manualLayout>
      </c:layout>
      <c:scatterChart>
        <c:scatterStyle val="lineMarker"/>
        <c:varyColors val="0"/>
        <c:ser>
          <c:idx val="1"/>
          <c:order val="0"/>
          <c:tx>
            <c:v>1 - PEG 8000, MDX DE 15</c:v>
          </c:tx>
          <c:spPr>
            <a:ln w="19050">
              <a:noFill/>
            </a:ln>
          </c:spPr>
          <c:xVal>
            <c:numRef>
              <c:f>'Literature comparison'!$E$4:$E$9</c:f>
              <c:numCache>
                <c:formatCode>0%</c:formatCode>
                <c:ptCount val="6"/>
                <c:pt idx="0">
                  <c:v>0.14299999999999999</c:v>
                </c:pt>
                <c:pt idx="1">
                  <c:v>0.14299999999999999</c:v>
                </c:pt>
                <c:pt idx="2">
                  <c:v>0.13800000000000001</c:v>
                </c:pt>
                <c:pt idx="3">
                  <c:v>0.40200000000000002</c:v>
                </c:pt>
                <c:pt idx="4">
                  <c:v>0.42799999999999999</c:v>
                </c:pt>
                <c:pt idx="5">
                  <c:v>0.47799999999999998</c:v>
                </c:pt>
              </c:numCache>
            </c:numRef>
          </c:xVal>
          <c:yVal>
            <c:numRef>
              <c:f>'Literature comparison'!$F$4:$F$9</c:f>
              <c:numCache>
                <c:formatCode>0%</c:formatCode>
                <c:ptCount val="6"/>
                <c:pt idx="0">
                  <c:v>0.19400000000000001</c:v>
                </c:pt>
                <c:pt idx="1">
                  <c:v>0.15</c:v>
                </c:pt>
                <c:pt idx="2">
                  <c:v>0.128</c:v>
                </c:pt>
                <c:pt idx="3">
                  <c:v>0</c:v>
                </c:pt>
                <c:pt idx="4">
                  <c:v>1.2600000000000001E-3</c:v>
                </c:pt>
                <c:pt idx="5">
                  <c:v>0</c:v>
                </c:pt>
              </c:numCache>
            </c:numRef>
          </c:yVal>
          <c:smooth val="0"/>
          <c:extLst>
            <c:ext xmlns:c16="http://schemas.microsoft.com/office/drawing/2014/chart" uri="{C3380CC4-5D6E-409C-BE32-E72D297353CC}">
              <c16:uniqueId val="{00000012-FF54-459E-8415-0D853966DE13}"/>
            </c:ext>
          </c:extLst>
        </c:ser>
        <c:ser>
          <c:idx val="2"/>
          <c:order val="1"/>
          <c:tx>
            <c:v>2 - PEG 10000, MDX DE 22</c:v>
          </c:tx>
          <c:spPr>
            <a:ln w="19050">
              <a:noFill/>
            </a:ln>
          </c:spPr>
          <c:xVal>
            <c:numRef>
              <c:f>'Literature comparison'!$G$4:$G$11</c:f>
              <c:numCache>
                <c:formatCode>0%</c:formatCode>
                <c:ptCount val="8"/>
                <c:pt idx="0">
                  <c:v>0.18149999999999999</c:v>
                </c:pt>
                <c:pt idx="1">
                  <c:v>0.1731</c:v>
                </c:pt>
                <c:pt idx="2">
                  <c:v>0.1517</c:v>
                </c:pt>
                <c:pt idx="3">
                  <c:v>0.14560000000000001</c:v>
                </c:pt>
                <c:pt idx="4">
                  <c:v>0.53129999999999999</c:v>
                </c:pt>
                <c:pt idx="5">
                  <c:v>0.57599999999999996</c:v>
                </c:pt>
                <c:pt idx="6">
                  <c:v>0.58109999999999995</c:v>
                </c:pt>
                <c:pt idx="7">
                  <c:v>0.63400000000000001</c:v>
                </c:pt>
              </c:numCache>
            </c:numRef>
          </c:xVal>
          <c:yVal>
            <c:numRef>
              <c:f>'Literature comparison'!$H$4:$H$11</c:f>
              <c:numCache>
                <c:formatCode>0%</c:formatCode>
                <c:ptCount val="8"/>
                <c:pt idx="0">
                  <c:v>0.1875</c:v>
                </c:pt>
                <c:pt idx="1">
                  <c:v>0.23019999999999999</c:v>
                </c:pt>
                <c:pt idx="2">
                  <c:v>0.3014</c:v>
                </c:pt>
                <c:pt idx="3">
                  <c:v>0.32700000000000001</c:v>
                </c:pt>
                <c:pt idx="4">
                  <c:v>0</c:v>
                </c:pt>
                <c:pt idx="5">
                  <c:v>0</c:v>
                </c:pt>
                <c:pt idx="6">
                  <c:v>4.0000000000000002E-4</c:v>
                </c:pt>
                <c:pt idx="7">
                  <c:v>5.0000000000000001E-3</c:v>
                </c:pt>
              </c:numCache>
            </c:numRef>
          </c:yVal>
          <c:smooth val="0"/>
          <c:extLst>
            <c:ext xmlns:c16="http://schemas.microsoft.com/office/drawing/2014/chart" uri="{C3380CC4-5D6E-409C-BE32-E72D297353CC}">
              <c16:uniqueId val="{00000013-FF54-459E-8415-0D853966DE13}"/>
            </c:ext>
          </c:extLst>
        </c:ser>
        <c:ser>
          <c:idx val="3"/>
          <c:order val="2"/>
          <c:tx>
            <c:v>1 - PEG 8000, MDX DE 10.5</c:v>
          </c:tx>
          <c:spPr>
            <a:ln w="19050">
              <a:noFill/>
            </a:ln>
          </c:spPr>
          <c:xVal>
            <c:numRef>
              <c:f>'Literature comparison'!$C$4:$C$9</c:f>
              <c:numCache>
                <c:formatCode>0%</c:formatCode>
                <c:ptCount val="6"/>
                <c:pt idx="0">
                  <c:v>8.6099999999999996E-2</c:v>
                </c:pt>
                <c:pt idx="1">
                  <c:v>9.2700000000000005E-2</c:v>
                </c:pt>
                <c:pt idx="2">
                  <c:v>0.113</c:v>
                </c:pt>
                <c:pt idx="3">
                  <c:v>0.4</c:v>
                </c:pt>
                <c:pt idx="4">
                  <c:v>0.435</c:v>
                </c:pt>
                <c:pt idx="5">
                  <c:v>0.47199999999999998</c:v>
                </c:pt>
              </c:numCache>
            </c:numRef>
          </c:xVal>
          <c:yVal>
            <c:numRef>
              <c:f>'Literature comparison'!$D$4:$D$9</c:f>
              <c:numCache>
                <c:formatCode>0%</c:formatCode>
                <c:ptCount val="6"/>
                <c:pt idx="0">
                  <c:v>0.221</c:v>
                </c:pt>
                <c:pt idx="1">
                  <c:v>0.17899999999999999</c:v>
                </c:pt>
                <c:pt idx="2">
                  <c:v>0.13800000000000001</c:v>
                </c:pt>
                <c:pt idx="3">
                  <c:v>0</c:v>
                </c:pt>
                <c:pt idx="4">
                  <c:v>0</c:v>
                </c:pt>
                <c:pt idx="5">
                  <c:v>0</c:v>
                </c:pt>
              </c:numCache>
            </c:numRef>
          </c:yVal>
          <c:smooth val="0"/>
          <c:extLst>
            <c:ext xmlns:c16="http://schemas.microsoft.com/office/drawing/2014/chart" uri="{C3380CC4-5D6E-409C-BE32-E72D297353CC}">
              <c16:uniqueId val="{00000014-FF54-459E-8415-0D853966DE13}"/>
            </c:ext>
          </c:extLst>
        </c:ser>
        <c:ser>
          <c:idx val="4"/>
          <c:order val="3"/>
          <c:tx>
            <c:v>3 - PEG 10000, MDX ND</c:v>
          </c:tx>
          <c:spPr>
            <a:ln w="19050" cap="rnd">
              <a:noFill/>
              <a:round/>
            </a:ln>
            <a:effectLst/>
          </c:spPr>
          <c:xVal>
            <c:numRef>
              <c:f>'Literature comparison'!$I$4:$I$25</c:f>
              <c:numCache>
                <c:formatCode>0%</c:formatCode>
                <c:ptCount val="22"/>
                <c:pt idx="0">
                  <c:v>2.3300000000000001E-2</c:v>
                </c:pt>
                <c:pt idx="1">
                  <c:v>3.1800000000000002E-2</c:v>
                </c:pt>
                <c:pt idx="2">
                  <c:v>3.8100000000000002E-2</c:v>
                </c:pt>
                <c:pt idx="3">
                  <c:v>4.4499999999999998E-2</c:v>
                </c:pt>
                <c:pt idx="4">
                  <c:v>5.0799999999999998E-2</c:v>
                </c:pt>
                <c:pt idx="5">
                  <c:v>5.9299999999999999E-2</c:v>
                </c:pt>
                <c:pt idx="6">
                  <c:v>6.9900000000000004E-2</c:v>
                </c:pt>
                <c:pt idx="7">
                  <c:v>8.0500000000000002E-2</c:v>
                </c:pt>
                <c:pt idx="8">
                  <c:v>0.11</c:v>
                </c:pt>
                <c:pt idx="9">
                  <c:v>0.125</c:v>
                </c:pt>
                <c:pt idx="10">
                  <c:v>0.152</c:v>
                </c:pt>
                <c:pt idx="11">
                  <c:v>0.18</c:v>
                </c:pt>
                <c:pt idx="12">
                  <c:v>0.20799999999999999</c:v>
                </c:pt>
                <c:pt idx="13">
                  <c:v>0.23699999999999999</c:v>
                </c:pt>
                <c:pt idx="14">
                  <c:v>0.28199999999999997</c:v>
                </c:pt>
                <c:pt idx="15">
                  <c:v>0.313</c:v>
                </c:pt>
                <c:pt idx="16">
                  <c:v>0.34899999999999998</c:v>
                </c:pt>
                <c:pt idx="17">
                  <c:v>0.40699999999999997</c:v>
                </c:pt>
                <c:pt idx="18">
                  <c:v>0.47199999999999998</c:v>
                </c:pt>
                <c:pt idx="19">
                  <c:v>0.52700000000000002</c:v>
                </c:pt>
                <c:pt idx="20">
                  <c:v>0.57399999999999995</c:v>
                </c:pt>
                <c:pt idx="21">
                  <c:v>0.64400000000000002</c:v>
                </c:pt>
              </c:numCache>
            </c:numRef>
          </c:xVal>
          <c:yVal>
            <c:numRef>
              <c:f>'Literature comparison'!$J$4:$J$25</c:f>
              <c:numCache>
                <c:formatCode>0%</c:formatCode>
                <c:ptCount val="22"/>
                <c:pt idx="0">
                  <c:v>0.19</c:v>
                </c:pt>
                <c:pt idx="1">
                  <c:v>0.17699999999999999</c:v>
                </c:pt>
                <c:pt idx="2">
                  <c:v>0.16300000000000001</c:v>
                </c:pt>
                <c:pt idx="3">
                  <c:v>0.14599999999999999</c:v>
                </c:pt>
                <c:pt idx="4">
                  <c:v>0.13200000000000001</c:v>
                </c:pt>
                <c:pt idx="5">
                  <c:v>0.11700000000000001</c:v>
                </c:pt>
                <c:pt idx="6">
                  <c:v>0.104</c:v>
                </c:pt>
                <c:pt idx="7">
                  <c:v>9.0999999999999998E-2</c:v>
                </c:pt>
                <c:pt idx="8">
                  <c:v>7.9500000000000001E-2</c:v>
                </c:pt>
                <c:pt idx="9">
                  <c:v>6.9599999999999995E-2</c:v>
                </c:pt>
                <c:pt idx="10">
                  <c:v>5.7299999999999997E-2</c:v>
                </c:pt>
                <c:pt idx="11">
                  <c:v>4.4299999999999999E-2</c:v>
                </c:pt>
                <c:pt idx="12">
                  <c:v>3.3599999999999998E-2</c:v>
                </c:pt>
                <c:pt idx="13">
                  <c:v>2.5999999999999999E-2</c:v>
                </c:pt>
                <c:pt idx="14">
                  <c:v>1.83E-2</c:v>
                </c:pt>
                <c:pt idx="15">
                  <c:v>1.38E-2</c:v>
                </c:pt>
                <c:pt idx="16">
                  <c:v>9.1699999999999993E-3</c:v>
                </c:pt>
                <c:pt idx="17">
                  <c:v>3.82E-3</c:v>
                </c:pt>
                <c:pt idx="18">
                  <c:v>5.3499999999999997E-3</c:v>
                </c:pt>
                <c:pt idx="19">
                  <c:v>3.82E-3</c:v>
                </c:pt>
                <c:pt idx="20">
                  <c:v>3.0599999999999998E-3</c:v>
                </c:pt>
                <c:pt idx="21">
                  <c:v>1.5299999999999999E-3</c:v>
                </c:pt>
              </c:numCache>
            </c:numRef>
          </c:yVal>
          <c:smooth val="0"/>
          <c:extLst>
            <c:ext xmlns:c16="http://schemas.microsoft.com/office/drawing/2014/chart" uri="{C3380CC4-5D6E-409C-BE32-E72D297353CC}">
              <c16:uniqueId val="{00000015-FF54-459E-8415-0D853966DE13}"/>
            </c:ext>
          </c:extLst>
        </c:ser>
        <c:ser>
          <c:idx val="6"/>
          <c:order val="4"/>
          <c:tx>
            <c:v>Model</c:v>
          </c:tx>
          <c:spPr>
            <a:ln w="19050">
              <a:solidFill>
                <a:schemeClr val="accent2"/>
              </a:solidFill>
            </a:ln>
          </c:spPr>
          <c:marker>
            <c:symbol val="none"/>
          </c:marker>
          <c:xVal>
            <c:numRef>
              <c:f>'Phase diagram models'!$E$57:$E$88</c:f>
              <c:numCache>
                <c:formatCode>General</c:formatCode>
                <c:ptCount val="32"/>
                <c:pt idx="0">
                  <c:v>0.11</c:v>
                </c:pt>
                <c:pt idx="1">
                  <c:v>0.115</c:v>
                </c:pt>
                <c:pt idx="2">
                  <c:v>0.123</c:v>
                </c:pt>
                <c:pt idx="3">
                  <c:v>0.13</c:v>
                </c:pt>
                <c:pt idx="4">
                  <c:v>0.14000000000000001</c:v>
                </c:pt>
                <c:pt idx="5">
                  <c:v>0.15</c:v>
                </c:pt>
                <c:pt idx="6">
                  <c:v>0.16</c:v>
                </c:pt>
                <c:pt idx="7">
                  <c:v>0.17</c:v>
                </c:pt>
                <c:pt idx="8">
                  <c:v>0.18</c:v>
                </c:pt>
                <c:pt idx="9">
                  <c:v>0.19</c:v>
                </c:pt>
                <c:pt idx="10">
                  <c:v>0.2</c:v>
                </c:pt>
                <c:pt idx="11">
                  <c:v>0.22</c:v>
                </c:pt>
                <c:pt idx="12">
                  <c:v>0.24</c:v>
                </c:pt>
                <c:pt idx="13">
                  <c:v>0.26</c:v>
                </c:pt>
                <c:pt idx="14">
                  <c:v>0.28000000000000003</c:v>
                </c:pt>
                <c:pt idx="15">
                  <c:v>0.3</c:v>
                </c:pt>
                <c:pt idx="16">
                  <c:v>0.32</c:v>
                </c:pt>
                <c:pt idx="17">
                  <c:v>0.34</c:v>
                </c:pt>
                <c:pt idx="18">
                  <c:v>0.36</c:v>
                </c:pt>
                <c:pt idx="19">
                  <c:v>0.38</c:v>
                </c:pt>
                <c:pt idx="20">
                  <c:v>0.4</c:v>
                </c:pt>
                <c:pt idx="21">
                  <c:v>0.43</c:v>
                </c:pt>
                <c:pt idx="22">
                  <c:v>0.46</c:v>
                </c:pt>
                <c:pt idx="23">
                  <c:v>0.49</c:v>
                </c:pt>
                <c:pt idx="24">
                  <c:v>0.52</c:v>
                </c:pt>
                <c:pt idx="25">
                  <c:v>0.55000000000000004</c:v>
                </c:pt>
                <c:pt idx="26">
                  <c:v>0.57999999999999996</c:v>
                </c:pt>
                <c:pt idx="27">
                  <c:v>0.61</c:v>
                </c:pt>
                <c:pt idx="28">
                  <c:v>0.64</c:v>
                </c:pt>
                <c:pt idx="29">
                  <c:v>0.67</c:v>
                </c:pt>
                <c:pt idx="30">
                  <c:v>0.7</c:v>
                </c:pt>
                <c:pt idx="31">
                  <c:v>0.73</c:v>
                </c:pt>
              </c:numCache>
            </c:numRef>
          </c:xVal>
          <c:yVal>
            <c:numRef>
              <c:f>'Phase diagram models'!$F$57:$F$88</c:f>
              <c:numCache>
                <c:formatCode>0.000</c:formatCode>
                <c:ptCount val="32"/>
                <c:pt idx="0">
                  <c:v>0.3275002865484079</c:v>
                </c:pt>
                <c:pt idx="1">
                  <c:v>0.30639656858904041</c:v>
                </c:pt>
                <c:pt idx="2">
                  <c:v>0.27238220371836375</c:v>
                </c:pt>
                <c:pt idx="3">
                  <c:v>0.24282689775802599</c:v>
                </c:pt>
                <c:pt idx="4">
                  <c:v>0.20187141942768991</c:v>
                </c:pt>
                <c:pt idx="5">
                  <c:v>0.16351243291473397</c:v>
                </c:pt>
                <c:pt idx="6">
                  <c:v>0.12879089380669678</c:v>
                </c:pt>
                <c:pt idx="7">
                  <c:v>9.8455815886067888E-2</c:v>
                </c:pt>
                <c:pt idx="8">
                  <c:v>7.2909670187161713E-2</c:v>
                </c:pt>
                <c:pt idx="9">
                  <c:v>5.2201619914995147E-2</c:v>
                </c:pt>
                <c:pt idx="10">
                  <c:v>3.6066747242289449E-2</c:v>
                </c:pt>
                <c:pt idx="11">
                  <c:v>1.5353511247132365E-2</c:v>
                </c:pt>
                <c:pt idx="12">
                  <c:v>5.5393833274491227E-3</c:v>
                </c:pt>
                <c:pt idx="13">
                  <c:v>1.6682239062234285E-3</c:v>
                </c:pt>
                <c:pt idx="14">
                  <c:v>4.130300500626039E-4</c:v>
                </c:pt>
                <c:pt idx="15">
                  <c:v>8.2802844730511815E-5</c:v>
                </c:pt>
                <c:pt idx="16">
                  <c:v>1.3238910814257299E-5</c:v>
                </c:pt>
                <c:pt idx="17">
                  <c:v>1.6626996508668749E-6</c:v>
                </c:pt>
                <c:pt idx="18">
                  <c:v>1.6156389011781548E-7</c:v>
                </c:pt>
                <c:pt idx="19">
                  <c:v>1.1963568957264963E-8</c:v>
                </c:pt>
                <c:pt idx="20">
                  <c:v>6.6493979494758363E-10</c:v>
                </c:pt>
                <c:pt idx="21">
                  <c:v>4.9221850828544075E-12</c:v>
                </c:pt>
                <c:pt idx="22">
                  <c:v>1.7546644453142552E-14</c:v>
                </c:pt>
                <c:pt idx="23">
                  <c:v>2.8621881302932164E-17</c:v>
                </c:pt>
                <c:pt idx="24">
                  <c:v>2.0299357436258649E-20</c:v>
                </c:pt>
                <c:pt idx="25">
                  <c:v>5.9478794540942081E-24</c:v>
                </c:pt>
                <c:pt idx="26">
                  <c:v>6.8415815694395056E-28</c:v>
                </c:pt>
                <c:pt idx="27">
                  <c:v>2.9355300619484899E-32</c:v>
                </c:pt>
                <c:pt idx="28">
                  <c:v>4.4645269957287029E-37</c:v>
                </c:pt>
                <c:pt idx="29">
                  <c:v>2.2869054341498924E-42</c:v>
                </c:pt>
                <c:pt idx="30">
                  <c:v>3.7491357675878718E-48</c:v>
                </c:pt>
                <c:pt idx="31">
                  <c:v>1.8691835140867904E-54</c:v>
                </c:pt>
              </c:numCache>
            </c:numRef>
          </c:yVal>
          <c:smooth val="0"/>
          <c:extLst>
            <c:ext xmlns:c16="http://schemas.microsoft.com/office/drawing/2014/chart" uri="{C3380CC4-5D6E-409C-BE32-E72D297353CC}">
              <c16:uniqueId val="{00000017-FF54-459E-8415-0D853966DE13}"/>
            </c:ext>
          </c:extLst>
        </c:ser>
        <c:ser>
          <c:idx val="0"/>
          <c:order val="5"/>
          <c:tx>
            <c:v>PEG 10000 (this work)</c:v>
          </c:tx>
          <c:spPr>
            <a:ln w="25400" cap="rnd">
              <a:noFill/>
              <a:round/>
            </a:ln>
            <a:effectLst/>
          </c:spPr>
          <c:marker>
            <c:symbol val="circle"/>
            <c:size val="5"/>
            <c:spPr>
              <a:solidFill>
                <a:schemeClr val="accent1"/>
              </a:solidFill>
              <a:ln w="9525">
                <a:solidFill>
                  <a:schemeClr val="accent1"/>
                </a:solidFill>
              </a:ln>
              <a:effectLst/>
            </c:spPr>
          </c:marker>
          <c:errBars>
            <c:errDir val="x"/>
            <c:errBarType val="both"/>
            <c:errValType val="cust"/>
            <c:noEndCap val="0"/>
            <c:plus>
              <c:numRef>
                <c:f>'PEG-MDX results summary'!$T$3:$T$12</c:f>
                <c:numCache>
                  <c:formatCode>General</c:formatCode>
                  <c:ptCount val="10"/>
                  <c:pt idx="0">
                    <c:v>4.3111180984155137E-3</c:v>
                  </c:pt>
                  <c:pt idx="1">
                    <c:v>3.3483638626083771E-2</c:v>
                  </c:pt>
                  <c:pt idx="2">
                    <c:v>5.7278380088919886E-3</c:v>
                  </c:pt>
                  <c:pt idx="3">
                    <c:v>6.53837347791028E-3</c:v>
                  </c:pt>
                  <c:pt idx="4">
                    <c:v>5.7278380088919886E-3</c:v>
                  </c:pt>
                  <c:pt idx="5">
                    <c:v>6.53837347791028E-3</c:v>
                  </c:pt>
                  <c:pt idx="6">
                    <c:v>1.3271408326777116E-2</c:v>
                  </c:pt>
                  <c:pt idx="7">
                    <c:v>2.1629812844043934E-2</c:v>
                  </c:pt>
                  <c:pt idx="8">
                    <c:v>2.2767032302116151E-2</c:v>
                  </c:pt>
                  <c:pt idx="9">
                    <c:v>1.3498743237831866E-2</c:v>
                  </c:pt>
                </c:numCache>
              </c:numRef>
            </c:plus>
            <c:minus>
              <c:numRef>
                <c:f>'PEG-MDX results summary'!$T$3:$T$12</c:f>
                <c:numCache>
                  <c:formatCode>General</c:formatCode>
                  <c:ptCount val="10"/>
                  <c:pt idx="0">
                    <c:v>4.3111180984155137E-3</c:v>
                  </c:pt>
                  <c:pt idx="1">
                    <c:v>3.3483638626083771E-2</c:v>
                  </c:pt>
                  <c:pt idx="2">
                    <c:v>5.7278380088919886E-3</c:v>
                  </c:pt>
                  <c:pt idx="3">
                    <c:v>6.53837347791028E-3</c:v>
                  </c:pt>
                  <c:pt idx="4">
                    <c:v>5.7278380088919886E-3</c:v>
                  </c:pt>
                  <c:pt idx="5">
                    <c:v>6.53837347791028E-3</c:v>
                  </c:pt>
                  <c:pt idx="6">
                    <c:v>1.3271408326777116E-2</c:v>
                  </c:pt>
                  <c:pt idx="7">
                    <c:v>2.1629812844043934E-2</c:v>
                  </c:pt>
                  <c:pt idx="8">
                    <c:v>2.2767032302116151E-2</c:v>
                  </c:pt>
                  <c:pt idx="9">
                    <c:v>1.3498743237831866E-2</c:v>
                  </c:pt>
                </c:numCache>
              </c:numRef>
            </c:minus>
            <c:spPr>
              <a:noFill/>
              <a:ln w="9525" cap="flat" cmpd="sng" algn="ctr">
                <a:solidFill>
                  <a:schemeClr val="tx1">
                    <a:lumMod val="65000"/>
                    <a:lumOff val="35000"/>
                  </a:schemeClr>
                </a:solidFill>
                <a:round/>
              </a:ln>
              <a:effectLst/>
            </c:spPr>
          </c:errBars>
          <c:errBars>
            <c:errDir val="y"/>
            <c:errBarType val="both"/>
            <c:errValType val="cust"/>
            <c:noEndCap val="0"/>
            <c:plus>
              <c:numRef>
                <c:f>'PEG-MDX results summary'!$V$3:$V$12</c:f>
                <c:numCache>
                  <c:formatCode>General</c:formatCode>
                  <c:ptCount val="10"/>
                  <c:pt idx="0">
                    <c:v>4.5474841808879453E-3</c:v>
                  </c:pt>
                  <c:pt idx="1">
                    <c:v>8.039911460082181E-3</c:v>
                  </c:pt>
                  <c:pt idx="2">
                    <c:v>6.7397303874434326E-3</c:v>
                  </c:pt>
                  <c:pt idx="3">
                    <c:v>7.8068918034286386E-3</c:v>
                  </c:pt>
                  <c:pt idx="4">
                    <c:v>6.7397303874434326E-3</c:v>
                  </c:pt>
                  <c:pt idx="5">
                    <c:v>7.8068918034286386E-3</c:v>
                  </c:pt>
                  <c:pt idx="6">
                    <c:v>1.308397036296856E-2</c:v>
                  </c:pt>
                  <c:pt idx="7">
                    <c:v>2.4964616522679933E-2</c:v>
                  </c:pt>
                  <c:pt idx="8">
                    <c:v>2.4656726721818387E-2</c:v>
                  </c:pt>
                  <c:pt idx="9">
                    <c:v>1.4691096385176702E-2</c:v>
                  </c:pt>
                </c:numCache>
              </c:numRef>
            </c:plus>
            <c:minus>
              <c:numRef>
                <c:f>'PEG-MDX results summary'!$V$3:$V$12</c:f>
                <c:numCache>
                  <c:formatCode>General</c:formatCode>
                  <c:ptCount val="10"/>
                  <c:pt idx="0">
                    <c:v>4.5474841808879453E-3</c:v>
                  </c:pt>
                  <c:pt idx="1">
                    <c:v>8.039911460082181E-3</c:v>
                  </c:pt>
                  <c:pt idx="2">
                    <c:v>6.7397303874434326E-3</c:v>
                  </c:pt>
                  <c:pt idx="3">
                    <c:v>7.8068918034286386E-3</c:v>
                  </c:pt>
                  <c:pt idx="4">
                    <c:v>6.7397303874434326E-3</c:v>
                  </c:pt>
                  <c:pt idx="5">
                    <c:v>7.8068918034286386E-3</c:v>
                  </c:pt>
                  <c:pt idx="6">
                    <c:v>1.308397036296856E-2</c:v>
                  </c:pt>
                  <c:pt idx="7">
                    <c:v>2.4964616522679933E-2</c:v>
                  </c:pt>
                  <c:pt idx="8">
                    <c:v>2.4656726721818387E-2</c:v>
                  </c:pt>
                  <c:pt idx="9">
                    <c:v>1.4691096385176702E-2</c:v>
                  </c:pt>
                </c:numCache>
              </c:numRef>
            </c:minus>
            <c:spPr>
              <a:noFill/>
              <a:ln w="9525" cap="flat" cmpd="sng" algn="ctr">
                <a:solidFill>
                  <a:schemeClr val="tx1">
                    <a:lumMod val="65000"/>
                    <a:lumOff val="35000"/>
                  </a:schemeClr>
                </a:solidFill>
                <a:round/>
              </a:ln>
              <a:effectLst/>
            </c:spPr>
          </c:errBars>
          <c:xVal>
            <c:numRef>
              <c:f>'PEG-MDX results summary'!$S$3:$S$12</c:f>
              <c:numCache>
                <c:formatCode>0%</c:formatCode>
                <c:ptCount val="10"/>
                <c:pt idx="0">
                  <c:v>0.14131838626276161</c:v>
                </c:pt>
                <c:pt idx="1">
                  <c:v>0.428003014150241</c:v>
                </c:pt>
                <c:pt idx="2">
                  <c:v>0.19090136456015738</c:v>
                </c:pt>
                <c:pt idx="3">
                  <c:v>0.38948910617414195</c:v>
                </c:pt>
                <c:pt idx="4">
                  <c:v>0.17112661819258931</c:v>
                </c:pt>
                <c:pt idx="5">
                  <c:v>0.33137956644433736</c:v>
                </c:pt>
                <c:pt idx="6">
                  <c:v>0.13691669226407471</c:v>
                </c:pt>
                <c:pt idx="7">
                  <c:v>0.48986493746420751</c:v>
                </c:pt>
                <c:pt idx="8" formatCode="0.0%">
                  <c:v>0.13133916557971617</c:v>
                </c:pt>
                <c:pt idx="9" formatCode="0.0%">
                  <c:v>0.55815312075381984</c:v>
                </c:pt>
              </c:numCache>
            </c:numRef>
          </c:xVal>
          <c:yVal>
            <c:numRef>
              <c:f>'PEG-MDX results summary'!$U$3:$U$12</c:f>
              <c:numCache>
                <c:formatCode>0%</c:formatCode>
                <c:ptCount val="10"/>
                <c:pt idx="0">
                  <c:v>0.14540954490937325</c:v>
                </c:pt>
                <c:pt idx="1">
                  <c:v>1E-3</c:v>
                </c:pt>
                <c:pt idx="2">
                  <c:v>9.0260384198242935E-2</c:v>
                </c:pt>
                <c:pt idx="3">
                  <c:v>1E-3</c:v>
                </c:pt>
                <c:pt idx="4">
                  <c:v>8.6337103120981432E-2</c:v>
                </c:pt>
                <c:pt idx="5">
                  <c:v>1.2671609602289391E-2</c:v>
                </c:pt>
                <c:pt idx="6">
                  <c:v>0.19659116876943217</c:v>
                </c:pt>
                <c:pt idx="7">
                  <c:v>2.0447826056263752E-3</c:v>
                </c:pt>
                <c:pt idx="8" formatCode="0.0%">
                  <c:v>0.24394454389649806</c:v>
                </c:pt>
                <c:pt idx="9" formatCode="0.0%">
                  <c:v>0</c:v>
                </c:pt>
              </c:numCache>
            </c:numRef>
          </c:yVal>
          <c:smooth val="0"/>
          <c:extLst>
            <c:ext xmlns:c16="http://schemas.microsoft.com/office/drawing/2014/chart" uri="{C3380CC4-5D6E-409C-BE32-E72D297353CC}">
              <c16:uniqueId val="{00000011-FF54-459E-8415-0D853966DE13}"/>
            </c:ext>
          </c:extLst>
        </c:ser>
        <c:dLbls>
          <c:showLegendKey val="0"/>
          <c:showVal val="0"/>
          <c:showCatName val="0"/>
          <c:showSerName val="0"/>
          <c:showPercent val="0"/>
          <c:showBubbleSize val="0"/>
        </c:dLbls>
        <c:axId val="624976296"/>
        <c:axId val="624975640"/>
      </c:scatterChart>
      <c:valAx>
        <c:axId val="624976296"/>
        <c:scaling>
          <c:orientation val="minMax"/>
          <c:max val="0.70000000000000007"/>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sz="1000" b="0" i="0" u="none" strike="noStrike" baseline="0">
                    <a:effectLst/>
                  </a:rPr>
                  <a:t>MDX concentration (% w/w)</a:t>
                </a:r>
                <a:endParaRPr lang="en-ZA"/>
              </a:p>
            </c:rich>
          </c:tx>
          <c:overlay val="0"/>
          <c:spPr>
            <a:noFill/>
            <a:ln>
              <a:noFill/>
            </a:ln>
            <a:effectLst/>
          </c:sp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24975640"/>
        <c:crosses val="autoZero"/>
        <c:crossBetween val="midCat"/>
      </c:valAx>
      <c:valAx>
        <c:axId val="624975640"/>
        <c:scaling>
          <c:orientation val="minMax"/>
          <c:min val="0"/>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sz="1000" b="0" i="0" u="none" strike="noStrike" baseline="0">
                    <a:effectLst/>
                  </a:rPr>
                  <a:t>PEG 10000 concentration (% w/w)</a:t>
                </a:r>
                <a:endParaRPr lang="en-ZA"/>
              </a:p>
            </c:rich>
          </c:tx>
          <c:overlay val="0"/>
          <c:spPr>
            <a:noFill/>
            <a:ln>
              <a:noFill/>
            </a:ln>
            <a:effectLst/>
          </c:spPr>
        </c:title>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24976296"/>
        <c:crosses val="autoZero"/>
        <c:crossBetween val="midCat"/>
      </c:valAx>
      <c:spPr>
        <a:noFill/>
        <a:ln>
          <a:noFill/>
        </a:ln>
      </c:spPr>
    </c:plotArea>
    <c:legend>
      <c:legendPos val="r"/>
      <c:layout>
        <c:manualLayout>
          <c:xMode val="edge"/>
          <c:yMode val="edge"/>
          <c:x val="0.60712187718937982"/>
          <c:y val="0.17710069849433982"/>
          <c:w val="0.29789287869187664"/>
          <c:h val="0.32665894776369914"/>
        </c:manualLayout>
      </c:layout>
      <c:overlay val="0"/>
    </c:legend>
    <c:plotVisOnly val="1"/>
    <c:dispBlanksAs val="gap"/>
    <c:showDLblsOverMax val="0"/>
    <c:extLst/>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Phase diagram PEG 20000 - MDX</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25400" cap="rnd">
              <a:noFill/>
              <a:round/>
            </a:ln>
            <a:effectLst/>
          </c:spPr>
          <c:marker>
            <c:symbol val="diamond"/>
            <c:size val="3"/>
            <c:spPr>
              <a:solidFill>
                <a:schemeClr val="accent6"/>
              </a:solidFill>
              <a:ln w="9525">
                <a:noFill/>
              </a:ln>
              <a:effectLst/>
            </c:spPr>
          </c:marker>
          <c:errBars>
            <c:errDir val="x"/>
            <c:errBarType val="both"/>
            <c:errValType val="cust"/>
            <c:noEndCap val="0"/>
            <c:plus>
              <c:numRef>
                <c:f>'PEG-MDX results summary'!$T$41:$T$50</c:f>
                <c:numCache>
                  <c:formatCode>General</c:formatCode>
                  <c:ptCount val="10"/>
                  <c:pt idx="0">
                    <c:v>9.8105846596029719E-4</c:v>
                  </c:pt>
                  <c:pt idx="1">
                    <c:v>8.4767953375795967E-3</c:v>
                  </c:pt>
                  <c:pt idx="2">
                    <c:v>2.7580938352412643E-3</c:v>
                  </c:pt>
                  <c:pt idx="3">
                    <c:v>9.8507089460942616E-3</c:v>
                  </c:pt>
                  <c:pt idx="4">
                    <c:v>8.1942257047657226E-3</c:v>
                  </c:pt>
                  <c:pt idx="5">
                    <c:v>5.6617579431991341E-3</c:v>
                  </c:pt>
                  <c:pt idx="6">
                    <c:v>4.815430496337334E-3</c:v>
                  </c:pt>
                  <c:pt idx="7">
                    <c:v>3.0891954878820693E-2</c:v>
                  </c:pt>
                  <c:pt idx="8">
                    <c:v>1.1878619801761969E-2</c:v>
                  </c:pt>
                  <c:pt idx="9">
                    <c:v>2.4917758437263821E-2</c:v>
                  </c:pt>
                </c:numCache>
              </c:numRef>
            </c:plus>
            <c:minus>
              <c:numRef>
                <c:f>'PEG-MDX results summary'!$T$41:$T$50</c:f>
                <c:numCache>
                  <c:formatCode>General</c:formatCode>
                  <c:ptCount val="10"/>
                  <c:pt idx="0">
                    <c:v>9.8105846596029719E-4</c:v>
                  </c:pt>
                  <c:pt idx="1">
                    <c:v>8.4767953375795967E-3</c:v>
                  </c:pt>
                  <c:pt idx="2">
                    <c:v>2.7580938352412643E-3</c:v>
                  </c:pt>
                  <c:pt idx="3">
                    <c:v>9.8507089460942616E-3</c:v>
                  </c:pt>
                  <c:pt idx="4">
                    <c:v>8.1942257047657226E-3</c:v>
                  </c:pt>
                  <c:pt idx="5">
                    <c:v>5.6617579431991341E-3</c:v>
                  </c:pt>
                  <c:pt idx="6">
                    <c:v>4.815430496337334E-3</c:v>
                  </c:pt>
                  <c:pt idx="7">
                    <c:v>3.0891954878820693E-2</c:v>
                  </c:pt>
                  <c:pt idx="8">
                    <c:v>1.1878619801761969E-2</c:v>
                  </c:pt>
                  <c:pt idx="9">
                    <c:v>2.4917758437263821E-2</c:v>
                  </c:pt>
                </c:numCache>
              </c:numRef>
            </c:minus>
            <c:spPr>
              <a:noFill/>
              <a:ln w="9525" cap="flat" cmpd="sng" algn="ctr">
                <a:solidFill>
                  <a:schemeClr val="tx1">
                    <a:lumMod val="65000"/>
                    <a:lumOff val="35000"/>
                  </a:schemeClr>
                </a:solidFill>
                <a:round/>
              </a:ln>
              <a:effectLst/>
            </c:spPr>
          </c:errBars>
          <c:errBars>
            <c:errDir val="y"/>
            <c:errBarType val="both"/>
            <c:errValType val="cust"/>
            <c:noEndCap val="0"/>
            <c:plus>
              <c:numRef>
                <c:f>'PEG-MDX results summary'!$V$41:$V$50</c:f>
                <c:numCache>
                  <c:formatCode>General</c:formatCode>
                  <c:ptCount val="10"/>
                  <c:pt idx="0">
                    <c:v>1.9028909328900891E-3</c:v>
                  </c:pt>
                  <c:pt idx="1">
                    <c:v>6.0269878015437525E-3</c:v>
                  </c:pt>
                  <c:pt idx="2">
                    <c:v>3.4802330808113577E-3</c:v>
                  </c:pt>
                  <c:pt idx="3">
                    <c:v>1.0004296120469245E-2</c:v>
                  </c:pt>
                  <c:pt idx="4">
                    <c:v>8.4414611329540722E-3</c:v>
                  </c:pt>
                  <c:pt idx="5">
                    <c:v>5.7267881517027042E-3</c:v>
                  </c:pt>
                  <c:pt idx="6">
                    <c:v>3.4698515979618254E-3</c:v>
                  </c:pt>
                  <c:pt idx="7">
                    <c:v>3.5353692166164491E-2</c:v>
                  </c:pt>
                  <c:pt idx="8">
                    <c:v>1.1064377070880252E-2</c:v>
                  </c:pt>
                  <c:pt idx="9">
                    <c:v>3.3851198264168894E-2</c:v>
                  </c:pt>
                </c:numCache>
              </c:numRef>
            </c:plus>
            <c:minus>
              <c:numRef>
                <c:f>'PEG-MDX results summary'!$V$41:$V$50</c:f>
                <c:numCache>
                  <c:formatCode>General</c:formatCode>
                  <c:ptCount val="10"/>
                  <c:pt idx="0">
                    <c:v>1.9028909328900891E-3</c:v>
                  </c:pt>
                  <c:pt idx="1">
                    <c:v>6.0269878015437525E-3</c:v>
                  </c:pt>
                  <c:pt idx="2">
                    <c:v>3.4802330808113577E-3</c:v>
                  </c:pt>
                  <c:pt idx="3">
                    <c:v>1.0004296120469245E-2</c:v>
                  </c:pt>
                  <c:pt idx="4">
                    <c:v>8.4414611329540722E-3</c:v>
                  </c:pt>
                  <c:pt idx="5">
                    <c:v>5.7267881517027042E-3</c:v>
                  </c:pt>
                  <c:pt idx="6">
                    <c:v>3.4698515979618254E-3</c:v>
                  </c:pt>
                  <c:pt idx="7">
                    <c:v>3.5353692166164491E-2</c:v>
                  </c:pt>
                  <c:pt idx="8">
                    <c:v>1.1064377070880252E-2</c:v>
                  </c:pt>
                  <c:pt idx="9">
                    <c:v>3.3851198264168894E-2</c:v>
                  </c:pt>
                </c:numCache>
              </c:numRef>
            </c:minus>
            <c:spPr>
              <a:noFill/>
              <a:ln w="9525" cap="flat" cmpd="sng" algn="ctr">
                <a:solidFill>
                  <a:schemeClr val="tx1">
                    <a:lumMod val="65000"/>
                    <a:lumOff val="35000"/>
                  </a:schemeClr>
                </a:solidFill>
                <a:round/>
              </a:ln>
              <a:effectLst/>
            </c:spPr>
          </c:errBars>
          <c:xVal>
            <c:numRef>
              <c:f>'PEG-MDX results summary'!$S$41:$S$50</c:f>
              <c:numCache>
                <c:formatCode>0.0%</c:formatCode>
                <c:ptCount val="10"/>
                <c:pt idx="0">
                  <c:v>0.14800253819463519</c:v>
                </c:pt>
                <c:pt idx="1">
                  <c:v>0.34825313143033321</c:v>
                </c:pt>
                <c:pt idx="2">
                  <c:v>0.12424210937324466</c:v>
                </c:pt>
                <c:pt idx="3">
                  <c:v>0.43907059403520421</c:v>
                </c:pt>
                <c:pt idx="4">
                  <c:v>0.12944037758466811</c:v>
                </c:pt>
                <c:pt idx="5">
                  <c:v>0.56291456354761793</c:v>
                </c:pt>
                <c:pt idx="6">
                  <c:v>0.1275901410544604</c:v>
                </c:pt>
                <c:pt idx="7">
                  <c:v>0.64014366446238091</c:v>
                </c:pt>
                <c:pt idx="8">
                  <c:v>0.13852663503088306</c:v>
                </c:pt>
                <c:pt idx="9">
                  <c:v>0.48533153600175966</c:v>
                </c:pt>
              </c:numCache>
            </c:numRef>
          </c:xVal>
          <c:yVal>
            <c:numRef>
              <c:f>'PEG-MDX results summary'!$U$41:$U$50</c:f>
              <c:numCache>
                <c:formatCode>0.0%</c:formatCode>
                <c:ptCount val="10"/>
                <c:pt idx="0">
                  <c:v>9.7168578571095635E-2</c:v>
                </c:pt>
                <c:pt idx="1">
                  <c:v>1E-3</c:v>
                </c:pt>
                <c:pt idx="2">
                  <c:v>0.16134175197834308</c:v>
                </c:pt>
                <c:pt idx="3">
                  <c:v>1E-3</c:v>
                </c:pt>
                <c:pt idx="4">
                  <c:v>0.25018011666158002</c:v>
                </c:pt>
                <c:pt idx="5">
                  <c:v>1E-3</c:v>
                </c:pt>
                <c:pt idx="6">
                  <c:v>0.30791031364825089</c:v>
                </c:pt>
                <c:pt idx="7">
                  <c:v>1E-3</c:v>
                </c:pt>
                <c:pt idx="8">
                  <c:v>0.18894888454608902</c:v>
                </c:pt>
                <c:pt idx="9">
                  <c:v>1E-3</c:v>
                </c:pt>
              </c:numCache>
            </c:numRef>
          </c:yVal>
          <c:smooth val="0"/>
          <c:extLst>
            <c:ext xmlns:c16="http://schemas.microsoft.com/office/drawing/2014/chart" uri="{C3380CC4-5D6E-409C-BE32-E72D297353CC}">
              <c16:uniqueId val="{00000000-F86B-4A98-8375-DA0048C01BE6}"/>
            </c:ext>
          </c:extLst>
        </c:ser>
        <c:dLbls>
          <c:showLegendKey val="0"/>
          <c:showVal val="0"/>
          <c:showCatName val="0"/>
          <c:showSerName val="0"/>
          <c:showPercent val="0"/>
          <c:showBubbleSize val="0"/>
        </c:dLbls>
        <c:axId val="624976296"/>
        <c:axId val="624975640"/>
      </c:scatterChart>
      <c:valAx>
        <c:axId val="624976296"/>
        <c:scaling>
          <c:orientation val="minMax"/>
          <c:max val="0.70000000000000007"/>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sz="1000" b="0" i="0" u="none" strike="noStrike" baseline="0">
                    <a:effectLst/>
                  </a:rPr>
                  <a:t>MDX concentration (% w/w)</a:t>
                </a:r>
                <a:endParaRPr lang="en-ZA"/>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24975640"/>
        <c:crosses val="autoZero"/>
        <c:crossBetween val="midCat"/>
      </c:valAx>
      <c:valAx>
        <c:axId val="624975640"/>
        <c:scaling>
          <c:orientation val="minMax"/>
          <c:min val="0"/>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sz="1000" b="0" i="0" u="none" strike="noStrike" baseline="0">
                    <a:effectLst/>
                  </a:rPr>
                  <a:t>PEG 20000 concentration (% w/w)</a:t>
                </a:r>
                <a:endParaRPr lang="en-ZA"/>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24976296"/>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a:pPr>
            <a:r>
              <a:rPr lang="en-ZA" sz="1400" b="0" i="0" baseline="0">
                <a:effectLst/>
              </a:rPr>
              <a:t>Phase diagram PEG 12000 - MDX</a:t>
            </a:r>
            <a:endParaRPr lang="en-ZA" sz="1400">
              <a:effectLst/>
            </a:endParaRPr>
          </a:p>
        </c:rich>
      </c:tx>
      <c:layout>
        <c:manualLayout>
          <c:xMode val="edge"/>
          <c:yMode val="edge"/>
          <c:x val="0.29884061847834625"/>
          <c:y val="3.1768652737535895E-2"/>
        </c:manualLayout>
      </c:layout>
      <c:overlay val="0"/>
    </c:title>
    <c:autoTitleDeleted val="0"/>
    <c:plotArea>
      <c:layout>
        <c:manualLayout>
          <c:layoutTarget val="inner"/>
          <c:xMode val="edge"/>
          <c:yMode val="edge"/>
          <c:x val="0.1701622050735912"/>
          <c:y val="5.3844754434001822E-2"/>
          <c:w val="0.77857215642575628"/>
          <c:h val="0.76822857346862983"/>
        </c:manualLayout>
      </c:layout>
      <c:scatterChart>
        <c:scatterStyle val="lineMarker"/>
        <c:varyColors val="0"/>
        <c:ser>
          <c:idx val="2"/>
          <c:order val="0"/>
          <c:tx>
            <c:v>PEG 12000</c:v>
          </c:tx>
          <c:spPr>
            <a:ln w="19050">
              <a:noFill/>
            </a:ln>
          </c:spPr>
          <c:marker>
            <c:symbol val="triangle"/>
            <c:size val="3"/>
            <c:spPr>
              <a:solidFill>
                <a:schemeClr val="accent5"/>
              </a:solidFill>
              <a:ln>
                <a:noFill/>
              </a:ln>
            </c:spPr>
          </c:marker>
          <c:errBars>
            <c:errDir val="x"/>
            <c:errBarType val="both"/>
            <c:errValType val="cust"/>
            <c:noEndCap val="0"/>
            <c:plus>
              <c:numRef>
                <c:f>'PEG-MDX results summary'!$F$22:$F$36</c:f>
                <c:numCache>
                  <c:formatCode>General</c:formatCode>
                  <c:ptCount val="15"/>
                  <c:pt idx="0">
                    <c:v>1E-3</c:v>
                  </c:pt>
                  <c:pt idx="1">
                    <c:v>8.8993276985716002E-3</c:v>
                  </c:pt>
                  <c:pt idx="2">
                    <c:v>1.6711601382036355E-3</c:v>
                  </c:pt>
                  <c:pt idx="3">
                    <c:v>1E-3</c:v>
                  </c:pt>
                  <c:pt idx="4">
                    <c:v>3.8102257089076626E-3</c:v>
                  </c:pt>
                  <c:pt idx="5">
                    <c:v>2.1439710211055056E-2</c:v>
                  </c:pt>
                  <c:pt idx="6">
                    <c:v>1E-3</c:v>
                  </c:pt>
                  <c:pt idx="7">
                    <c:v>8.9856538729373367E-3</c:v>
                  </c:pt>
                  <c:pt idx="8">
                    <c:v>3.0153006806095919E-2</c:v>
                  </c:pt>
                  <c:pt idx="9">
                    <c:v>1E-3</c:v>
                  </c:pt>
                  <c:pt idx="10">
                    <c:v>2.7918980911004337E-3</c:v>
                  </c:pt>
                  <c:pt idx="11">
                    <c:v>1.2206521335958367E-2</c:v>
                  </c:pt>
                  <c:pt idx="12">
                    <c:v>1E-3</c:v>
                  </c:pt>
                  <c:pt idx="13">
                    <c:v>9.7433656926237747E-3</c:v>
                  </c:pt>
                  <c:pt idx="14">
                    <c:v>6.0159525913579103E-3</c:v>
                  </c:pt>
                </c:numCache>
              </c:numRef>
            </c:plus>
            <c:minus>
              <c:numRef>
                <c:f>'PEG-MDX results summary'!$F$22:$F$36</c:f>
                <c:numCache>
                  <c:formatCode>General</c:formatCode>
                  <c:ptCount val="15"/>
                  <c:pt idx="0">
                    <c:v>1E-3</c:v>
                  </c:pt>
                  <c:pt idx="1">
                    <c:v>8.8993276985716002E-3</c:v>
                  </c:pt>
                  <c:pt idx="2">
                    <c:v>1.6711601382036355E-3</c:v>
                  </c:pt>
                  <c:pt idx="3">
                    <c:v>1E-3</c:v>
                  </c:pt>
                  <c:pt idx="4">
                    <c:v>3.8102257089076626E-3</c:v>
                  </c:pt>
                  <c:pt idx="5">
                    <c:v>2.1439710211055056E-2</c:v>
                  </c:pt>
                  <c:pt idx="6">
                    <c:v>1E-3</c:v>
                  </c:pt>
                  <c:pt idx="7">
                    <c:v>8.9856538729373367E-3</c:v>
                  </c:pt>
                  <c:pt idx="8">
                    <c:v>3.0153006806095919E-2</c:v>
                  </c:pt>
                  <c:pt idx="9">
                    <c:v>1E-3</c:v>
                  </c:pt>
                  <c:pt idx="10">
                    <c:v>2.7918980911004337E-3</c:v>
                  </c:pt>
                  <c:pt idx="11">
                    <c:v>1.2206521335958367E-2</c:v>
                  </c:pt>
                  <c:pt idx="12">
                    <c:v>1E-3</c:v>
                  </c:pt>
                  <c:pt idx="13">
                    <c:v>9.7433656926237747E-3</c:v>
                  </c:pt>
                  <c:pt idx="14">
                    <c:v>6.0159525913579103E-3</c:v>
                  </c:pt>
                </c:numCache>
              </c:numRef>
            </c:minus>
          </c:errBars>
          <c:errBars>
            <c:errDir val="y"/>
            <c:errBarType val="both"/>
            <c:errValType val="cust"/>
            <c:noEndCap val="0"/>
            <c:plus>
              <c:numRef>
                <c:f>'PEG-MDX results summary'!$H$22:$H$36</c:f>
                <c:numCache>
                  <c:formatCode>General</c:formatCode>
                  <c:ptCount val="15"/>
                  <c:pt idx="0">
                    <c:v>1E-3</c:v>
                  </c:pt>
                  <c:pt idx="1">
                    <c:v>1.113975451715027E-2</c:v>
                  </c:pt>
                  <c:pt idx="2">
                    <c:v>1.716228676927848E-3</c:v>
                  </c:pt>
                  <c:pt idx="3">
                    <c:v>1E-3</c:v>
                  </c:pt>
                  <c:pt idx="4">
                    <c:v>2.8345958453633788E-3</c:v>
                  </c:pt>
                  <c:pt idx="5">
                    <c:v>2.3367562882452106E-2</c:v>
                  </c:pt>
                  <c:pt idx="6">
                    <c:v>1E-3</c:v>
                  </c:pt>
                  <c:pt idx="7">
                    <c:v>1.2260439706692014E-2</c:v>
                  </c:pt>
                  <c:pt idx="8">
                    <c:v>3.0599044695490751E-2</c:v>
                  </c:pt>
                  <c:pt idx="9">
                    <c:v>1E-3</c:v>
                  </c:pt>
                  <c:pt idx="10">
                    <c:v>2.7922400337770225E-3</c:v>
                  </c:pt>
                  <c:pt idx="11">
                    <c:v>9.5819862998198207E-3</c:v>
                  </c:pt>
                  <c:pt idx="12">
                    <c:v>1E-3</c:v>
                  </c:pt>
                  <c:pt idx="13">
                    <c:v>9.6012206840775105E-3</c:v>
                  </c:pt>
                  <c:pt idx="14">
                    <c:v>9.3172366401192506E-3</c:v>
                  </c:pt>
                </c:numCache>
              </c:numRef>
            </c:plus>
            <c:minus>
              <c:numRef>
                <c:f>'PEG-MDX results summary'!$H$22:$H$36</c:f>
                <c:numCache>
                  <c:formatCode>General</c:formatCode>
                  <c:ptCount val="15"/>
                  <c:pt idx="0">
                    <c:v>1E-3</c:v>
                  </c:pt>
                  <c:pt idx="1">
                    <c:v>1.113975451715027E-2</c:v>
                  </c:pt>
                  <c:pt idx="2">
                    <c:v>1.716228676927848E-3</c:v>
                  </c:pt>
                  <c:pt idx="3">
                    <c:v>1E-3</c:v>
                  </c:pt>
                  <c:pt idx="4">
                    <c:v>2.8345958453633788E-3</c:v>
                  </c:pt>
                  <c:pt idx="5">
                    <c:v>2.3367562882452106E-2</c:v>
                  </c:pt>
                  <c:pt idx="6">
                    <c:v>1E-3</c:v>
                  </c:pt>
                  <c:pt idx="7">
                    <c:v>1.2260439706692014E-2</c:v>
                  </c:pt>
                  <c:pt idx="8">
                    <c:v>3.0599044695490751E-2</c:v>
                  </c:pt>
                  <c:pt idx="9">
                    <c:v>1E-3</c:v>
                  </c:pt>
                  <c:pt idx="10">
                    <c:v>2.7922400337770225E-3</c:v>
                  </c:pt>
                  <c:pt idx="11">
                    <c:v>9.5819862998198207E-3</c:v>
                  </c:pt>
                  <c:pt idx="12">
                    <c:v>1E-3</c:v>
                  </c:pt>
                  <c:pt idx="13">
                    <c:v>9.6012206840775105E-3</c:v>
                  </c:pt>
                  <c:pt idx="14">
                    <c:v>9.3172366401192506E-3</c:v>
                  </c:pt>
                </c:numCache>
              </c:numRef>
            </c:minus>
          </c:errBars>
          <c:xVal>
            <c:numRef>
              <c:f>'PEG-MDX results summary'!$E$22:$E$36</c:f>
              <c:numCache>
                <c:formatCode>0.0%</c:formatCode>
                <c:ptCount val="15"/>
                <c:pt idx="0">
                  <c:v>0.24975222993062438</c:v>
                </c:pt>
                <c:pt idx="1">
                  <c:v>0.17720705010776616</c:v>
                </c:pt>
                <c:pt idx="2">
                  <c:v>0.34554341064230315</c:v>
                </c:pt>
                <c:pt idx="3">
                  <c:v>0.25172074729596855</c:v>
                </c:pt>
                <c:pt idx="4">
                  <c:v>0.15700016117635504</c:v>
                </c:pt>
                <c:pt idx="5">
                  <c:v>0.42912956622280746</c:v>
                </c:pt>
                <c:pt idx="6">
                  <c:v>0.29940119760479045</c:v>
                </c:pt>
                <c:pt idx="7">
                  <c:v>0.1273460846302151</c:v>
                </c:pt>
                <c:pt idx="8">
                  <c:v>0.56385117312134425</c:v>
                </c:pt>
                <c:pt idx="9">
                  <c:v>0.3</c:v>
                </c:pt>
                <c:pt idx="10">
                  <c:v>0.11217741051405894</c:v>
                </c:pt>
                <c:pt idx="11">
                  <c:v>0.62623819397190306</c:v>
                </c:pt>
                <c:pt idx="12">
                  <c:v>0.30029970029970027</c:v>
                </c:pt>
                <c:pt idx="13">
                  <c:v>0.15213594567873995</c:v>
                </c:pt>
                <c:pt idx="14">
                  <c:v>0.47410315860533686</c:v>
                </c:pt>
              </c:numCache>
            </c:numRef>
          </c:xVal>
          <c:yVal>
            <c:numRef>
              <c:f>'PEG-MDX results summary'!$G$22:$G$36</c:f>
              <c:numCache>
                <c:formatCode>0.0%</c:formatCode>
                <c:ptCount val="15"/>
                <c:pt idx="0">
                  <c:v>4.9950445986124879E-2</c:v>
                </c:pt>
                <c:pt idx="1">
                  <c:v>7.1653624479604452E-2</c:v>
                </c:pt>
                <c:pt idx="2">
                  <c:v>1E-3</c:v>
                </c:pt>
                <c:pt idx="3">
                  <c:v>9.9311701081612594E-2</c:v>
                </c:pt>
                <c:pt idx="4">
                  <c:v>0.13116430539687685</c:v>
                </c:pt>
                <c:pt idx="5">
                  <c:v>1E-3</c:v>
                </c:pt>
                <c:pt idx="6">
                  <c:v>0.14990019960079842</c:v>
                </c:pt>
                <c:pt idx="7">
                  <c:v>0.24977483246073254</c:v>
                </c:pt>
                <c:pt idx="8">
                  <c:v>1E-3</c:v>
                </c:pt>
                <c:pt idx="9">
                  <c:v>0.2</c:v>
                </c:pt>
                <c:pt idx="10">
                  <c:v>0.31725463897325273</c:v>
                </c:pt>
                <c:pt idx="11">
                  <c:v>1E-3</c:v>
                </c:pt>
                <c:pt idx="12">
                  <c:v>9.9900099900099903E-2</c:v>
                </c:pt>
                <c:pt idx="13">
                  <c:v>0.17602279632989112</c:v>
                </c:pt>
                <c:pt idx="14">
                  <c:v>1E-3</c:v>
                </c:pt>
              </c:numCache>
            </c:numRef>
          </c:yVal>
          <c:smooth val="0"/>
          <c:extLst>
            <c:ext xmlns:c16="http://schemas.microsoft.com/office/drawing/2014/chart" uri="{C3380CC4-5D6E-409C-BE32-E72D297353CC}">
              <c16:uniqueId val="{00000007-BAB3-4BBD-8D2A-2735EA262228}"/>
            </c:ext>
          </c:extLst>
        </c:ser>
        <c:ser>
          <c:idx val="0"/>
          <c:order val="1"/>
          <c:tx>
            <c:v>Model</c:v>
          </c:tx>
          <c:spPr>
            <a:ln w="19050">
              <a:solidFill>
                <a:schemeClr val="accent5"/>
              </a:solidFill>
            </a:ln>
          </c:spPr>
          <c:marker>
            <c:symbol val="none"/>
          </c:marker>
          <c:xVal>
            <c:numRef>
              <c:f>'Phase diagram models'!$E$57:$E$88</c:f>
              <c:numCache>
                <c:formatCode>General</c:formatCode>
                <c:ptCount val="32"/>
                <c:pt idx="0">
                  <c:v>0.11</c:v>
                </c:pt>
                <c:pt idx="1">
                  <c:v>0.115</c:v>
                </c:pt>
                <c:pt idx="2">
                  <c:v>0.123</c:v>
                </c:pt>
                <c:pt idx="3">
                  <c:v>0.13</c:v>
                </c:pt>
                <c:pt idx="4">
                  <c:v>0.14000000000000001</c:v>
                </c:pt>
                <c:pt idx="5">
                  <c:v>0.15</c:v>
                </c:pt>
                <c:pt idx="6">
                  <c:v>0.16</c:v>
                </c:pt>
                <c:pt idx="7">
                  <c:v>0.17</c:v>
                </c:pt>
                <c:pt idx="8">
                  <c:v>0.18</c:v>
                </c:pt>
                <c:pt idx="9">
                  <c:v>0.19</c:v>
                </c:pt>
                <c:pt idx="10">
                  <c:v>0.2</c:v>
                </c:pt>
                <c:pt idx="11">
                  <c:v>0.22</c:v>
                </c:pt>
                <c:pt idx="12">
                  <c:v>0.24</c:v>
                </c:pt>
                <c:pt idx="13">
                  <c:v>0.26</c:v>
                </c:pt>
                <c:pt idx="14">
                  <c:v>0.28000000000000003</c:v>
                </c:pt>
                <c:pt idx="15">
                  <c:v>0.3</c:v>
                </c:pt>
                <c:pt idx="16">
                  <c:v>0.32</c:v>
                </c:pt>
                <c:pt idx="17">
                  <c:v>0.34</c:v>
                </c:pt>
                <c:pt idx="18">
                  <c:v>0.36</c:v>
                </c:pt>
                <c:pt idx="19">
                  <c:v>0.38</c:v>
                </c:pt>
                <c:pt idx="20">
                  <c:v>0.4</c:v>
                </c:pt>
                <c:pt idx="21">
                  <c:v>0.43</c:v>
                </c:pt>
                <c:pt idx="22">
                  <c:v>0.46</c:v>
                </c:pt>
                <c:pt idx="23">
                  <c:v>0.49</c:v>
                </c:pt>
                <c:pt idx="24">
                  <c:v>0.52</c:v>
                </c:pt>
                <c:pt idx="25">
                  <c:v>0.55000000000000004</c:v>
                </c:pt>
                <c:pt idx="26">
                  <c:v>0.57999999999999996</c:v>
                </c:pt>
                <c:pt idx="27">
                  <c:v>0.61</c:v>
                </c:pt>
                <c:pt idx="28">
                  <c:v>0.64</c:v>
                </c:pt>
                <c:pt idx="29">
                  <c:v>0.67</c:v>
                </c:pt>
                <c:pt idx="30">
                  <c:v>0.7</c:v>
                </c:pt>
                <c:pt idx="31">
                  <c:v>0.73</c:v>
                </c:pt>
              </c:numCache>
            </c:numRef>
          </c:xVal>
          <c:yVal>
            <c:numRef>
              <c:f>'Phase diagram models'!$G$57:$G$88</c:f>
              <c:numCache>
                <c:formatCode>0.000</c:formatCode>
                <c:ptCount val="32"/>
                <c:pt idx="0">
                  <c:v>0.31716150875731564</c:v>
                </c:pt>
                <c:pt idx="1">
                  <c:v>0.29088180007945708</c:v>
                </c:pt>
                <c:pt idx="2">
                  <c:v>0.25321247063207841</c:v>
                </c:pt>
                <c:pt idx="3">
                  <c:v>0.22410971627819432</c:v>
                </c:pt>
                <c:pt idx="4">
                  <c:v>0.18785958280569234</c:v>
                </c:pt>
                <c:pt idx="5">
                  <c:v>0.15694789500504036</c:v>
                </c:pt>
                <c:pt idx="6">
                  <c:v>0.13055610615066304</c:v>
                </c:pt>
                <c:pt idx="7">
                  <c:v>0.10803330539393415</c:v>
                </c:pt>
                <c:pt idx="8">
                  <c:v>8.8850397726486952E-2</c:v>
                </c:pt>
                <c:pt idx="9">
                  <c:v>7.2567730807297892E-2</c:v>
                </c:pt>
                <c:pt idx="10">
                  <c:v>5.8812105418684486E-2</c:v>
                </c:pt>
                <c:pt idx="11">
                  <c:v>3.7628573252309241E-2</c:v>
                </c:pt>
                <c:pt idx="12">
                  <c:v>2.3135768558611644E-2</c:v>
                </c:pt>
                <c:pt idx="13">
                  <c:v>1.3594400995739398E-2</c:v>
                </c:pt>
                <c:pt idx="14">
                  <c:v>7.5933186914034015E-3</c:v>
                </c:pt>
                <c:pt idx="15">
                  <c:v>4.0109968828392177E-3</c:v>
                </c:pt>
                <c:pt idx="16">
                  <c:v>1.993556213381252E-3</c:v>
                </c:pt>
                <c:pt idx="17">
                  <c:v>9.2770022093028107E-4</c:v>
                </c:pt>
                <c:pt idx="18">
                  <c:v>4.0222609083665064E-4</c:v>
                </c:pt>
                <c:pt idx="19">
                  <c:v>1.6170488765204801E-4</c:v>
                </c:pt>
                <c:pt idx="20">
                  <c:v>5.9992231223347019E-5</c:v>
                </c:pt>
                <c:pt idx="21">
                  <c:v>1.1541523951617898E-5</c:v>
                </c:pt>
                <c:pt idx="22">
                  <c:v>1.804939568463298E-6</c:v>
                </c:pt>
                <c:pt idx="23">
                  <c:v>2.2588283248903856E-7</c:v>
                </c:pt>
                <c:pt idx="24">
                  <c:v>2.227210425015867E-8</c:v>
                </c:pt>
                <c:pt idx="25">
                  <c:v>1.7036115247076865E-9</c:v>
                </c:pt>
                <c:pt idx="26">
                  <c:v>9.9544062026516818E-11</c:v>
                </c:pt>
                <c:pt idx="27">
                  <c:v>4.3754700467263586E-12</c:v>
                </c:pt>
                <c:pt idx="28">
                  <c:v>1.4247819671393458E-13</c:v>
                </c:pt>
                <c:pt idx="29">
                  <c:v>3.3849599290799252E-15</c:v>
                </c:pt>
                <c:pt idx="30">
                  <c:v>5.7785889294905829E-17</c:v>
                </c:pt>
                <c:pt idx="31">
                  <c:v>6.981478333948662E-19</c:v>
                </c:pt>
              </c:numCache>
            </c:numRef>
          </c:yVal>
          <c:smooth val="0"/>
          <c:extLst>
            <c:ext xmlns:c16="http://schemas.microsoft.com/office/drawing/2014/chart" uri="{C3380CC4-5D6E-409C-BE32-E72D297353CC}">
              <c16:uniqueId val="{00000000-DA59-4A21-A4C6-4229832271C2}"/>
            </c:ext>
          </c:extLst>
        </c:ser>
        <c:dLbls>
          <c:showLegendKey val="0"/>
          <c:showVal val="0"/>
          <c:showCatName val="0"/>
          <c:showSerName val="0"/>
          <c:showPercent val="0"/>
          <c:showBubbleSize val="0"/>
        </c:dLbls>
        <c:axId val="624976296"/>
        <c:axId val="624975640"/>
      </c:scatterChart>
      <c:valAx>
        <c:axId val="624976296"/>
        <c:scaling>
          <c:orientation val="minMax"/>
          <c:max val="0.70000000000000007"/>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sz="1000" b="0" i="0" u="none" strike="noStrike" baseline="0">
                    <a:effectLst/>
                  </a:rPr>
                  <a:t>MDX concentration (% w/w)</a:t>
                </a:r>
                <a:endParaRPr lang="en-ZA"/>
              </a:p>
            </c:rich>
          </c:tx>
          <c:overlay val="0"/>
          <c:spPr>
            <a:noFill/>
            <a:ln>
              <a:noFill/>
            </a:ln>
            <a:effectLst/>
          </c:spPr>
        </c:title>
        <c:numFmt formatCode="0.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24975640"/>
        <c:crosses val="autoZero"/>
        <c:crossBetween val="midCat"/>
      </c:valAx>
      <c:valAx>
        <c:axId val="624975640"/>
        <c:scaling>
          <c:orientation val="minMax"/>
          <c:min val="0"/>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sz="1000" b="0" i="0" u="none" strike="noStrike" baseline="0">
                    <a:effectLst/>
                  </a:rPr>
                  <a:t>PEG 20000 concentration (% w/w)</a:t>
                </a:r>
                <a:endParaRPr lang="en-ZA"/>
              </a:p>
            </c:rich>
          </c:tx>
          <c:overlay val="0"/>
          <c:spPr>
            <a:noFill/>
            <a:ln>
              <a:noFill/>
            </a:ln>
            <a:effectLst/>
          </c:spPr>
        </c:title>
        <c:numFmt formatCode="0.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24976296"/>
        <c:crosses val="autoZero"/>
        <c:crossBetween val="midCat"/>
      </c:valAx>
    </c:plotArea>
    <c:plotVisOnly val="1"/>
    <c:dispBlanksAs val="gap"/>
    <c:showDLblsOverMax val="0"/>
    <c:extLst/>
  </c:chart>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ZA"/>
              <a:t>Phase diagram PEG 10000 - MDX</a:t>
            </a:r>
          </a:p>
        </c:rich>
      </c:tx>
      <c:layout>
        <c:manualLayout>
          <c:xMode val="edge"/>
          <c:yMode val="edge"/>
          <c:x val="0.25715122667868145"/>
          <c:y val="2.89964157842484E-2"/>
        </c:manualLayout>
      </c:layout>
      <c:overlay val="0"/>
    </c:title>
    <c:autoTitleDeleted val="0"/>
    <c:plotArea>
      <c:layout/>
      <c:scatterChart>
        <c:scatterStyle val="lineMarker"/>
        <c:varyColors val="0"/>
        <c:ser>
          <c:idx val="1"/>
          <c:order val="0"/>
          <c:tx>
            <c:v>PEG 10000</c:v>
          </c:tx>
          <c:spPr>
            <a:ln w="19050">
              <a:noFill/>
            </a:ln>
          </c:spPr>
          <c:errBars>
            <c:errDir val="x"/>
            <c:errBarType val="both"/>
            <c:errValType val="cust"/>
            <c:noEndCap val="0"/>
            <c:plus>
              <c:numRef>
                <c:f>('PEG-MDX results summary'!$F$3:$F$5,'PEG-MDX results summary'!$F$9:$F$17)</c:f>
                <c:numCache>
                  <c:formatCode>General</c:formatCode>
                  <c:ptCount val="12"/>
                  <c:pt idx="0">
                    <c:v>1E-3</c:v>
                  </c:pt>
                  <c:pt idx="1">
                    <c:v>4.3111180984155137E-3</c:v>
                  </c:pt>
                  <c:pt idx="2">
                    <c:v>3.3483638626083771E-2</c:v>
                  </c:pt>
                  <c:pt idx="3">
                    <c:v>1E-3</c:v>
                  </c:pt>
                  <c:pt idx="4">
                    <c:v>5.7278380088919886E-3</c:v>
                  </c:pt>
                  <c:pt idx="5">
                    <c:v>6.53837347791028E-3</c:v>
                  </c:pt>
                  <c:pt idx="6">
                    <c:v>1E-3</c:v>
                  </c:pt>
                  <c:pt idx="7">
                    <c:v>1.3271408326777116E-2</c:v>
                  </c:pt>
                  <c:pt idx="8">
                    <c:v>2.1629812844043934E-2</c:v>
                  </c:pt>
                  <c:pt idx="9">
                    <c:v>1E-3</c:v>
                  </c:pt>
                  <c:pt idx="10">
                    <c:v>2.2767032302116151E-2</c:v>
                  </c:pt>
                  <c:pt idx="11">
                    <c:v>1.3498743237831866E-2</c:v>
                  </c:pt>
                </c:numCache>
              </c:numRef>
            </c:plus>
            <c:minus>
              <c:numRef>
                <c:f>('PEG-MDX results summary'!$F$3:$F$5,'PEG-MDX results summary'!$F$9:$F$17)</c:f>
                <c:numCache>
                  <c:formatCode>General</c:formatCode>
                  <c:ptCount val="12"/>
                  <c:pt idx="0">
                    <c:v>1E-3</c:v>
                  </c:pt>
                  <c:pt idx="1">
                    <c:v>4.3111180984155137E-3</c:v>
                  </c:pt>
                  <c:pt idx="2">
                    <c:v>3.3483638626083771E-2</c:v>
                  </c:pt>
                  <c:pt idx="3">
                    <c:v>1E-3</c:v>
                  </c:pt>
                  <c:pt idx="4">
                    <c:v>5.7278380088919886E-3</c:v>
                  </c:pt>
                  <c:pt idx="5">
                    <c:v>6.53837347791028E-3</c:v>
                  </c:pt>
                  <c:pt idx="6">
                    <c:v>1E-3</c:v>
                  </c:pt>
                  <c:pt idx="7">
                    <c:v>1.3271408326777116E-2</c:v>
                  </c:pt>
                  <c:pt idx="8">
                    <c:v>2.1629812844043934E-2</c:v>
                  </c:pt>
                  <c:pt idx="9">
                    <c:v>1E-3</c:v>
                  </c:pt>
                  <c:pt idx="10">
                    <c:v>2.2767032302116151E-2</c:v>
                  </c:pt>
                  <c:pt idx="11">
                    <c:v>1.3498743237831866E-2</c:v>
                  </c:pt>
                </c:numCache>
              </c:numRef>
            </c:minus>
            <c:spPr>
              <a:noFill/>
              <a:ln w="9525" cap="flat" cmpd="sng" algn="ctr">
                <a:solidFill>
                  <a:schemeClr val="tx1">
                    <a:lumMod val="65000"/>
                    <a:lumOff val="35000"/>
                  </a:schemeClr>
                </a:solidFill>
                <a:round/>
              </a:ln>
              <a:effectLst/>
            </c:spPr>
          </c:errBars>
          <c:errBars>
            <c:errDir val="y"/>
            <c:errBarType val="both"/>
            <c:errValType val="cust"/>
            <c:noEndCap val="0"/>
            <c:plus>
              <c:numRef>
                <c:f>('PEG-MDX results summary'!$H$3:$H$5,'PEG-MDX results summary'!$H$9:$H$17)</c:f>
                <c:numCache>
                  <c:formatCode>General</c:formatCode>
                  <c:ptCount val="12"/>
                  <c:pt idx="0">
                    <c:v>1E-3</c:v>
                  </c:pt>
                  <c:pt idx="1">
                    <c:v>4.5474841808879453E-3</c:v>
                  </c:pt>
                  <c:pt idx="2">
                    <c:v>8.039911460082181E-3</c:v>
                  </c:pt>
                  <c:pt idx="3">
                    <c:v>1E-3</c:v>
                  </c:pt>
                  <c:pt idx="4">
                    <c:v>6.7397303874434326E-3</c:v>
                  </c:pt>
                  <c:pt idx="5">
                    <c:v>7.8068918034286386E-3</c:v>
                  </c:pt>
                  <c:pt idx="6">
                    <c:v>1E-3</c:v>
                  </c:pt>
                  <c:pt idx="7">
                    <c:v>1.308397036296856E-2</c:v>
                  </c:pt>
                  <c:pt idx="8">
                    <c:v>2.4964616522679933E-2</c:v>
                  </c:pt>
                  <c:pt idx="9">
                    <c:v>1E-3</c:v>
                  </c:pt>
                  <c:pt idx="10">
                    <c:v>2.4656726721818387E-2</c:v>
                  </c:pt>
                  <c:pt idx="11">
                    <c:v>1.4691096385176702E-2</c:v>
                  </c:pt>
                </c:numCache>
              </c:numRef>
            </c:plus>
            <c:minus>
              <c:numRef>
                <c:f>('PEG-MDX results summary'!$H$3:$H$5,'PEG-MDX results summary'!$H$9:$H$17)</c:f>
                <c:numCache>
                  <c:formatCode>General</c:formatCode>
                  <c:ptCount val="12"/>
                  <c:pt idx="0">
                    <c:v>1E-3</c:v>
                  </c:pt>
                  <c:pt idx="1">
                    <c:v>4.5474841808879453E-3</c:v>
                  </c:pt>
                  <c:pt idx="2">
                    <c:v>8.039911460082181E-3</c:v>
                  </c:pt>
                  <c:pt idx="3">
                    <c:v>1E-3</c:v>
                  </c:pt>
                  <c:pt idx="4">
                    <c:v>6.7397303874434326E-3</c:v>
                  </c:pt>
                  <c:pt idx="5">
                    <c:v>7.8068918034286386E-3</c:v>
                  </c:pt>
                  <c:pt idx="6">
                    <c:v>1E-3</c:v>
                  </c:pt>
                  <c:pt idx="7">
                    <c:v>1.308397036296856E-2</c:v>
                  </c:pt>
                  <c:pt idx="8">
                    <c:v>2.4964616522679933E-2</c:v>
                  </c:pt>
                  <c:pt idx="9">
                    <c:v>1E-3</c:v>
                  </c:pt>
                  <c:pt idx="10">
                    <c:v>2.4656726721818387E-2</c:v>
                  </c:pt>
                  <c:pt idx="11">
                    <c:v>1.4691096385176702E-2</c:v>
                  </c:pt>
                </c:numCache>
              </c:numRef>
            </c:minus>
            <c:spPr>
              <a:noFill/>
              <a:ln w="9525" cap="flat" cmpd="sng" algn="ctr">
                <a:solidFill>
                  <a:schemeClr val="tx1">
                    <a:lumMod val="65000"/>
                    <a:lumOff val="35000"/>
                  </a:schemeClr>
                </a:solidFill>
                <a:round/>
              </a:ln>
              <a:effectLst/>
            </c:spPr>
          </c:errBars>
          <c:xVal>
            <c:numRef>
              <c:f>('PEG-MDX results summary'!$E$3:$E$5,'PEG-MDX results summary'!$E$9:$E$17)</c:f>
              <c:numCache>
                <c:formatCode>0.0%</c:formatCode>
                <c:ptCount val="12"/>
                <c:pt idx="0">
                  <c:v>0.25024437927663734</c:v>
                </c:pt>
                <c:pt idx="1">
                  <c:v>0.14131838626276161</c:v>
                </c:pt>
                <c:pt idx="2">
                  <c:v>0.428003014150241</c:v>
                </c:pt>
                <c:pt idx="3">
                  <c:v>0.24975024975024976</c:v>
                </c:pt>
                <c:pt idx="4">
                  <c:v>0.17112661819258931</c:v>
                </c:pt>
                <c:pt idx="5">
                  <c:v>0.33137956644433736</c:v>
                </c:pt>
                <c:pt idx="6">
                  <c:v>0.30029910269192422</c:v>
                </c:pt>
                <c:pt idx="7">
                  <c:v>0.13691669226407471</c:v>
                </c:pt>
                <c:pt idx="8">
                  <c:v>0.48986493746420751</c:v>
                </c:pt>
                <c:pt idx="9">
                  <c:v>0.3</c:v>
                </c:pt>
                <c:pt idx="10">
                  <c:v>0.13133916557971617</c:v>
                </c:pt>
                <c:pt idx="11">
                  <c:v>0.55815312075381984</c:v>
                </c:pt>
              </c:numCache>
            </c:numRef>
          </c:xVal>
          <c:yVal>
            <c:numRef>
              <c:f>('PEG-MDX results summary'!$G$3:$G$5,'PEG-MDX results summary'!$G$9:$G$17)</c:f>
              <c:numCache>
                <c:formatCode>0.0%</c:formatCode>
                <c:ptCount val="12"/>
                <c:pt idx="0">
                  <c:v>9.9902248289345061E-2</c:v>
                </c:pt>
                <c:pt idx="1">
                  <c:v>0.14540954490937325</c:v>
                </c:pt>
                <c:pt idx="2">
                  <c:v>1E-3</c:v>
                </c:pt>
                <c:pt idx="3">
                  <c:v>4.9950049950049952E-2</c:v>
                </c:pt>
                <c:pt idx="4">
                  <c:v>8.6337103120981432E-2</c:v>
                </c:pt>
                <c:pt idx="5">
                  <c:v>1.2671609602289391E-2</c:v>
                </c:pt>
                <c:pt idx="6">
                  <c:v>9.9900299102691936E-2</c:v>
                </c:pt>
                <c:pt idx="7">
                  <c:v>0.19659116876943217</c:v>
                </c:pt>
                <c:pt idx="8">
                  <c:v>2.0447826056263752E-3</c:v>
                </c:pt>
                <c:pt idx="9">
                  <c:v>0.15</c:v>
                </c:pt>
                <c:pt idx="10">
                  <c:v>0.24394454389649806</c:v>
                </c:pt>
                <c:pt idx="11">
                  <c:v>0</c:v>
                </c:pt>
              </c:numCache>
            </c:numRef>
          </c:yVal>
          <c:smooth val="0"/>
          <c:extLst>
            <c:ext xmlns:c16="http://schemas.microsoft.com/office/drawing/2014/chart" uri="{C3380CC4-5D6E-409C-BE32-E72D297353CC}">
              <c16:uniqueId val="{00000018-70C3-4566-BB07-A701BEF382B0}"/>
            </c:ext>
          </c:extLst>
        </c:ser>
        <c:ser>
          <c:idx val="2"/>
          <c:order val="1"/>
          <c:tx>
            <c:v>Model</c:v>
          </c:tx>
          <c:spPr>
            <a:ln w="19050">
              <a:solidFill>
                <a:schemeClr val="accent2"/>
              </a:solidFill>
            </a:ln>
          </c:spPr>
          <c:marker>
            <c:spPr>
              <a:noFill/>
              <a:ln>
                <a:noFill/>
              </a:ln>
            </c:spPr>
          </c:marker>
          <c:xVal>
            <c:numRef>
              <c:f>'Phase diagram models'!$E$57:$E$88</c:f>
              <c:numCache>
                <c:formatCode>General</c:formatCode>
                <c:ptCount val="32"/>
                <c:pt idx="0">
                  <c:v>0.11</c:v>
                </c:pt>
                <c:pt idx="1">
                  <c:v>0.115</c:v>
                </c:pt>
                <c:pt idx="2">
                  <c:v>0.123</c:v>
                </c:pt>
                <c:pt idx="3">
                  <c:v>0.13</c:v>
                </c:pt>
                <c:pt idx="4">
                  <c:v>0.14000000000000001</c:v>
                </c:pt>
                <c:pt idx="5">
                  <c:v>0.15</c:v>
                </c:pt>
                <c:pt idx="6">
                  <c:v>0.16</c:v>
                </c:pt>
                <c:pt idx="7">
                  <c:v>0.17</c:v>
                </c:pt>
                <c:pt idx="8">
                  <c:v>0.18</c:v>
                </c:pt>
                <c:pt idx="9">
                  <c:v>0.19</c:v>
                </c:pt>
                <c:pt idx="10">
                  <c:v>0.2</c:v>
                </c:pt>
                <c:pt idx="11">
                  <c:v>0.22</c:v>
                </c:pt>
                <c:pt idx="12">
                  <c:v>0.24</c:v>
                </c:pt>
                <c:pt idx="13">
                  <c:v>0.26</c:v>
                </c:pt>
                <c:pt idx="14">
                  <c:v>0.28000000000000003</c:v>
                </c:pt>
                <c:pt idx="15">
                  <c:v>0.3</c:v>
                </c:pt>
                <c:pt idx="16">
                  <c:v>0.32</c:v>
                </c:pt>
                <c:pt idx="17">
                  <c:v>0.34</c:v>
                </c:pt>
                <c:pt idx="18">
                  <c:v>0.36</c:v>
                </c:pt>
                <c:pt idx="19">
                  <c:v>0.38</c:v>
                </c:pt>
                <c:pt idx="20">
                  <c:v>0.4</c:v>
                </c:pt>
                <c:pt idx="21">
                  <c:v>0.43</c:v>
                </c:pt>
                <c:pt idx="22">
                  <c:v>0.46</c:v>
                </c:pt>
                <c:pt idx="23">
                  <c:v>0.49</c:v>
                </c:pt>
                <c:pt idx="24">
                  <c:v>0.52</c:v>
                </c:pt>
                <c:pt idx="25">
                  <c:v>0.55000000000000004</c:v>
                </c:pt>
                <c:pt idx="26">
                  <c:v>0.57999999999999996</c:v>
                </c:pt>
                <c:pt idx="27">
                  <c:v>0.61</c:v>
                </c:pt>
                <c:pt idx="28">
                  <c:v>0.64</c:v>
                </c:pt>
                <c:pt idx="29">
                  <c:v>0.67</c:v>
                </c:pt>
                <c:pt idx="30">
                  <c:v>0.7</c:v>
                </c:pt>
                <c:pt idx="31">
                  <c:v>0.73</c:v>
                </c:pt>
              </c:numCache>
            </c:numRef>
          </c:xVal>
          <c:yVal>
            <c:numRef>
              <c:f>'Phase diagram models'!$F$57:$F$88</c:f>
              <c:numCache>
                <c:formatCode>0.000</c:formatCode>
                <c:ptCount val="32"/>
                <c:pt idx="0">
                  <c:v>0.3275002865484079</c:v>
                </c:pt>
                <c:pt idx="1">
                  <c:v>0.30639656858904041</c:v>
                </c:pt>
                <c:pt idx="2">
                  <c:v>0.27238220371836375</c:v>
                </c:pt>
                <c:pt idx="3">
                  <c:v>0.24282689775802599</c:v>
                </c:pt>
                <c:pt idx="4">
                  <c:v>0.20187141942768991</c:v>
                </c:pt>
                <c:pt idx="5">
                  <c:v>0.16351243291473397</c:v>
                </c:pt>
                <c:pt idx="6">
                  <c:v>0.12879089380669678</c:v>
                </c:pt>
                <c:pt idx="7">
                  <c:v>9.8455815886067888E-2</c:v>
                </c:pt>
                <c:pt idx="8">
                  <c:v>7.2909670187161713E-2</c:v>
                </c:pt>
                <c:pt idx="9">
                  <c:v>5.2201619914995147E-2</c:v>
                </c:pt>
                <c:pt idx="10">
                  <c:v>3.6066747242289449E-2</c:v>
                </c:pt>
                <c:pt idx="11">
                  <c:v>1.5353511247132365E-2</c:v>
                </c:pt>
                <c:pt idx="12">
                  <c:v>5.5393833274491227E-3</c:v>
                </c:pt>
                <c:pt idx="13">
                  <c:v>1.6682239062234285E-3</c:v>
                </c:pt>
                <c:pt idx="14">
                  <c:v>4.130300500626039E-4</c:v>
                </c:pt>
                <c:pt idx="15">
                  <c:v>8.2802844730511815E-5</c:v>
                </c:pt>
                <c:pt idx="16">
                  <c:v>1.3238910814257299E-5</c:v>
                </c:pt>
                <c:pt idx="17">
                  <c:v>1.6626996508668749E-6</c:v>
                </c:pt>
                <c:pt idx="18">
                  <c:v>1.6156389011781548E-7</c:v>
                </c:pt>
                <c:pt idx="19">
                  <c:v>1.1963568957264963E-8</c:v>
                </c:pt>
                <c:pt idx="20">
                  <c:v>6.6493979494758363E-10</c:v>
                </c:pt>
                <c:pt idx="21">
                  <c:v>4.9221850828544075E-12</c:v>
                </c:pt>
                <c:pt idx="22">
                  <c:v>1.7546644453142552E-14</c:v>
                </c:pt>
                <c:pt idx="23">
                  <c:v>2.8621881302932164E-17</c:v>
                </c:pt>
                <c:pt idx="24">
                  <c:v>2.0299357436258649E-20</c:v>
                </c:pt>
                <c:pt idx="25">
                  <c:v>5.9478794540942081E-24</c:v>
                </c:pt>
                <c:pt idx="26">
                  <c:v>6.8415815694395056E-28</c:v>
                </c:pt>
                <c:pt idx="27">
                  <c:v>2.9355300619484899E-32</c:v>
                </c:pt>
                <c:pt idx="28">
                  <c:v>4.4645269957287029E-37</c:v>
                </c:pt>
                <c:pt idx="29">
                  <c:v>2.2869054341498924E-42</c:v>
                </c:pt>
                <c:pt idx="30">
                  <c:v>3.7491357675878718E-48</c:v>
                </c:pt>
                <c:pt idx="31">
                  <c:v>1.8691835140867904E-54</c:v>
                </c:pt>
              </c:numCache>
            </c:numRef>
          </c:yVal>
          <c:smooth val="0"/>
          <c:extLst>
            <c:ext xmlns:c16="http://schemas.microsoft.com/office/drawing/2014/chart" uri="{C3380CC4-5D6E-409C-BE32-E72D297353CC}">
              <c16:uniqueId val="{00000019-70C3-4566-BB07-A701BEF382B0}"/>
            </c:ext>
          </c:extLst>
        </c:ser>
        <c:ser>
          <c:idx val="3"/>
          <c:order val="2"/>
          <c:spPr>
            <a:ln w="19050" cap="rnd">
              <a:noFill/>
              <a:round/>
            </a:ln>
            <a:effectLst/>
          </c:spPr>
          <c:xVal>
            <c:numRef>
              <c:f>'PEG-MDX results summary'!$BB$2:$BB$13</c:f>
              <c:numCache>
                <c:formatCode>0%</c:formatCode>
                <c:ptCount val="12"/>
              </c:numCache>
            </c:numRef>
          </c:xVal>
          <c:yVal>
            <c:numRef>
              <c:f>'PEG-MDX results summary'!$BC$2:$BC$13</c:f>
              <c:numCache>
                <c:formatCode>0%</c:formatCode>
                <c:ptCount val="12"/>
              </c:numCache>
            </c:numRef>
          </c:yVal>
          <c:smooth val="0"/>
          <c:extLst>
            <c:ext xmlns:c16="http://schemas.microsoft.com/office/drawing/2014/chart" uri="{C3380CC4-5D6E-409C-BE32-E72D297353CC}">
              <c16:uniqueId val="{0000001A-70C3-4566-BB07-A701BEF382B0}"/>
            </c:ext>
          </c:extLst>
        </c:ser>
        <c:ser>
          <c:idx val="0"/>
          <c:order val="3"/>
          <c:spPr>
            <a:ln w="19050" cap="rnd">
              <a:noFill/>
              <a:round/>
            </a:ln>
            <a:effectLst/>
          </c:spPr>
          <c:marker>
            <c:symbol val="circle"/>
            <c:size val="5"/>
            <c:spPr>
              <a:solidFill>
                <a:schemeClr val="accent1"/>
              </a:solidFill>
              <a:ln w="9525">
                <a:solidFill>
                  <a:schemeClr val="accent1"/>
                </a:solidFill>
              </a:ln>
              <a:effectLst/>
            </c:spPr>
          </c:marker>
          <c:xVal>
            <c:numRef>
              <c:f>'PEG-MDX results summary'!$AZ$2:$AZ$10</c:f>
              <c:numCache>
                <c:formatCode>0%</c:formatCode>
                <c:ptCount val="9"/>
              </c:numCache>
            </c:numRef>
          </c:xVal>
          <c:yVal>
            <c:numRef>
              <c:f>'PEG-MDX results summary'!$BA$2:$BA$10</c:f>
              <c:numCache>
                <c:formatCode>0%</c:formatCode>
                <c:ptCount val="9"/>
              </c:numCache>
            </c:numRef>
          </c:yVal>
          <c:smooth val="0"/>
          <c:extLst>
            <c:ext xmlns:c16="http://schemas.microsoft.com/office/drawing/2014/chart" uri="{C3380CC4-5D6E-409C-BE32-E72D297353CC}">
              <c16:uniqueId val="{00000017-70C3-4566-BB07-A701BEF382B0}"/>
            </c:ext>
          </c:extLst>
        </c:ser>
        <c:dLbls>
          <c:showLegendKey val="0"/>
          <c:showVal val="0"/>
          <c:showCatName val="0"/>
          <c:showSerName val="0"/>
          <c:showPercent val="0"/>
          <c:showBubbleSize val="0"/>
        </c:dLbls>
        <c:axId val="610923384"/>
        <c:axId val="610928632"/>
      </c:scatterChart>
      <c:valAx>
        <c:axId val="610923384"/>
        <c:scaling>
          <c:orientation val="minMax"/>
        </c:scaling>
        <c:delete val="0"/>
        <c:axPos val="b"/>
        <c:title>
          <c:tx>
            <c:rich>
              <a:bodyPr/>
              <a:lstStyle/>
              <a:p>
                <a:pPr>
                  <a:defRPr/>
                </a:pPr>
                <a:r>
                  <a:rPr lang="en-ZA"/>
                  <a:t>MDX concentration (% w/w)</a:t>
                </a:r>
              </a:p>
            </c:rich>
          </c:tx>
          <c:layout>
            <c:manualLayout>
              <c:xMode val="edge"/>
              <c:yMode val="edge"/>
              <c:x val="0.39122949118532802"/>
              <c:y val="0.89376827864565045"/>
            </c:manualLayout>
          </c:layout>
          <c:overlay val="0"/>
        </c:title>
        <c:numFmt formatCode="0.0%" sourceLinked="1"/>
        <c:majorTickMark val="none"/>
        <c:minorTickMark val="none"/>
        <c:tickLblPos val="nextTo"/>
        <c:spPr>
          <a:noFill/>
          <a:ln w="9525" cap="flat" cmpd="sng" algn="ctr">
            <a:solidFill>
              <a:schemeClr val="tx1">
                <a:lumMod val="25000"/>
                <a:lumOff val="75000"/>
              </a:schemeClr>
            </a:solidFill>
            <a:round/>
          </a:ln>
          <a:effectLst/>
        </c:spPr>
        <c:txPr>
          <a:bodyPr rot="-60000000" vert="horz"/>
          <a:lstStyle/>
          <a:p>
            <a:pPr>
              <a:defRPr/>
            </a:pPr>
            <a:endParaRPr lang="en-US"/>
          </a:p>
        </c:txPr>
        <c:crossAx val="610928632"/>
        <c:crosses val="autoZero"/>
        <c:crossBetween val="midCat"/>
      </c:valAx>
      <c:valAx>
        <c:axId val="610928632"/>
        <c:scaling>
          <c:orientation val="minMax"/>
        </c:scaling>
        <c:delete val="0"/>
        <c:axPos val="l"/>
        <c:title>
          <c:tx>
            <c:rich>
              <a:bodyPr/>
              <a:lstStyle/>
              <a:p>
                <a:pPr>
                  <a:defRPr/>
                </a:pPr>
                <a:r>
                  <a:rPr lang="en-ZA"/>
                  <a:t>PEG 10000 concentration (% w/w)</a:t>
                </a:r>
              </a:p>
            </c:rich>
          </c:tx>
          <c:overlay val="0"/>
        </c:title>
        <c:numFmt formatCode="0.0%" sourceLinked="1"/>
        <c:majorTickMark val="none"/>
        <c:minorTickMark val="none"/>
        <c:tickLblPos val="nextTo"/>
        <c:spPr>
          <a:noFill/>
          <a:ln w="9525" cap="flat" cmpd="sng" algn="ctr">
            <a:solidFill>
              <a:schemeClr val="tx1">
                <a:lumMod val="25000"/>
                <a:lumOff val="75000"/>
              </a:schemeClr>
            </a:solidFill>
            <a:round/>
          </a:ln>
          <a:effectLst/>
        </c:spPr>
        <c:txPr>
          <a:bodyPr rot="-60000000" vert="horz"/>
          <a:lstStyle/>
          <a:p>
            <a:pPr>
              <a:defRPr/>
            </a:pPr>
            <a:endParaRPr lang="en-US"/>
          </a:p>
        </c:txPr>
        <c:crossAx val="610923384"/>
        <c:crosses val="autoZero"/>
        <c:crossBetween val="midCat"/>
      </c:valAx>
    </c:plotArea>
    <c:plotVisOnly val="1"/>
    <c:dispBlanksAs val="gap"/>
    <c:showDLblsOverMax val="0"/>
    <c:extLst/>
  </c:chart>
  <c:txPr>
    <a:bodyPr/>
    <a:lstStyle/>
    <a:p>
      <a:pPr>
        <a:defRPr b="0"/>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a:pPr>
            <a:r>
              <a:rPr lang="en-ZA" sz="1400" b="0" i="0" baseline="0">
                <a:effectLst/>
              </a:rPr>
              <a:t>Phase diagram PEG 20000 - MDX</a:t>
            </a:r>
            <a:endParaRPr lang="en-ZA" sz="1400">
              <a:effectLst/>
            </a:endParaRPr>
          </a:p>
        </c:rich>
      </c:tx>
      <c:layout>
        <c:manualLayout>
          <c:xMode val="edge"/>
          <c:yMode val="edge"/>
          <c:x val="0.30423309067208459"/>
          <c:y val="3.5224703096168195E-2"/>
        </c:manualLayout>
      </c:layout>
      <c:overlay val="0"/>
    </c:title>
    <c:autoTitleDeleted val="0"/>
    <c:plotArea>
      <c:layout>
        <c:manualLayout>
          <c:layoutTarget val="inner"/>
          <c:xMode val="edge"/>
          <c:yMode val="edge"/>
          <c:x val="0.1701622050735912"/>
          <c:y val="5.3844754434001822E-2"/>
          <c:w val="0.77857215642575628"/>
          <c:h val="0.76822857346862983"/>
        </c:manualLayout>
      </c:layout>
      <c:scatterChart>
        <c:scatterStyle val="lineMarker"/>
        <c:varyColors val="0"/>
        <c:ser>
          <c:idx val="0"/>
          <c:order val="0"/>
          <c:tx>
            <c:v>PEG 20000</c:v>
          </c:tx>
          <c:spPr>
            <a:ln w="19050">
              <a:noFill/>
            </a:ln>
          </c:spPr>
          <c:marker>
            <c:symbol val="triangle"/>
            <c:size val="3"/>
            <c:spPr>
              <a:solidFill>
                <a:schemeClr val="accent6"/>
              </a:solidFill>
              <a:ln w="9525">
                <a:noFill/>
              </a:ln>
              <a:effectLst/>
            </c:spPr>
          </c:marker>
          <c:errBars>
            <c:errDir val="x"/>
            <c:errBarType val="both"/>
            <c:errValType val="cust"/>
            <c:noEndCap val="0"/>
            <c:plus>
              <c:numRef>
                <c:f>'PEG-MDX results summary'!$F$41:$F$55</c:f>
                <c:numCache>
                  <c:formatCode>General</c:formatCode>
                  <c:ptCount val="15"/>
                  <c:pt idx="0">
                    <c:v>1E-3</c:v>
                  </c:pt>
                  <c:pt idx="1">
                    <c:v>9.8105846596029719E-4</c:v>
                  </c:pt>
                  <c:pt idx="2">
                    <c:v>8.4767953375795967E-3</c:v>
                  </c:pt>
                  <c:pt idx="3">
                    <c:v>1E-3</c:v>
                  </c:pt>
                  <c:pt idx="4">
                    <c:v>2.7580938352412643E-3</c:v>
                  </c:pt>
                  <c:pt idx="5">
                    <c:v>9.8507089460942616E-3</c:v>
                  </c:pt>
                  <c:pt idx="6">
                    <c:v>1E-3</c:v>
                  </c:pt>
                  <c:pt idx="7">
                    <c:v>8.1942257047657226E-3</c:v>
                  </c:pt>
                  <c:pt idx="8">
                    <c:v>5.6617579431991341E-3</c:v>
                  </c:pt>
                  <c:pt idx="9">
                    <c:v>1E-3</c:v>
                  </c:pt>
                  <c:pt idx="10">
                    <c:v>4.815430496337334E-3</c:v>
                  </c:pt>
                  <c:pt idx="11">
                    <c:v>3.0891954878820693E-2</c:v>
                  </c:pt>
                  <c:pt idx="12">
                    <c:v>1E-3</c:v>
                  </c:pt>
                  <c:pt idx="13">
                    <c:v>1.1878619801761969E-2</c:v>
                  </c:pt>
                  <c:pt idx="14">
                    <c:v>2.4917758437263821E-2</c:v>
                  </c:pt>
                </c:numCache>
              </c:numRef>
            </c:plus>
            <c:minus>
              <c:numRef>
                <c:f>'PEG-MDX results summary'!$F$41:$F$55</c:f>
                <c:numCache>
                  <c:formatCode>General</c:formatCode>
                  <c:ptCount val="15"/>
                  <c:pt idx="0">
                    <c:v>1E-3</c:v>
                  </c:pt>
                  <c:pt idx="1">
                    <c:v>9.8105846596029719E-4</c:v>
                  </c:pt>
                  <c:pt idx="2">
                    <c:v>8.4767953375795967E-3</c:v>
                  </c:pt>
                  <c:pt idx="3">
                    <c:v>1E-3</c:v>
                  </c:pt>
                  <c:pt idx="4">
                    <c:v>2.7580938352412643E-3</c:v>
                  </c:pt>
                  <c:pt idx="5">
                    <c:v>9.8507089460942616E-3</c:v>
                  </c:pt>
                  <c:pt idx="6">
                    <c:v>1E-3</c:v>
                  </c:pt>
                  <c:pt idx="7">
                    <c:v>8.1942257047657226E-3</c:v>
                  </c:pt>
                  <c:pt idx="8">
                    <c:v>5.6617579431991341E-3</c:v>
                  </c:pt>
                  <c:pt idx="9">
                    <c:v>1E-3</c:v>
                  </c:pt>
                  <c:pt idx="10">
                    <c:v>4.815430496337334E-3</c:v>
                  </c:pt>
                  <c:pt idx="11">
                    <c:v>3.0891954878820693E-2</c:v>
                  </c:pt>
                  <c:pt idx="12">
                    <c:v>1E-3</c:v>
                  </c:pt>
                  <c:pt idx="13">
                    <c:v>1.1878619801761969E-2</c:v>
                  </c:pt>
                  <c:pt idx="14">
                    <c:v>2.4917758437263821E-2</c:v>
                  </c:pt>
                </c:numCache>
              </c:numRef>
            </c:minus>
            <c:spPr>
              <a:noFill/>
              <a:ln w="9525" cap="flat" cmpd="sng" algn="ctr">
                <a:solidFill>
                  <a:schemeClr val="tx1">
                    <a:lumMod val="65000"/>
                    <a:lumOff val="35000"/>
                  </a:schemeClr>
                </a:solidFill>
                <a:round/>
              </a:ln>
              <a:effectLst/>
            </c:spPr>
          </c:errBars>
          <c:errBars>
            <c:errDir val="y"/>
            <c:errBarType val="both"/>
            <c:errValType val="cust"/>
            <c:noEndCap val="0"/>
            <c:plus>
              <c:numRef>
                <c:f>'PEG-MDX results summary'!$H$41:$H$55</c:f>
                <c:numCache>
                  <c:formatCode>General</c:formatCode>
                  <c:ptCount val="15"/>
                  <c:pt idx="0">
                    <c:v>1E-3</c:v>
                  </c:pt>
                  <c:pt idx="1">
                    <c:v>1.9028909328900891E-3</c:v>
                  </c:pt>
                  <c:pt idx="2">
                    <c:v>6.0269878015437525E-3</c:v>
                  </c:pt>
                  <c:pt idx="3">
                    <c:v>1E-3</c:v>
                  </c:pt>
                  <c:pt idx="4">
                    <c:v>3.4802330808113577E-3</c:v>
                  </c:pt>
                  <c:pt idx="5">
                    <c:v>1.0004296120469245E-2</c:v>
                  </c:pt>
                  <c:pt idx="6">
                    <c:v>1E-3</c:v>
                  </c:pt>
                  <c:pt idx="7">
                    <c:v>8.4414611329540722E-3</c:v>
                  </c:pt>
                  <c:pt idx="8">
                    <c:v>5.7267881517027042E-3</c:v>
                  </c:pt>
                  <c:pt idx="9">
                    <c:v>1E-3</c:v>
                  </c:pt>
                  <c:pt idx="10">
                    <c:v>3.4698515979618254E-3</c:v>
                  </c:pt>
                  <c:pt idx="11">
                    <c:v>3.5353692166164491E-2</c:v>
                  </c:pt>
                  <c:pt idx="12">
                    <c:v>1E-3</c:v>
                  </c:pt>
                  <c:pt idx="13">
                    <c:v>1.1064377070880252E-2</c:v>
                  </c:pt>
                  <c:pt idx="14">
                    <c:v>3.3851198264168894E-2</c:v>
                  </c:pt>
                </c:numCache>
              </c:numRef>
            </c:plus>
            <c:minus>
              <c:numRef>
                <c:f>'PEG-MDX results summary'!$H$41:$H$55</c:f>
                <c:numCache>
                  <c:formatCode>General</c:formatCode>
                  <c:ptCount val="15"/>
                  <c:pt idx="0">
                    <c:v>1E-3</c:v>
                  </c:pt>
                  <c:pt idx="1">
                    <c:v>1.9028909328900891E-3</c:v>
                  </c:pt>
                  <c:pt idx="2">
                    <c:v>6.0269878015437525E-3</c:v>
                  </c:pt>
                  <c:pt idx="3">
                    <c:v>1E-3</c:v>
                  </c:pt>
                  <c:pt idx="4">
                    <c:v>3.4802330808113577E-3</c:v>
                  </c:pt>
                  <c:pt idx="5">
                    <c:v>1.0004296120469245E-2</c:v>
                  </c:pt>
                  <c:pt idx="6">
                    <c:v>1E-3</c:v>
                  </c:pt>
                  <c:pt idx="7">
                    <c:v>8.4414611329540722E-3</c:v>
                  </c:pt>
                  <c:pt idx="8">
                    <c:v>5.7267881517027042E-3</c:v>
                  </c:pt>
                  <c:pt idx="9">
                    <c:v>1E-3</c:v>
                  </c:pt>
                  <c:pt idx="10">
                    <c:v>3.4698515979618254E-3</c:v>
                  </c:pt>
                  <c:pt idx="11">
                    <c:v>3.5353692166164491E-2</c:v>
                  </c:pt>
                  <c:pt idx="12">
                    <c:v>1E-3</c:v>
                  </c:pt>
                  <c:pt idx="13">
                    <c:v>1.1064377070880252E-2</c:v>
                  </c:pt>
                  <c:pt idx="14">
                    <c:v>3.3851198264168894E-2</c:v>
                  </c:pt>
                </c:numCache>
              </c:numRef>
            </c:minus>
            <c:spPr>
              <a:noFill/>
              <a:ln w="9525" cap="flat" cmpd="sng" algn="ctr">
                <a:solidFill>
                  <a:schemeClr val="tx1">
                    <a:lumMod val="65000"/>
                    <a:lumOff val="35000"/>
                  </a:schemeClr>
                </a:solidFill>
                <a:round/>
              </a:ln>
              <a:effectLst/>
            </c:spPr>
          </c:errBars>
          <c:xVal>
            <c:numRef>
              <c:f>'PEG-MDX results summary'!$E$41:$E$55</c:f>
              <c:numCache>
                <c:formatCode>0.0%</c:formatCode>
                <c:ptCount val="15"/>
                <c:pt idx="0">
                  <c:v>0.2543186180422265</c:v>
                </c:pt>
                <c:pt idx="1">
                  <c:v>0.14800253819463519</c:v>
                </c:pt>
                <c:pt idx="2">
                  <c:v>0.34825313143033321</c:v>
                </c:pt>
                <c:pt idx="3">
                  <c:v>0.24952471482889735</c:v>
                </c:pt>
                <c:pt idx="4">
                  <c:v>0.12424210937324466</c:v>
                </c:pt>
                <c:pt idx="5">
                  <c:v>0.43907059403520421</c:v>
                </c:pt>
                <c:pt idx="6">
                  <c:v>0.30089197224975217</c:v>
                </c:pt>
                <c:pt idx="7">
                  <c:v>0.12944037758466811</c:v>
                </c:pt>
                <c:pt idx="8">
                  <c:v>0.56291456354761793</c:v>
                </c:pt>
                <c:pt idx="9">
                  <c:v>0.3</c:v>
                </c:pt>
                <c:pt idx="10">
                  <c:v>0.1275901410544604</c:v>
                </c:pt>
                <c:pt idx="11">
                  <c:v>0.64014366446238091</c:v>
                </c:pt>
                <c:pt idx="12">
                  <c:v>0.30029850746268655</c:v>
                </c:pt>
                <c:pt idx="13">
                  <c:v>0.13852663503088306</c:v>
                </c:pt>
                <c:pt idx="14">
                  <c:v>0.48533153600175966</c:v>
                </c:pt>
              </c:numCache>
            </c:numRef>
          </c:xVal>
          <c:yVal>
            <c:numRef>
              <c:f>'PEG-MDX results summary'!$G$41:$G$55</c:f>
              <c:numCache>
                <c:formatCode>0.0%</c:formatCode>
                <c:ptCount val="15"/>
                <c:pt idx="0">
                  <c:v>4.894433781190019E-2</c:v>
                </c:pt>
                <c:pt idx="1">
                  <c:v>9.7168578571095635E-2</c:v>
                </c:pt>
                <c:pt idx="2">
                  <c:v>1E-3</c:v>
                </c:pt>
                <c:pt idx="3">
                  <c:v>0.10019011406844107</c:v>
                </c:pt>
                <c:pt idx="4">
                  <c:v>0.16134175197834308</c:v>
                </c:pt>
                <c:pt idx="5">
                  <c:v>1E-3</c:v>
                </c:pt>
                <c:pt idx="6">
                  <c:v>0.14945490584737364</c:v>
                </c:pt>
                <c:pt idx="7">
                  <c:v>0.25018011666158002</c:v>
                </c:pt>
                <c:pt idx="8">
                  <c:v>1E-3</c:v>
                </c:pt>
                <c:pt idx="9">
                  <c:v>0.19999999999999998</c:v>
                </c:pt>
                <c:pt idx="10">
                  <c:v>0.30791031364825089</c:v>
                </c:pt>
                <c:pt idx="11">
                  <c:v>1E-3</c:v>
                </c:pt>
                <c:pt idx="12">
                  <c:v>9.9900497512437805E-2</c:v>
                </c:pt>
                <c:pt idx="13">
                  <c:v>0.18894888454608902</c:v>
                </c:pt>
                <c:pt idx="14">
                  <c:v>1E-3</c:v>
                </c:pt>
              </c:numCache>
            </c:numRef>
          </c:yVal>
          <c:smooth val="0"/>
          <c:extLst>
            <c:ext xmlns:c16="http://schemas.microsoft.com/office/drawing/2014/chart" uri="{C3380CC4-5D6E-409C-BE32-E72D297353CC}">
              <c16:uniqueId val="{00000002-DD66-4C75-8A3D-FA2A2B2A791E}"/>
            </c:ext>
          </c:extLst>
        </c:ser>
        <c:ser>
          <c:idx val="1"/>
          <c:order val="1"/>
          <c:tx>
            <c:v>Model</c:v>
          </c:tx>
          <c:spPr>
            <a:ln w="19050">
              <a:solidFill>
                <a:schemeClr val="accent6"/>
              </a:solidFill>
            </a:ln>
          </c:spPr>
          <c:marker>
            <c:symbol val="none"/>
          </c:marker>
          <c:xVal>
            <c:numRef>
              <c:f>'Phase diagram models'!$E$57:$E$88</c:f>
              <c:numCache>
                <c:formatCode>General</c:formatCode>
                <c:ptCount val="32"/>
                <c:pt idx="0">
                  <c:v>0.11</c:v>
                </c:pt>
                <c:pt idx="1">
                  <c:v>0.115</c:v>
                </c:pt>
                <c:pt idx="2">
                  <c:v>0.123</c:v>
                </c:pt>
                <c:pt idx="3">
                  <c:v>0.13</c:v>
                </c:pt>
                <c:pt idx="4">
                  <c:v>0.14000000000000001</c:v>
                </c:pt>
                <c:pt idx="5">
                  <c:v>0.15</c:v>
                </c:pt>
                <c:pt idx="6">
                  <c:v>0.16</c:v>
                </c:pt>
                <c:pt idx="7">
                  <c:v>0.17</c:v>
                </c:pt>
                <c:pt idx="8">
                  <c:v>0.18</c:v>
                </c:pt>
                <c:pt idx="9">
                  <c:v>0.19</c:v>
                </c:pt>
                <c:pt idx="10">
                  <c:v>0.2</c:v>
                </c:pt>
                <c:pt idx="11">
                  <c:v>0.22</c:v>
                </c:pt>
                <c:pt idx="12">
                  <c:v>0.24</c:v>
                </c:pt>
                <c:pt idx="13">
                  <c:v>0.26</c:v>
                </c:pt>
                <c:pt idx="14">
                  <c:v>0.28000000000000003</c:v>
                </c:pt>
                <c:pt idx="15">
                  <c:v>0.3</c:v>
                </c:pt>
                <c:pt idx="16">
                  <c:v>0.32</c:v>
                </c:pt>
                <c:pt idx="17">
                  <c:v>0.34</c:v>
                </c:pt>
                <c:pt idx="18">
                  <c:v>0.36</c:v>
                </c:pt>
                <c:pt idx="19">
                  <c:v>0.38</c:v>
                </c:pt>
                <c:pt idx="20">
                  <c:v>0.4</c:v>
                </c:pt>
                <c:pt idx="21">
                  <c:v>0.43</c:v>
                </c:pt>
                <c:pt idx="22">
                  <c:v>0.46</c:v>
                </c:pt>
                <c:pt idx="23">
                  <c:v>0.49</c:v>
                </c:pt>
                <c:pt idx="24">
                  <c:v>0.52</c:v>
                </c:pt>
                <c:pt idx="25">
                  <c:v>0.55000000000000004</c:v>
                </c:pt>
                <c:pt idx="26">
                  <c:v>0.57999999999999996</c:v>
                </c:pt>
                <c:pt idx="27">
                  <c:v>0.61</c:v>
                </c:pt>
                <c:pt idx="28">
                  <c:v>0.64</c:v>
                </c:pt>
                <c:pt idx="29">
                  <c:v>0.67</c:v>
                </c:pt>
                <c:pt idx="30">
                  <c:v>0.7</c:v>
                </c:pt>
                <c:pt idx="31">
                  <c:v>0.73</c:v>
                </c:pt>
              </c:numCache>
            </c:numRef>
          </c:xVal>
          <c:yVal>
            <c:numRef>
              <c:f>'Phase diagram models'!$H$57:$H$88</c:f>
              <c:numCache>
                <c:formatCode>0.000</c:formatCode>
                <c:ptCount val="32"/>
                <c:pt idx="0">
                  <c:v>0.36086186569881928</c:v>
                </c:pt>
                <c:pt idx="1">
                  <c:v>0.32132149549760358</c:v>
                </c:pt>
                <c:pt idx="2">
                  <c:v>0.26287789348444068</c:v>
                </c:pt>
                <c:pt idx="3">
                  <c:v>0.21697016771322319</c:v>
                </c:pt>
                <c:pt idx="4">
                  <c:v>0.16031138902072523</c:v>
                </c:pt>
                <c:pt idx="5">
                  <c:v>0.11424562588880356</c:v>
                </c:pt>
                <c:pt idx="6">
                  <c:v>7.8300190201037331E-2</c:v>
                </c:pt>
                <c:pt idx="7">
                  <c:v>5.146168061575495E-2</c:v>
                </c:pt>
                <c:pt idx="8">
                  <c:v>3.2341713453122457E-2</c:v>
                </c:pt>
                <c:pt idx="9">
                  <c:v>1.9380642485097826E-2</c:v>
                </c:pt>
                <c:pt idx="10">
                  <c:v>1.1042674227426769E-2</c:v>
                </c:pt>
                <c:pt idx="11">
                  <c:v>3.0473016097697357E-3</c:v>
                </c:pt>
                <c:pt idx="12">
                  <c:v>6.6463138481734135E-4</c:v>
                </c:pt>
                <c:pt idx="13">
                  <c:v>1.1205170842627965E-4</c:v>
                </c:pt>
                <c:pt idx="14">
                  <c:v>1.4282881958768717E-5</c:v>
                </c:pt>
                <c:pt idx="15">
                  <c:v>1.3464498722093336E-6</c:v>
                </c:pt>
                <c:pt idx="16">
                  <c:v>9.1829383448033612E-8</c:v>
                </c:pt>
                <c:pt idx="17">
                  <c:v>4.4324965315754997E-9</c:v>
                </c:pt>
                <c:pt idx="18">
                  <c:v>1.481367552491351E-10</c:v>
                </c:pt>
                <c:pt idx="19">
                  <c:v>3.3535819917905255E-12</c:v>
                </c:pt>
                <c:pt idx="20">
                  <c:v>5.0312993003527811E-14</c:v>
                </c:pt>
                <c:pt idx="21">
                  <c:v>4.0751624411155591E-17</c:v>
                </c:pt>
                <c:pt idx="22">
                  <c:v>1.1566149931991364E-20</c:v>
                </c:pt>
                <c:pt idx="23">
                  <c:v>1.0685771369697516E-24</c:v>
                </c:pt>
                <c:pt idx="24">
                  <c:v>2.9854548743357636E-29</c:v>
                </c:pt>
                <c:pt idx="25">
                  <c:v>2.3433298358809577E-34</c:v>
                </c:pt>
                <c:pt idx="26">
                  <c:v>4.8008544440173606E-40</c:v>
                </c:pt>
                <c:pt idx="27">
                  <c:v>2.3851771814078643E-46</c:v>
                </c:pt>
                <c:pt idx="28">
                  <c:v>2.6699524995630803E-53</c:v>
                </c:pt>
                <c:pt idx="29">
                  <c:v>6.256602203220217E-61</c:v>
                </c:pt>
                <c:pt idx="30">
                  <c:v>2.8516970203232482E-69</c:v>
                </c:pt>
                <c:pt idx="31">
                  <c:v>2.3489901145820881E-78</c:v>
                </c:pt>
              </c:numCache>
            </c:numRef>
          </c:yVal>
          <c:smooth val="0"/>
          <c:extLst>
            <c:ext xmlns:c16="http://schemas.microsoft.com/office/drawing/2014/chart" uri="{C3380CC4-5D6E-409C-BE32-E72D297353CC}">
              <c16:uniqueId val="{00000003-DD66-4C75-8A3D-FA2A2B2A791E}"/>
            </c:ext>
          </c:extLst>
        </c:ser>
        <c:dLbls>
          <c:showLegendKey val="0"/>
          <c:showVal val="0"/>
          <c:showCatName val="0"/>
          <c:showSerName val="0"/>
          <c:showPercent val="0"/>
          <c:showBubbleSize val="0"/>
        </c:dLbls>
        <c:axId val="624976296"/>
        <c:axId val="624975640"/>
      </c:scatterChart>
      <c:valAx>
        <c:axId val="624976296"/>
        <c:scaling>
          <c:orientation val="minMax"/>
          <c:max val="0.70000000000000007"/>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sz="1000" b="0" i="0" u="none" strike="noStrike" baseline="0">
                    <a:effectLst/>
                  </a:rPr>
                  <a:t>MDX concentration (% w/w)</a:t>
                </a:r>
                <a:endParaRPr lang="en-ZA"/>
              </a:p>
            </c:rich>
          </c:tx>
          <c:overlay val="0"/>
          <c:spPr>
            <a:noFill/>
            <a:ln>
              <a:noFill/>
            </a:ln>
            <a:effectLst/>
          </c:spPr>
        </c:title>
        <c:numFmt formatCode="0.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24975640"/>
        <c:crosses val="autoZero"/>
        <c:crossBetween val="midCat"/>
      </c:valAx>
      <c:valAx>
        <c:axId val="624975640"/>
        <c:scaling>
          <c:orientation val="minMax"/>
          <c:min val="0"/>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sz="1000" b="0" i="0" u="none" strike="noStrike" baseline="0">
                    <a:effectLst/>
                  </a:rPr>
                  <a:t>PEG 20000 concentration (% w/w)</a:t>
                </a:r>
                <a:endParaRPr lang="en-ZA"/>
              </a:p>
            </c:rich>
          </c:tx>
          <c:overlay val="0"/>
          <c:spPr>
            <a:noFill/>
            <a:ln>
              <a:noFill/>
            </a:ln>
            <a:effectLst/>
          </c:spPr>
        </c:title>
        <c:numFmt formatCode="0.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24976296"/>
        <c:crosses val="autoZero"/>
        <c:crossBetween val="midCat"/>
      </c:valAx>
    </c:plotArea>
    <c:plotVisOnly val="1"/>
    <c:dispBlanksAs val="gap"/>
    <c:showDLblsOverMax val="0"/>
    <c:extLst/>
  </c:chart>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PEG 10000 - MDX Phase equilibrium curve model</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19050" cap="rnd">
              <a:solidFill>
                <a:schemeClr val="accent2"/>
              </a:solidFill>
              <a:round/>
            </a:ln>
            <a:effectLst/>
          </c:spPr>
          <c:marker>
            <c:symbol val="none"/>
          </c:marker>
          <c:xVal>
            <c:numRef>
              <c:f>'Phase diagram models'!$E$57:$E$88</c:f>
              <c:numCache>
                <c:formatCode>General</c:formatCode>
                <c:ptCount val="32"/>
                <c:pt idx="0">
                  <c:v>0.11</c:v>
                </c:pt>
                <c:pt idx="1">
                  <c:v>0.115</c:v>
                </c:pt>
                <c:pt idx="2">
                  <c:v>0.123</c:v>
                </c:pt>
                <c:pt idx="3">
                  <c:v>0.13</c:v>
                </c:pt>
                <c:pt idx="4">
                  <c:v>0.14000000000000001</c:v>
                </c:pt>
                <c:pt idx="5">
                  <c:v>0.15</c:v>
                </c:pt>
                <c:pt idx="6">
                  <c:v>0.16</c:v>
                </c:pt>
                <c:pt idx="7">
                  <c:v>0.17</c:v>
                </c:pt>
                <c:pt idx="8">
                  <c:v>0.18</c:v>
                </c:pt>
                <c:pt idx="9">
                  <c:v>0.19</c:v>
                </c:pt>
                <c:pt idx="10">
                  <c:v>0.2</c:v>
                </c:pt>
                <c:pt idx="11">
                  <c:v>0.22</c:v>
                </c:pt>
                <c:pt idx="12">
                  <c:v>0.24</c:v>
                </c:pt>
                <c:pt idx="13">
                  <c:v>0.26</c:v>
                </c:pt>
                <c:pt idx="14">
                  <c:v>0.28000000000000003</c:v>
                </c:pt>
                <c:pt idx="15">
                  <c:v>0.3</c:v>
                </c:pt>
                <c:pt idx="16">
                  <c:v>0.32</c:v>
                </c:pt>
                <c:pt idx="17">
                  <c:v>0.34</c:v>
                </c:pt>
                <c:pt idx="18">
                  <c:v>0.36</c:v>
                </c:pt>
                <c:pt idx="19">
                  <c:v>0.38</c:v>
                </c:pt>
                <c:pt idx="20">
                  <c:v>0.4</c:v>
                </c:pt>
                <c:pt idx="21">
                  <c:v>0.43</c:v>
                </c:pt>
                <c:pt idx="22">
                  <c:v>0.46</c:v>
                </c:pt>
                <c:pt idx="23">
                  <c:v>0.49</c:v>
                </c:pt>
                <c:pt idx="24">
                  <c:v>0.52</c:v>
                </c:pt>
                <c:pt idx="25">
                  <c:v>0.55000000000000004</c:v>
                </c:pt>
                <c:pt idx="26">
                  <c:v>0.57999999999999996</c:v>
                </c:pt>
                <c:pt idx="27">
                  <c:v>0.61</c:v>
                </c:pt>
                <c:pt idx="28">
                  <c:v>0.64</c:v>
                </c:pt>
                <c:pt idx="29">
                  <c:v>0.67</c:v>
                </c:pt>
                <c:pt idx="30">
                  <c:v>0.7</c:v>
                </c:pt>
                <c:pt idx="31">
                  <c:v>0.73</c:v>
                </c:pt>
              </c:numCache>
            </c:numRef>
          </c:xVal>
          <c:yVal>
            <c:numRef>
              <c:f>'Phase diagram models'!$F$57:$F$88</c:f>
              <c:numCache>
                <c:formatCode>0.000</c:formatCode>
                <c:ptCount val="32"/>
                <c:pt idx="0">
                  <c:v>0.3275002865484079</c:v>
                </c:pt>
                <c:pt idx="1">
                  <c:v>0.30639656858904041</c:v>
                </c:pt>
                <c:pt idx="2">
                  <c:v>0.27238220371836375</c:v>
                </c:pt>
                <c:pt idx="3">
                  <c:v>0.24282689775802599</c:v>
                </c:pt>
                <c:pt idx="4">
                  <c:v>0.20187141942768991</c:v>
                </c:pt>
                <c:pt idx="5">
                  <c:v>0.16351243291473397</c:v>
                </c:pt>
                <c:pt idx="6">
                  <c:v>0.12879089380669678</c:v>
                </c:pt>
                <c:pt idx="7">
                  <c:v>9.8455815886067888E-2</c:v>
                </c:pt>
                <c:pt idx="8">
                  <c:v>7.2909670187161713E-2</c:v>
                </c:pt>
                <c:pt idx="9">
                  <c:v>5.2201619914995147E-2</c:v>
                </c:pt>
                <c:pt idx="10">
                  <c:v>3.6066747242289449E-2</c:v>
                </c:pt>
                <c:pt idx="11">
                  <c:v>1.5353511247132365E-2</c:v>
                </c:pt>
                <c:pt idx="12">
                  <c:v>5.5393833274491227E-3</c:v>
                </c:pt>
                <c:pt idx="13">
                  <c:v>1.6682239062234285E-3</c:v>
                </c:pt>
                <c:pt idx="14">
                  <c:v>4.130300500626039E-4</c:v>
                </c:pt>
                <c:pt idx="15">
                  <c:v>8.2802844730511815E-5</c:v>
                </c:pt>
                <c:pt idx="16">
                  <c:v>1.3238910814257299E-5</c:v>
                </c:pt>
                <c:pt idx="17">
                  <c:v>1.6626996508668749E-6</c:v>
                </c:pt>
                <c:pt idx="18">
                  <c:v>1.6156389011781548E-7</c:v>
                </c:pt>
                <c:pt idx="19">
                  <c:v>1.1963568957264963E-8</c:v>
                </c:pt>
                <c:pt idx="20">
                  <c:v>6.6493979494758363E-10</c:v>
                </c:pt>
                <c:pt idx="21">
                  <c:v>4.9221850828544075E-12</c:v>
                </c:pt>
                <c:pt idx="22">
                  <c:v>1.7546644453142552E-14</c:v>
                </c:pt>
                <c:pt idx="23">
                  <c:v>2.8621881302932164E-17</c:v>
                </c:pt>
                <c:pt idx="24">
                  <c:v>2.0299357436258649E-20</c:v>
                </c:pt>
                <c:pt idx="25">
                  <c:v>5.9478794540942081E-24</c:v>
                </c:pt>
                <c:pt idx="26">
                  <c:v>6.8415815694395056E-28</c:v>
                </c:pt>
                <c:pt idx="27">
                  <c:v>2.9355300619484899E-32</c:v>
                </c:pt>
                <c:pt idx="28">
                  <c:v>4.4645269957287029E-37</c:v>
                </c:pt>
                <c:pt idx="29">
                  <c:v>2.2869054341498924E-42</c:v>
                </c:pt>
                <c:pt idx="30">
                  <c:v>3.7491357675878718E-48</c:v>
                </c:pt>
                <c:pt idx="31">
                  <c:v>1.8691835140867904E-54</c:v>
                </c:pt>
              </c:numCache>
            </c:numRef>
          </c:yVal>
          <c:smooth val="0"/>
          <c:extLst>
            <c:ext xmlns:c16="http://schemas.microsoft.com/office/drawing/2014/chart" uri="{C3380CC4-5D6E-409C-BE32-E72D297353CC}">
              <c16:uniqueId val="{00000000-B673-4729-92F3-FA67F216CB0F}"/>
            </c:ext>
          </c:extLst>
        </c:ser>
        <c:ser>
          <c:idx val="1"/>
          <c:order val="1"/>
          <c:spPr>
            <a:ln w="19050" cap="rnd">
              <a:noFill/>
              <a:round/>
            </a:ln>
            <a:effectLst/>
          </c:spPr>
          <c:marker>
            <c:symbol val="circle"/>
            <c:size val="5"/>
            <c:spPr>
              <a:solidFill>
                <a:schemeClr val="accent2"/>
              </a:solidFill>
              <a:ln w="9525">
                <a:solidFill>
                  <a:schemeClr val="accent2"/>
                </a:solidFill>
              </a:ln>
              <a:effectLst/>
            </c:spPr>
          </c:marker>
          <c:xVal>
            <c:numRef>
              <c:f>'Phase diagram models'!$B$6:$B$15</c:f>
              <c:numCache>
                <c:formatCode>0.0%</c:formatCode>
                <c:ptCount val="10"/>
                <c:pt idx="0">
                  <c:v>0.17720705010776616</c:v>
                </c:pt>
                <c:pt idx="1">
                  <c:v>0.34554341064230315</c:v>
                </c:pt>
                <c:pt idx="2">
                  <c:v>0.15700016117635504</c:v>
                </c:pt>
                <c:pt idx="3">
                  <c:v>0.42912956622280746</c:v>
                </c:pt>
                <c:pt idx="4">
                  <c:v>0.1273460846302151</c:v>
                </c:pt>
                <c:pt idx="5">
                  <c:v>0.56385117312134425</c:v>
                </c:pt>
                <c:pt idx="6">
                  <c:v>0.11217741051405894</c:v>
                </c:pt>
                <c:pt idx="7">
                  <c:v>0.62623819397190306</c:v>
                </c:pt>
                <c:pt idx="8">
                  <c:v>0.15213594567873995</c:v>
                </c:pt>
                <c:pt idx="9">
                  <c:v>0.47410315860533686</c:v>
                </c:pt>
              </c:numCache>
            </c:numRef>
          </c:xVal>
          <c:yVal>
            <c:numRef>
              <c:f>'Phase diagram models'!$C$6:$C$15</c:f>
              <c:numCache>
                <c:formatCode>0.0%</c:formatCode>
                <c:ptCount val="10"/>
                <c:pt idx="0">
                  <c:v>7.1653624479604452E-2</c:v>
                </c:pt>
                <c:pt idx="1">
                  <c:v>1E-3</c:v>
                </c:pt>
                <c:pt idx="2">
                  <c:v>0.13116430539687685</c:v>
                </c:pt>
                <c:pt idx="3">
                  <c:v>1E-3</c:v>
                </c:pt>
                <c:pt idx="4">
                  <c:v>0.24977483246073254</c:v>
                </c:pt>
                <c:pt idx="5">
                  <c:v>1E-3</c:v>
                </c:pt>
                <c:pt idx="6">
                  <c:v>0.31725463897325273</c:v>
                </c:pt>
                <c:pt idx="7">
                  <c:v>1E-3</c:v>
                </c:pt>
                <c:pt idx="8">
                  <c:v>0.17602279632989112</c:v>
                </c:pt>
                <c:pt idx="9">
                  <c:v>1E-3</c:v>
                </c:pt>
              </c:numCache>
            </c:numRef>
          </c:yVal>
          <c:smooth val="0"/>
          <c:extLst>
            <c:ext xmlns:c16="http://schemas.microsoft.com/office/drawing/2014/chart" uri="{C3380CC4-5D6E-409C-BE32-E72D297353CC}">
              <c16:uniqueId val="{00000001-B673-4729-92F3-FA67F216CB0F}"/>
            </c:ext>
          </c:extLst>
        </c:ser>
        <c:dLbls>
          <c:showLegendKey val="0"/>
          <c:showVal val="0"/>
          <c:showCatName val="0"/>
          <c:showSerName val="0"/>
          <c:showPercent val="0"/>
          <c:showBubbleSize val="0"/>
        </c:dLbls>
        <c:axId val="565232208"/>
        <c:axId val="565235488"/>
      </c:scatterChart>
      <c:valAx>
        <c:axId val="565232208"/>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a:t>MDX</a:t>
                </a:r>
                <a:r>
                  <a:rPr lang="en-ZA" baseline="0"/>
                  <a:t> concentration (wt%)</a:t>
                </a:r>
                <a:endParaRPr lang="en-ZA"/>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65235488"/>
        <c:crosses val="autoZero"/>
        <c:crossBetween val="midCat"/>
      </c:valAx>
      <c:valAx>
        <c:axId val="56523548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a:t>PEG</a:t>
                </a:r>
                <a:r>
                  <a:rPr lang="en-ZA" baseline="0"/>
                  <a:t> concentration (wt%)</a:t>
                </a:r>
                <a:endParaRPr lang="en-ZA"/>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65232208"/>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PEG 12000 - MDX Phase equilibrium curve model</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19050" cap="rnd">
              <a:solidFill>
                <a:schemeClr val="accent5"/>
              </a:solidFill>
              <a:round/>
            </a:ln>
            <a:effectLst/>
          </c:spPr>
          <c:marker>
            <c:symbol val="none"/>
          </c:marker>
          <c:xVal>
            <c:numRef>
              <c:f>'Phase diagram models'!$E$59:$E$88</c:f>
              <c:numCache>
                <c:formatCode>General</c:formatCode>
                <c:ptCount val="30"/>
                <c:pt idx="0">
                  <c:v>0.123</c:v>
                </c:pt>
                <c:pt idx="1">
                  <c:v>0.13</c:v>
                </c:pt>
                <c:pt idx="2">
                  <c:v>0.14000000000000001</c:v>
                </c:pt>
                <c:pt idx="3">
                  <c:v>0.15</c:v>
                </c:pt>
                <c:pt idx="4">
                  <c:v>0.16</c:v>
                </c:pt>
                <c:pt idx="5">
                  <c:v>0.17</c:v>
                </c:pt>
                <c:pt idx="6">
                  <c:v>0.18</c:v>
                </c:pt>
                <c:pt idx="7">
                  <c:v>0.19</c:v>
                </c:pt>
                <c:pt idx="8">
                  <c:v>0.2</c:v>
                </c:pt>
                <c:pt idx="9">
                  <c:v>0.22</c:v>
                </c:pt>
                <c:pt idx="10">
                  <c:v>0.24</c:v>
                </c:pt>
                <c:pt idx="11">
                  <c:v>0.26</c:v>
                </c:pt>
                <c:pt idx="12">
                  <c:v>0.28000000000000003</c:v>
                </c:pt>
                <c:pt idx="13">
                  <c:v>0.3</c:v>
                </c:pt>
                <c:pt idx="14">
                  <c:v>0.32</c:v>
                </c:pt>
                <c:pt idx="15">
                  <c:v>0.34</c:v>
                </c:pt>
                <c:pt idx="16">
                  <c:v>0.36</c:v>
                </c:pt>
                <c:pt idx="17">
                  <c:v>0.38</c:v>
                </c:pt>
                <c:pt idx="18">
                  <c:v>0.4</c:v>
                </c:pt>
                <c:pt idx="19">
                  <c:v>0.43</c:v>
                </c:pt>
                <c:pt idx="20">
                  <c:v>0.46</c:v>
                </c:pt>
                <c:pt idx="21">
                  <c:v>0.49</c:v>
                </c:pt>
                <c:pt idx="22">
                  <c:v>0.52</c:v>
                </c:pt>
                <c:pt idx="23">
                  <c:v>0.55000000000000004</c:v>
                </c:pt>
                <c:pt idx="24">
                  <c:v>0.57999999999999996</c:v>
                </c:pt>
                <c:pt idx="25">
                  <c:v>0.61</c:v>
                </c:pt>
                <c:pt idx="26">
                  <c:v>0.64</c:v>
                </c:pt>
                <c:pt idx="27">
                  <c:v>0.67</c:v>
                </c:pt>
                <c:pt idx="28">
                  <c:v>0.7</c:v>
                </c:pt>
                <c:pt idx="29">
                  <c:v>0.73</c:v>
                </c:pt>
              </c:numCache>
            </c:numRef>
          </c:xVal>
          <c:yVal>
            <c:numRef>
              <c:f>'Phase diagram models'!$G$59:$G$88</c:f>
              <c:numCache>
                <c:formatCode>0.000</c:formatCode>
                <c:ptCount val="30"/>
                <c:pt idx="0">
                  <c:v>0.25321247063207841</c:v>
                </c:pt>
                <c:pt idx="1">
                  <c:v>0.22410971627819432</c:v>
                </c:pt>
                <c:pt idx="2">
                  <c:v>0.18785958280569234</c:v>
                </c:pt>
                <c:pt idx="3">
                  <c:v>0.15694789500504036</c:v>
                </c:pt>
                <c:pt idx="4">
                  <c:v>0.13055610615066304</c:v>
                </c:pt>
                <c:pt idx="5">
                  <c:v>0.10803330539393415</c:v>
                </c:pt>
                <c:pt idx="6">
                  <c:v>8.8850397726486952E-2</c:v>
                </c:pt>
                <c:pt idx="7">
                  <c:v>7.2567730807297892E-2</c:v>
                </c:pt>
                <c:pt idx="8">
                  <c:v>5.8812105418684486E-2</c:v>
                </c:pt>
                <c:pt idx="9">
                  <c:v>3.7628573252309241E-2</c:v>
                </c:pt>
                <c:pt idx="10">
                  <c:v>2.3135768558611644E-2</c:v>
                </c:pt>
                <c:pt idx="11">
                  <c:v>1.3594400995739398E-2</c:v>
                </c:pt>
                <c:pt idx="12">
                  <c:v>7.5933186914034015E-3</c:v>
                </c:pt>
                <c:pt idx="13">
                  <c:v>4.0109968828392177E-3</c:v>
                </c:pt>
                <c:pt idx="14">
                  <c:v>1.993556213381252E-3</c:v>
                </c:pt>
                <c:pt idx="15">
                  <c:v>9.2770022093028107E-4</c:v>
                </c:pt>
                <c:pt idx="16">
                  <c:v>4.0222609083665064E-4</c:v>
                </c:pt>
                <c:pt idx="17">
                  <c:v>1.6170488765204801E-4</c:v>
                </c:pt>
                <c:pt idx="18">
                  <c:v>5.9992231223347019E-5</c:v>
                </c:pt>
                <c:pt idx="19">
                  <c:v>1.1541523951617898E-5</c:v>
                </c:pt>
                <c:pt idx="20">
                  <c:v>1.804939568463298E-6</c:v>
                </c:pt>
                <c:pt idx="21">
                  <c:v>2.2588283248903856E-7</c:v>
                </c:pt>
                <c:pt idx="22">
                  <c:v>2.227210425015867E-8</c:v>
                </c:pt>
                <c:pt idx="23">
                  <c:v>1.7036115247076865E-9</c:v>
                </c:pt>
                <c:pt idx="24">
                  <c:v>9.9544062026516818E-11</c:v>
                </c:pt>
                <c:pt idx="25">
                  <c:v>4.3754700467263586E-12</c:v>
                </c:pt>
                <c:pt idx="26">
                  <c:v>1.4247819671393458E-13</c:v>
                </c:pt>
                <c:pt idx="27">
                  <c:v>3.3849599290799252E-15</c:v>
                </c:pt>
                <c:pt idx="28">
                  <c:v>5.7785889294905829E-17</c:v>
                </c:pt>
                <c:pt idx="29">
                  <c:v>6.981478333948662E-19</c:v>
                </c:pt>
              </c:numCache>
            </c:numRef>
          </c:yVal>
          <c:smooth val="0"/>
          <c:extLst>
            <c:ext xmlns:c16="http://schemas.microsoft.com/office/drawing/2014/chart" uri="{C3380CC4-5D6E-409C-BE32-E72D297353CC}">
              <c16:uniqueId val="{00000000-40BB-4386-962A-320B6F83F41B}"/>
            </c:ext>
          </c:extLst>
        </c:ser>
        <c:ser>
          <c:idx val="1"/>
          <c:order val="1"/>
          <c:spPr>
            <a:ln w="19050" cap="rnd">
              <a:noFill/>
              <a:round/>
            </a:ln>
            <a:effectLst/>
          </c:spPr>
          <c:marker>
            <c:symbol val="circle"/>
            <c:size val="5"/>
            <c:spPr>
              <a:solidFill>
                <a:schemeClr val="accent5"/>
              </a:solidFill>
              <a:ln w="9525">
                <a:noFill/>
              </a:ln>
              <a:effectLst/>
            </c:spPr>
          </c:marker>
          <c:xVal>
            <c:numRef>
              <c:f>'Phase diagram models'!$B$23:$B$30</c:f>
              <c:numCache>
                <c:formatCode>0%</c:formatCode>
                <c:ptCount val="8"/>
                <c:pt idx="0">
                  <c:v>0.14131838626276161</c:v>
                </c:pt>
                <c:pt idx="1">
                  <c:v>0.428003014150241</c:v>
                </c:pt>
                <c:pt idx="2">
                  <c:v>0.17112661819258931</c:v>
                </c:pt>
                <c:pt idx="3">
                  <c:v>0.33137956644433736</c:v>
                </c:pt>
                <c:pt idx="4">
                  <c:v>0.13691669226407471</c:v>
                </c:pt>
                <c:pt idx="5">
                  <c:v>0.48986493746420751</c:v>
                </c:pt>
                <c:pt idx="6" formatCode="0.0%">
                  <c:v>0.13133916557971617</c:v>
                </c:pt>
                <c:pt idx="7" formatCode="0.0%">
                  <c:v>0.55815312075381984</c:v>
                </c:pt>
              </c:numCache>
            </c:numRef>
          </c:xVal>
          <c:yVal>
            <c:numRef>
              <c:f>'Phase diagram models'!$C$23:$C$30</c:f>
              <c:numCache>
                <c:formatCode>0%</c:formatCode>
                <c:ptCount val="8"/>
                <c:pt idx="0">
                  <c:v>0.14540954490937325</c:v>
                </c:pt>
                <c:pt idx="1">
                  <c:v>1E-3</c:v>
                </c:pt>
                <c:pt idx="2">
                  <c:v>8.6337103120981432E-2</c:v>
                </c:pt>
                <c:pt idx="3">
                  <c:v>1.2671609602289391E-2</c:v>
                </c:pt>
                <c:pt idx="4">
                  <c:v>0.19659116876943217</c:v>
                </c:pt>
                <c:pt idx="5">
                  <c:v>2.0447826056263752E-3</c:v>
                </c:pt>
                <c:pt idx="6" formatCode="0.0%">
                  <c:v>0.24394454389649806</c:v>
                </c:pt>
                <c:pt idx="7" formatCode="0.0%">
                  <c:v>0</c:v>
                </c:pt>
              </c:numCache>
            </c:numRef>
          </c:yVal>
          <c:smooth val="0"/>
          <c:extLst>
            <c:ext xmlns:c16="http://schemas.microsoft.com/office/drawing/2014/chart" uri="{C3380CC4-5D6E-409C-BE32-E72D297353CC}">
              <c16:uniqueId val="{00000001-40BB-4386-962A-320B6F83F41B}"/>
            </c:ext>
          </c:extLst>
        </c:ser>
        <c:dLbls>
          <c:showLegendKey val="0"/>
          <c:showVal val="0"/>
          <c:showCatName val="0"/>
          <c:showSerName val="0"/>
          <c:showPercent val="0"/>
          <c:showBubbleSize val="0"/>
        </c:dLbls>
        <c:axId val="565232208"/>
        <c:axId val="565235488"/>
      </c:scatterChart>
      <c:valAx>
        <c:axId val="565232208"/>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a:t>MDX concentration (wt%)</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65235488"/>
        <c:crosses val="autoZero"/>
        <c:crossBetween val="midCat"/>
      </c:valAx>
      <c:valAx>
        <c:axId val="56523548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a:t>PEG 120000 concentration (wt%)</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65232208"/>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0"/>
            </a:pPr>
            <a:r>
              <a:rPr lang="en-ZA" sz="1200" b="0"/>
              <a:t>PEG 20000 - MDX Phase equilibrium curve model</a:t>
            </a:r>
          </a:p>
        </c:rich>
      </c:tx>
      <c:overlay val="0"/>
    </c:title>
    <c:autoTitleDeleted val="0"/>
    <c:plotArea>
      <c:layout/>
      <c:scatterChart>
        <c:scatterStyle val="lineMarker"/>
        <c:varyColors val="0"/>
        <c:ser>
          <c:idx val="2"/>
          <c:order val="0"/>
          <c:spPr>
            <a:ln w="19050">
              <a:solidFill>
                <a:schemeClr val="accent6"/>
              </a:solidFill>
            </a:ln>
          </c:spPr>
          <c:marker>
            <c:symbol val="none"/>
          </c:marker>
          <c:xVal>
            <c:numRef>
              <c:f>'Phase diagram models'!$E$57:$E$88</c:f>
              <c:numCache>
                <c:formatCode>General</c:formatCode>
                <c:ptCount val="32"/>
                <c:pt idx="0">
                  <c:v>0.11</c:v>
                </c:pt>
                <c:pt idx="1">
                  <c:v>0.115</c:v>
                </c:pt>
                <c:pt idx="2">
                  <c:v>0.123</c:v>
                </c:pt>
                <c:pt idx="3">
                  <c:v>0.13</c:v>
                </c:pt>
                <c:pt idx="4">
                  <c:v>0.14000000000000001</c:v>
                </c:pt>
                <c:pt idx="5">
                  <c:v>0.15</c:v>
                </c:pt>
                <c:pt idx="6">
                  <c:v>0.16</c:v>
                </c:pt>
                <c:pt idx="7">
                  <c:v>0.17</c:v>
                </c:pt>
                <c:pt idx="8">
                  <c:v>0.18</c:v>
                </c:pt>
                <c:pt idx="9">
                  <c:v>0.19</c:v>
                </c:pt>
                <c:pt idx="10">
                  <c:v>0.2</c:v>
                </c:pt>
                <c:pt idx="11">
                  <c:v>0.22</c:v>
                </c:pt>
                <c:pt idx="12">
                  <c:v>0.24</c:v>
                </c:pt>
                <c:pt idx="13">
                  <c:v>0.26</c:v>
                </c:pt>
                <c:pt idx="14">
                  <c:v>0.28000000000000003</c:v>
                </c:pt>
                <c:pt idx="15">
                  <c:v>0.3</c:v>
                </c:pt>
                <c:pt idx="16">
                  <c:v>0.32</c:v>
                </c:pt>
                <c:pt idx="17">
                  <c:v>0.34</c:v>
                </c:pt>
                <c:pt idx="18">
                  <c:v>0.36</c:v>
                </c:pt>
                <c:pt idx="19">
                  <c:v>0.38</c:v>
                </c:pt>
                <c:pt idx="20">
                  <c:v>0.4</c:v>
                </c:pt>
                <c:pt idx="21">
                  <c:v>0.43</c:v>
                </c:pt>
                <c:pt idx="22">
                  <c:v>0.46</c:v>
                </c:pt>
                <c:pt idx="23">
                  <c:v>0.49</c:v>
                </c:pt>
                <c:pt idx="24">
                  <c:v>0.52</c:v>
                </c:pt>
                <c:pt idx="25">
                  <c:v>0.55000000000000004</c:v>
                </c:pt>
                <c:pt idx="26">
                  <c:v>0.57999999999999996</c:v>
                </c:pt>
                <c:pt idx="27">
                  <c:v>0.61</c:v>
                </c:pt>
                <c:pt idx="28">
                  <c:v>0.64</c:v>
                </c:pt>
                <c:pt idx="29">
                  <c:v>0.67</c:v>
                </c:pt>
                <c:pt idx="30">
                  <c:v>0.7</c:v>
                </c:pt>
                <c:pt idx="31">
                  <c:v>0.73</c:v>
                </c:pt>
              </c:numCache>
            </c:numRef>
          </c:xVal>
          <c:yVal>
            <c:numRef>
              <c:f>'Phase diagram models'!$H$57:$H$88</c:f>
              <c:numCache>
                <c:formatCode>0.000</c:formatCode>
                <c:ptCount val="32"/>
                <c:pt idx="0">
                  <c:v>0.36086186569881928</c:v>
                </c:pt>
                <c:pt idx="1">
                  <c:v>0.32132149549760358</c:v>
                </c:pt>
                <c:pt idx="2">
                  <c:v>0.26287789348444068</c:v>
                </c:pt>
                <c:pt idx="3">
                  <c:v>0.21697016771322319</c:v>
                </c:pt>
                <c:pt idx="4">
                  <c:v>0.16031138902072523</c:v>
                </c:pt>
                <c:pt idx="5">
                  <c:v>0.11424562588880356</c:v>
                </c:pt>
                <c:pt idx="6">
                  <c:v>7.8300190201037331E-2</c:v>
                </c:pt>
                <c:pt idx="7">
                  <c:v>5.146168061575495E-2</c:v>
                </c:pt>
                <c:pt idx="8">
                  <c:v>3.2341713453122457E-2</c:v>
                </c:pt>
                <c:pt idx="9">
                  <c:v>1.9380642485097826E-2</c:v>
                </c:pt>
                <c:pt idx="10">
                  <c:v>1.1042674227426769E-2</c:v>
                </c:pt>
                <c:pt idx="11">
                  <c:v>3.0473016097697357E-3</c:v>
                </c:pt>
                <c:pt idx="12">
                  <c:v>6.6463138481734135E-4</c:v>
                </c:pt>
                <c:pt idx="13">
                  <c:v>1.1205170842627965E-4</c:v>
                </c:pt>
                <c:pt idx="14">
                  <c:v>1.4282881958768717E-5</c:v>
                </c:pt>
                <c:pt idx="15">
                  <c:v>1.3464498722093336E-6</c:v>
                </c:pt>
                <c:pt idx="16">
                  <c:v>9.1829383448033612E-8</c:v>
                </c:pt>
                <c:pt idx="17">
                  <c:v>4.4324965315754997E-9</c:v>
                </c:pt>
                <c:pt idx="18">
                  <c:v>1.481367552491351E-10</c:v>
                </c:pt>
                <c:pt idx="19">
                  <c:v>3.3535819917905255E-12</c:v>
                </c:pt>
                <c:pt idx="20">
                  <c:v>5.0312993003527811E-14</c:v>
                </c:pt>
                <c:pt idx="21">
                  <c:v>4.0751624411155591E-17</c:v>
                </c:pt>
                <c:pt idx="22">
                  <c:v>1.1566149931991364E-20</c:v>
                </c:pt>
                <c:pt idx="23">
                  <c:v>1.0685771369697516E-24</c:v>
                </c:pt>
                <c:pt idx="24">
                  <c:v>2.9854548743357636E-29</c:v>
                </c:pt>
                <c:pt idx="25">
                  <c:v>2.3433298358809577E-34</c:v>
                </c:pt>
                <c:pt idx="26">
                  <c:v>4.8008544440173606E-40</c:v>
                </c:pt>
                <c:pt idx="27">
                  <c:v>2.3851771814078643E-46</c:v>
                </c:pt>
                <c:pt idx="28">
                  <c:v>2.6699524995630803E-53</c:v>
                </c:pt>
                <c:pt idx="29">
                  <c:v>6.256602203220217E-61</c:v>
                </c:pt>
                <c:pt idx="30">
                  <c:v>2.8516970203232482E-69</c:v>
                </c:pt>
                <c:pt idx="31">
                  <c:v>2.3489901145820881E-78</c:v>
                </c:pt>
              </c:numCache>
            </c:numRef>
          </c:yVal>
          <c:smooth val="0"/>
          <c:extLst>
            <c:ext xmlns:c16="http://schemas.microsoft.com/office/drawing/2014/chart" uri="{C3380CC4-5D6E-409C-BE32-E72D297353CC}">
              <c16:uniqueId val="{00000000-7217-4F84-836F-E039A0977BD4}"/>
            </c:ext>
          </c:extLst>
        </c:ser>
        <c:ser>
          <c:idx val="0"/>
          <c:order val="1"/>
          <c:spPr>
            <a:ln w="19050">
              <a:noFill/>
            </a:ln>
          </c:spPr>
          <c:marker>
            <c:symbol val="circle"/>
            <c:size val="5"/>
            <c:spPr>
              <a:solidFill>
                <a:schemeClr val="accent6"/>
              </a:solidFill>
              <a:ln>
                <a:noFill/>
              </a:ln>
            </c:spPr>
          </c:marker>
          <c:xVal>
            <c:numRef>
              <c:f>'Phase diagram models'!$B$38:$B$47</c:f>
              <c:numCache>
                <c:formatCode>0.0%</c:formatCode>
                <c:ptCount val="10"/>
                <c:pt idx="0">
                  <c:v>0.14800253819463519</c:v>
                </c:pt>
                <c:pt idx="1">
                  <c:v>0.34825313143033321</c:v>
                </c:pt>
                <c:pt idx="2">
                  <c:v>0.12424210937324466</c:v>
                </c:pt>
                <c:pt idx="3">
                  <c:v>0.43907059403520421</c:v>
                </c:pt>
                <c:pt idx="4">
                  <c:v>0.12944037758466811</c:v>
                </c:pt>
                <c:pt idx="5">
                  <c:v>0.56291456354761793</c:v>
                </c:pt>
                <c:pt idx="6">
                  <c:v>0.1275901410544604</c:v>
                </c:pt>
                <c:pt idx="7">
                  <c:v>0.64014366446238091</c:v>
                </c:pt>
                <c:pt idx="8">
                  <c:v>0.13852663503088306</c:v>
                </c:pt>
                <c:pt idx="9">
                  <c:v>0.48533153600175966</c:v>
                </c:pt>
              </c:numCache>
            </c:numRef>
          </c:xVal>
          <c:yVal>
            <c:numRef>
              <c:f>'Phase diagram models'!$C$38:$C$47</c:f>
              <c:numCache>
                <c:formatCode>0.0%</c:formatCode>
                <c:ptCount val="10"/>
                <c:pt idx="0">
                  <c:v>9.7168578571095635E-2</c:v>
                </c:pt>
                <c:pt idx="1">
                  <c:v>1E-3</c:v>
                </c:pt>
                <c:pt idx="2">
                  <c:v>0.161341751978343</c:v>
                </c:pt>
                <c:pt idx="3">
                  <c:v>1E-3</c:v>
                </c:pt>
                <c:pt idx="4">
                  <c:v>0.25018011666158002</c:v>
                </c:pt>
                <c:pt idx="5">
                  <c:v>1E-3</c:v>
                </c:pt>
                <c:pt idx="6">
                  <c:v>0.30791031364825089</c:v>
                </c:pt>
                <c:pt idx="7">
                  <c:v>1E-3</c:v>
                </c:pt>
                <c:pt idx="8">
                  <c:v>0.18894888454608902</c:v>
                </c:pt>
                <c:pt idx="9">
                  <c:v>1E-3</c:v>
                </c:pt>
              </c:numCache>
            </c:numRef>
          </c:yVal>
          <c:smooth val="0"/>
          <c:extLst>
            <c:ext xmlns:c16="http://schemas.microsoft.com/office/drawing/2014/chart" uri="{C3380CC4-5D6E-409C-BE32-E72D297353CC}">
              <c16:uniqueId val="{00000001-7217-4F84-836F-E039A0977BD4}"/>
            </c:ext>
          </c:extLst>
        </c:ser>
        <c:dLbls>
          <c:showLegendKey val="0"/>
          <c:showVal val="0"/>
          <c:showCatName val="0"/>
          <c:showSerName val="0"/>
          <c:showPercent val="0"/>
          <c:showBubbleSize val="0"/>
        </c:dLbls>
        <c:axId val="663645056"/>
        <c:axId val="663650632"/>
      </c:scatterChart>
      <c:valAx>
        <c:axId val="663645056"/>
        <c:scaling>
          <c:orientation val="minMax"/>
        </c:scaling>
        <c:delete val="0"/>
        <c:axPos val="b"/>
        <c:majorGridlines>
          <c:spPr>
            <a:ln w="9525" cap="flat" cmpd="sng" algn="ctr">
              <a:solidFill>
                <a:schemeClr val="tx1">
                  <a:lumMod val="15000"/>
                  <a:lumOff val="85000"/>
                </a:schemeClr>
              </a:solidFill>
              <a:round/>
            </a:ln>
            <a:effectLst/>
          </c:spPr>
        </c:majorGridlines>
        <c:title>
          <c:tx>
            <c:rich>
              <a:bodyPr/>
              <a:lstStyle/>
              <a:p>
                <a:pPr>
                  <a:defRPr/>
                </a:pPr>
                <a:r>
                  <a:rPr lang="en-ZA"/>
                  <a:t>MDX concentration (wt%)</a:t>
                </a:r>
              </a:p>
            </c:rich>
          </c:tx>
          <c:overlay val="0"/>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63650632"/>
        <c:crosses val="autoZero"/>
        <c:crossBetween val="midCat"/>
      </c:valAx>
      <c:valAx>
        <c:axId val="663650632"/>
        <c:scaling>
          <c:orientation val="minMax"/>
        </c:scaling>
        <c:delete val="0"/>
        <c:axPos val="l"/>
        <c:majorGridlines>
          <c:spPr>
            <a:ln w="9525" cap="flat" cmpd="sng" algn="ctr">
              <a:solidFill>
                <a:schemeClr val="tx1">
                  <a:lumMod val="15000"/>
                  <a:lumOff val="85000"/>
                </a:schemeClr>
              </a:solidFill>
              <a:round/>
            </a:ln>
            <a:effectLst/>
          </c:spPr>
        </c:majorGridlines>
        <c:title>
          <c:tx>
            <c:rich>
              <a:bodyPr/>
              <a:lstStyle/>
              <a:p>
                <a:pPr>
                  <a:defRPr/>
                </a:pPr>
                <a:r>
                  <a:rPr lang="en-ZA"/>
                  <a:t>PEG 20000 concentrtion (wt%)</a:t>
                </a:r>
              </a:p>
            </c:rich>
          </c:tx>
          <c:overlay val="0"/>
        </c:title>
        <c:numFmt formatCode="0.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63645056"/>
        <c:crosses val="autoZero"/>
        <c:crossBetween val="midCat"/>
      </c:valAx>
    </c:plotArea>
    <c:plotVisOnly val="1"/>
    <c:dispBlanksAs val="gap"/>
    <c:showDLblsOverMax val="0"/>
    <c:extLst/>
  </c:chart>
  <c:txPr>
    <a:bodyPr/>
    <a:lstStyle/>
    <a:p>
      <a:pPr>
        <a:defRPr/>
      </a:pPr>
      <a:endParaRPr lang="en-US"/>
    </a:p>
  </c:txPr>
  <c:printSettings>
    <c:headerFooter/>
    <c:pageMargins b="0.75" l="0.7" r="0.7" t="0.75" header="0.3" footer="0.3"/>
    <c:pageSetup orientation="portrait"/>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3" Type="http://schemas.openxmlformats.org/officeDocument/2006/relationships/chart" Target="../charts/chart9.xml"/><Relationship Id="rId2" Type="http://schemas.openxmlformats.org/officeDocument/2006/relationships/chart" Target="../charts/chart8.xml"/><Relationship Id="rId1" Type="http://schemas.openxmlformats.org/officeDocument/2006/relationships/chart" Target="../charts/chart7.xml"/><Relationship Id="rId5" Type="http://schemas.openxmlformats.org/officeDocument/2006/relationships/chart" Target="../charts/chart11.xml"/><Relationship Id="rId4" Type="http://schemas.openxmlformats.org/officeDocument/2006/relationships/chart" Target="../charts/chart10.xml"/></Relationships>
</file>

<file path=xl/drawings/_rels/drawing3.xml.rels><?xml version="1.0" encoding="UTF-8" standalone="yes"?>
<Relationships xmlns="http://schemas.openxmlformats.org/package/2006/relationships"><Relationship Id="rId3" Type="http://schemas.openxmlformats.org/officeDocument/2006/relationships/chart" Target="../charts/chart14.xml"/><Relationship Id="rId2" Type="http://schemas.openxmlformats.org/officeDocument/2006/relationships/chart" Target="../charts/chart13.xml"/><Relationship Id="rId1" Type="http://schemas.openxmlformats.org/officeDocument/2006/relationships/chart" Target="../charts/chart12.xml"/><Relationship Id="rId5" Type="http://schemas.openxmlformats.org/officeDocument/2006/relationships/chart" Target="../charts/chart16.xml"/><Relationship Id="rId4" Type="http://schemas.openxmlformats.org/officeDocument/2006/relationships/chart" Target="../charts/chart15.xml"/></Relationships>
</file>

<file path=xl/drawings/_rels/drawing4.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5.xml.rels><?xml version="1.0" encoding="UTF-8" standalone="yes"?>
<Relationships xmlns="http://schemas.openxmlformats.org/package/2006/relationships"><Relationship Id="rId2" Type="http://schemas.openxmlformats.org/officeDocument/2006/relationships/chart" Target="../charts/chart19.xml"/><Relationship Id="rId1" Type="http://schemas.openxmlformats.org/officeDocument/2006/relationships/chart" Target="../charts/chart18.xml"/></Relationships>
</file>

<file path=xl/drawings/_rels/drawing7.xml.rels><?xml version="1.0" encoding="UTF-8" standalone="yes"?>
<Relationships xmlns="http://schemas.openxmlformats.org/package/2006/relationships"><Relationship Id="rId1" Type="http://schemas.openxmlformats.org/officeDocument/2006/relationships/chart" Target="../charts/chart20.xml"/></Relationships>
</file>

<file path=xl/drawings/drawing1.xml><?xml version="1.0" encoding="utf-8"?>
<xdr:wsDr xmlns:xdr="http://schemas.openxmlformats.org/drawingml/2006/spreadsheetDrawing" xmlns:a="http://schemas.openxmlformats.org/drawingml/2006/main">
  <xdr:twoCellAnchor>
    <xdr:from>
      <xdr:col>23</xdr:col>
      <xdr:colOff>261257</xdr:colOff>
      <xdr:row>0</xdr:row>
      <xdr:rowOff>194954</xdr:rowOff>
    </xdr:from>
    <xdr:to>
      <xdr:col>30</xdr:col>
      <xdr:colOff>141515</xdr:colOff>
      <xdr:row>14</xdr:row>
      <xdr:rowOff>65314</xdr:rowOff>
    </xdr:to>
    <xdr:graphicFrame macro="">
      <xdr:nvGraphicFramePr>
        <xdr:cNvPr id="3" name="Chart 2">
          <a:extLst>
            <a:ext uri="{FF2B5EF4-FFF2-40B4-BE49-F238E27FC236}">
              <a16:creationId xmlns:a16="http://schemas.microsoft.com/office/drawing/2014/main" id="{48FB8421-2191-4048-B6DD-2B08E92F23DE}"/>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23</xdr:col>
      <xdr:colOff>207615</xdr:colOff>
      <xdr:row>17</xdr:row>
      <xdr:rowOff>152400</xdr:rowOff>
    </xdr:from>
    <xdr:to>
      <xdr:col>30</xdr:col>
      <xdr:colOff>184113</xdr:colOff>
      <xdr:row>32</xdr:row>
      <xdr:rowOff>43543</xdr:rowOff>
    </xdr:to>
    <xdr:graphicFrame macro="">
      <xdr:nvGraphicFramePr>
        <xdr:cNvPr id="5" name="Chart 4">
          <a:extLst>
            <a:ext uri="{FF2B5EF4-FFF2-40B4-BE49-F238E27FC236}">
              <a16:creationId xmlns:a16="http://schemas.microsoft.com/office/drawing/2014/main" id="{257FAFAC-4A5E-4CBF-A529-43E03A6510D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23</xdr:col>
      <xdr:colOff>189510</xdr:colOff>
      <xdr:row>36</xdr:row>
      <xdr:rowOff>138545</xdr:rowOff>
    </xdr:from>
    <xdr:to>
      <xdr:col>30</xdr:col>
      <xdr:colOff>166008</xdr:colOff>
      <xdr:row>50</xdr:row>
      <xdr:rowOff>10259</xdr:rowOff>
    </xdr:to>
    <xdr:graphicFrame macro="">
      <xdr:nvGraphicFramePr>
        <xdr:cNvPr id="6" name="Chart 5">
          <a:extLst>
            <a:ext uri="{FF2B5EF4-FFF2-40B4-BE49-F238E27FC236}">
              <a16:creationId xmlns:a16="http://schemas.microsoft.com/office/drawing/2014/main" id="{A5293272-B8AA-4BFB-B9CF-92AEEB07BFC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30</xdr:col>
      <xdr:colOff>412988</xdr:colOff>
      <xdr:row>17</xdr:row>
      <xdr:rowOff>78192</xdr:rowOff>
    </xdr:from>
    <xdr:to>
      <xdr:col>38</xdr:col>
      <xdr:colOff>246458</xdr:colOff>
      <xdr:row>31</xdr:row>
      <xdr:rowOff>176891</xdr:rowOff>
    </xdr:to>
    <xdr:graphicFrame macro="">
      <xdr:nvGraphicFramePr>
        <xdr:cNvPr id="8" name="Chart 7">
          <a:extLst>
            <a:ext uri="{FF2B5EF4-FFF2-40B4-BE49-F238E27FC236}">
              <a16:creationId xmlns:a16="http://schemas.microsoft.com/office/drawing/2014/main" id="{84606BFE-A67E-4A64-AD46-3E169DD1C0B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30</xdr:col>
      <xdr:colOff>418605</xdr:colOff>
      <xdr:row>0</xdr:row>
      <xdr:rowOff>164521</xdr:rowOff>
    </xdr:from>
    <xdr:to>
      <xdr:col>38</xdr:col>
      <xdr:colOff>249354</xdr:colOff>
      <xdr:row>14</xdr:row>
      <xdr:rowOff>81889</xdr:rowOff>
    </xdr:to>
    <xdr:graphicFrame macro="">
      <xdr:nvGraphicFramePr>
        <xdr:cNvPr id="17" name="Chart 16">
          <a:extLst>
            <a:ext uri="{FF2B5EF4-FFF2-40B4-BE49-F238E27FC236}">
              <a16:creationId xmlns:a16="http://schemas.microsoft.com/office/drawing/2014/main" id="{7D555020-DE16-4385-88DB-9575F28E6A3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30</xdr:col>
      <xdr:colOff>401782</xdr:colOff>
      <xdr:row>37</xdr:row>
      <xdr:rowOff>41564</xdr:rowOff>
    </xdr:from>
    <xdr:to>
      <xdr:col>38</xdr:col>
      <xdr:colOff>235252</xdr:colOff>
      <xdr:row>50</xdr:row>
      <xdr:rowOff>50761</xdr:rowOff>
    </xdr:to>
    <xdr:graphicFrame macro="">
      <xdr:nvGraphicFramePr>
        <xdr:cNvPr id="18" name="Chart 17">
          <a:extLst>
            <a:ext uri="{FF2B5EF4-FFF2-40B4-BE49-F238E27FC236}">
              <a16:creationId xmlns:a16="http://schemas.microsoft.com/office/drawing/2014/main" id="{CF235E23-AF06-4F59-8913-97E6030612F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8</xdr:col>
      <xdr:colOff>330573</xdr:colOff>
      <xdr:row>3</xdr:row>
      <xdr:rowOff>17929</xdr:rowOff>
    </xdr:from>
    <xdr:to>
      <xdr:col>15</xdr:col>
      <xdr:colOff>484909</xdr:colOff>
      <xdr:row>19</xdr:row>
      <xdr:rowOff>34636</xdr:rowOff>
    </xdr:to>
    <xdr:graphicFrame macro="">
      <xdr:nvGraphicFramePr>
        <xdr:cNvPr id="2" name="Chart 1">
          <a:extLst>
            <a:ext uri="{FF2B5EF4-FFF2-40B4-BE49-F238E27FC236}">
              <a16:creationId xmlns:a16="http://schemas.microsoft.com/office/drawing/2014/main" id="{386A49B7-0D85-4131-B353-3CAD2597BDF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201706</xdr:colOff>
      <xdr:row>21</xdr:row>
      <xdr:rowOff>123265</xdr:rowOff>
    </xdr:from>
    <xdr:to>
      <xdr:col>16</xdr:col>
      <xdr:colOff>17318</xdr:colOff>
      <xdr:row>34</xdr:row>
      <xdr:rowOff>155864</xdr:rowOff>
    </xdr:to>
    <xdr:graphicFrame macro="">
      <xdr:nvGraphicFramePr>
        <xdr:cNvPr id="3" name="Chart 2">
          <a:extLst>
            <a:ext uri="{FF2B5EF4-FFF2-40B4-BE49-F238E27FC236}">
              <a16:creationId xmlns:a16="http://schemas.microsoft.com/office/drawing/2014/main" id="{6C50F826-B985-4494-8A2C-CE4AAAC05C1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8</xdr:col>
      <xdr:colOff>313765</xdr:colOff>
      <xdr:row>37</xdr:row>
      <xdr:rowOff>145677</xdr:rowOff>
    </xdr:from>
    <xdr:to>
      <xdr:col>16</xdr:col>
      <xdr:colOff>44823</xdr:colOff>
      <xdr:row>52</xdr:row>
      <xdr:rowOff>20171</xdr:rowOff>
    </xdr:to>
    <xdr:graphicFrame macro="">
      <xdr:nvGraphicFramePr>
        <xdr:cNvPr id="4" name="Chart 3">
          <a:extLst>
            <a:ext uri="{FF2B5EF4-FFF2-40B4-BE49-F238E27FC236}">
              <a16:creationId xmlns:a16="http://schemas.microsoft.com/office/drawing/2014/main" id="{A3A57855-E9FA-4DFB-A436-922AFADA8F3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8</xdr:col>
      <xdr:colOff>341778</xdr:colOff>
      <xdr:row>55</xdr:row>
      <xdr:rowOff>73959</xdr:rowOff>
    </xdr:from>
    <xdr:to>
      <xdr:col>16</xdr:col>
      <xdr:colOff>238125</xdr:colOff>
      <xdr:row>69</xdr:row>
      <xdr:rowOff>150159</xdr:rowOff>
    </xdr:to>
    <xdr:graphicFrame macro="">
      <xdr:nvGraphicFramePr>
        <xdr:cNvPr id="5" name="Chart 4">
          <a:extLst>
            <a:ext uri="{FF2B5EF4-FFF2-40B4-BE49-F238E27FC236}">
              <a16:creationId xmlns:a16="http://schemas.microsoft.com/office/drawing/2014/main" id="{703A173D-AF7D-4833-8184-FEC7CD3DE47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17</xdr:col>
      <xdr:colOff>70758</xdr:colOff>
      <xdr:row>50</xdr:row>
      <xdr:rowOff>111578</xdr:rowOff>
    </xdr:from>
    <xdr:to>
      <xdr:col>28</xdr:col>
      <xdr:colOff>334736</xdr:colOff>
      <xdr:row>70</xdr:row>
      <xdr:rowOff>48584</xdr:rowOff>
    </xdr:to>
    <xdr:graphicFrame macro="">
      <xdr:nvGraphicFramePr>
        <xdr:cNvPr id="7" name="Chart 6">
          <a:extLst>
            <a:ext uri="{FF2B5EF4-FFF2-40B4-BE49-F238E27FC236}">
              <a16:creationId xmlns:a16="http://schemas.microsoft.com/office/drawing/2014/main" id="{0249CFB3-52D1-4674-A8D8-AE6B33CD2A9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552450</xdr:colOff>
      <xdr:row>0</xdr:row>
      <xdr:rowOff>0</xdr:rowOff>
    </xdr:from>
    <xdr:to>
      <xdr:col>10</xdr:col>
      <xdr:colOff>247650</xdr:colOff>
      <xdr:row>0</xdr:row>
      <xdr:rowOff>0</xdr:rowOff>
    </xdr:to>
    <xdr:graphicFrame macro="">
      <xdr:nvGraphicFramePr>
        <xdr:cNvPr id="2" name="Chart 1">
          <a:extLst>
            <a:ext uri="{FF2B5EF4-FFF2-40B4-BE49-F238E27FC236}">
              <a16:creationId xmlns:a16="http://schemas.microsoft.com/office/drawing/2014/main" id="{37157A00-E7B1-4402-9740-54154BBB323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581891</xdr:colOff>
      <xdr:row>10</xdr:row>
      <xdr:rowOff>68356</xdr:rowOff>
    </xdr:from>
    <xdr:to>
      <xdr:col>8</xdr:col>
      <xdr:colOff>22413</xdr:colOff>
      <xdr:row>24</xdr:row>
      <xdr:rowOff>55419</xdr:rowOff>
    </xdr:to>
    <xdr:graphicFrame macro="">
      <xdr:nvGraphicFramePr>
        <xdr:cNvPr id="5" name="Chart 4">
          <a:extLst>
            <a:ext uri="{FF2B5EF4-FFF2-40B4-BE49-F238E27FC236}">
              <a16:creationId xmlns:a16="http://schemas.microsoft.com/office/drawing/2014/main" id="{E8F9F884-9259-45E3-A3D2-8694174CE8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8</xdr:col>
      <xdr:colOff>203308</xdr:colOff>
      <xdr:row>10</xdr:row>
      <xdr:rowOff>38740</xdr:rowOff>
    </xdr:from>
    <xdr:to>
      <xdr:col>14</xdr:col>
      <xdr:colOff>258536</xdr:colOff>
      <xdr:row>24</xdr:row>
      <xdr:rowOff>114940</xdr:rowOff>
    </xdr:to>
    <xdr:graphicFrame macro="">
      <xdr:nvGraphicFramePr>
        <xdr:cNvPr id="6" name="Chart 5">
          <a:extLst>
            <a:ext uri="{FF2B5EF4-FFF2-40B4-BE49-F238E27FC236}">
              <a16:creationId xmlns:a16="http://schemas.microsoft.com/office/drawing/2014/main" id="{CB06D846-5484-4E31-A742-9D0AA77800D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15</xdr:col>
      <xdr:colOff>268941</xdr:colOff>
      <xdr:row>10</xdr:row>
      <xdr:rowOff>100853</xdr:rowOff>
    </xdr:from>
    <xdr:to>
      <xdr:col>19</xdr:col>
      <xdr:colOff>557893</xdr:colOff>
      <xdr:row>23</xdr:row>
      <xdr:rowOff>179294</xdr:rowOff>
    </xdr:to>
    <xdr:graphicFrame macro="">
      <xdr:nvGraphicFramePr>
        <xdr:cNvPr id="7" name="Chart 6">
          <a:extLst>
            <a:ext uri="{FF2B5EF4-FFF2-40B4-BE49-F238E27FC236}">
              <a16:creationId xmlns:a16="http://schemas.microsoft.com/office/drawing/2014/main" id="{52EC1FCB-0345-42D4-B363-2C01CF3F86A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21</xdr:col>
      <xdr:colOff>353785</xdr:colOff>
      <xdr:row>10</xdr:row>
      <xdr:rowOff>40821</xdr:rowOff>
    </xdr:from>
    <xdr:to>
      <xdr:col>25</xdr:col>
      <xdr:colOff>549087</xdr:colOff>
      <xdr:row>23</xdr:row>
      <xdr:rowOff>119262</xdr:rowOff>
    </xdr:to>
    <xdr:graphicFrame macro="">
      <xdr:nvGraphicFramePr>
        <xdr:cNvPr id="8" name="Chart 7">
          <a:extLst>
            <a:ext uri="{FF2B5EF4-FFF2-40B4-BE49-F238E27FC236}">
              <a16:creationId xmlns:a16="http://schemas.microsoft.com/office/drawing/2014/main" id="{2FA77816-5E3B-487C-A160-5380B17FE02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7</xdr:col>
      <xdr:colOff>514910</xdr:colOff>
      <xdr:row>1</xdr:row>
      <xdr:rowOff>139793</xdr:rowOff>
    </xdr:from>
    <xdr:to>
      <xdr:col>15</xdr:col>
      <xdr:colOff>210110</xdr:colOff>
      <xdr:row>16</xdr:row>
      <xdr:rowOff>36699</xdr:rowOff>
    </xdr:to>
    <xdr:graphicFrame macro="">
      <xdr:nvGraphicFramePr>
        <xdr:cNvPr id="2" name="Chart 1">
          <a:extLst>
            <a:ext uri="{FF2B5EF4-FFF2-40B4-BE49-F238E27FC236}">
              <a16:creationId xmlns:a16="http://schemas.microsoft.com/office/drawing/2014/main" id="{2C2727BD-7446-4FBA-8A46-4DDD6551E48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12</xdr:col>
      <xdr:colOff>313112</xdr:colOff>
      <xdr:row>2</xdr:row>
      <xdr:rowOff>8964</xdr:rowOff>
    </xdr:from>
    <xdr:to>
      <xdr:col>20</xdr:col>
      <xdr:colOff>403411</xdr:colOff>
      <xdr:row>14</xdr:row>
      <xdr:rowOff>125505</xdr:rowOff>
    </xdr:to>
    <xdr:graphicFrame macro="">
      <xdr:nvGraphicFramePr>
        <xdr:cNvPr id="2" name="Chart 1">
          <a:extLst>
            <a:ext uri="{FF2B5EF4-FFF2-40B4-BE49-F238E27FC236}">
              <a16:creationId xmlns:a16="http://schemas.microsoft.com/office/drawing/2014/main" id="{221BC185-EABC-416E-B0CA-19F93CFBA43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571500</xdr:colOff>
      <xdr:row>21</xdr:row>
      <xdr:rowOff>57149</xdr:rowOff>
    </xdr:from>
    <xdr:to>
      <xdr:col>13</xdr:col>
      <xdr:colOff>435429</xdr:colOff>
      <xdr:row>33</xdr:row>
      <xdr:rowOff>133349</xdr:rowOff>
    </xdr:to>
    <xdr:graphicFrame macro="">
      <xdr:nvGraphicFramePr>
        <xdr:cNvPr id="3" name="Chart 2">
          <a:extLst>
            <a:ext uri="{FF2B5EF4-FFF2-40B4-BE49-F238E27FC236}">
              <a16:creationId xmlns:a16="http://schemas.microsoft.com/office/drawing/2014/main" id="{A65BD994-AA53-4358-B6C6-7BB30871850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602673</xdr:colOff>
      <xdr:row>1</xdr:row>
      <xdr:rowOff>0</xdr:rowOff>
    </xdr:from>
    <xdr:to>
      <xdr:col>13</xdr:col>
      <xdr:colOff>595745</xdr:colOff>
      <xdr:row>32</xdr:row>
      <xdr:rowOff>6927</xdr:rowOff>
    </xdr:to>
    <xdr:sp macro="" textlink="">
      <xdr:nvSpPr>
        <xdr:cNvPr id="4" name="TextBox 3">
          <a:extLst>
            <a:ext uri="{FF2B5EF4-FFF2-40B4-BE49-F238E27FC236}">
              <a16:creationId xmlns:a16="http://schemas.microsoft.com/office/drawing/2014/main" id="{F773E32A-8EF3-4A35-8BB2-C3DAD9B2D098}"/>
            </a:ext>
          </a:extLst>
        </xdr:cNvPr>
        <xdr:cNvSpPr txBox="1"/>
      </xdr:nvSpPr>
      <xdr:spPr>
        <a:xfrm>
          <a:off x="602673" y="180109"/>
          <a:ext cx="7917872" cy="55903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lvl="2"/>
          <a:r>
            <a:rPr lang="en-ZA" sz="1100" b="1">
              <a:solidFill>
                <a:schemeClr val="dk1"/>
              </a:solidFill>
              <a:effectLst/>
              <a:latin typeface="+mn-lt"/>
              <a:ea typeface="+mn-ea"/>
              <a:cs typeface="+mn-cs"/>
            </a:rPr>
            <a:t>PEG – MDX phase diagrams</a:t>
          </a:r>
        </a:p>
        <a:p>
          <a:pPr lvl="3"/>
          <a:r>
            <a:rPr lang="en-ZA" sz="1100" b="1" i="1">
              <a:solidFill>
                <a:schemeClr val="dk1"/>
              </a:solidFill>
              <a:effectLst/>
              <a:latin typeface="+mn-lt"/>
              <a:ea typeface="+mn-ea"/>
              <a:cs typeface="+mn-cs"/>
            </a:rPr>
            <a:t>Equilibrium curves</a:t>
          </a:r>
        </a:p>
        <a:p>
          <a:r>
            <a:rPr lang="en-ZA" sz="1100">
              <a:solidFill>
                <a:schemeClr val="dk1"/>
              </a:solidFill>
              <a:effectLst/>
              <a:latin typeface="+mn-lt"/>
              <a:ea typeface="+mn-ea"/>
              <a:cs typeface="+mn-cs"/>
            </a:rPr>
            <a:t>Phase diagrams were produced using the methods from the textbook: Aqueous Two-phase Systems: Methods and Protocols (Hatti-Kaul, 2000) and a paper which produced phase diagrams with a PEG-MDX system (Machado </a:t>
          </a:r>
          <a:r>
            <a:rPr lang="en-ZA" sz="1100" i="1">
              <a:solidFill>
                <a:schemeClr val="dk1"/>
              </a:solidFill>
              <a:effectLst/>
              <a:latin typeface="+mn-lt"/>
              <a:ea typeface="+mn-ea"/>
              <a:cs typeface="+mn-cs"/>
            </a:rPr>
            <a:t>et al.</a:t>
          </a:r>
          <a:r>
            <a:rPr lang="en-ZA" sz="1100">
              <a:solidFill>
                <a:schemeClr val="dk1"/>
              </a:solidFill>
              <a:effectLst/>
              <a:latin typeface="+mn-lt"/>
              <a:ea typeface="+mn-ea"/>
              <a:cs typeface="+mn-cs"/>
            </a:rPr>
            <a:t>, 2012). Systems of varying PEG and MDX concentrations  were mixed, and then centrifuged at 4000 RPM for 30 minutes in 15 mL Falcon tubes. A Hettich Universal 320 centrifuge was used for this.  The phase volume ratios were read off from the graduations on the tube, and each phase was further diluted into 2 mL Eppendorf microcentrifuge tubes for analysis of the polymer concentrations. See appendix A.2 for raw data.</a:t>
          </a:r>
        </a:p>
        <a:p>
          <a:endParaRPr lang="en-ZA" sz="1100" b="1" i="1">
            <a:solidFill>
              <a:schemeClr val="dk1"/>
            </a:solidFill>
            <a:effectLst/>
            <a:latin typeface="+mn-lt"/>
            <a:ea typeface="+mn-ea"/>
            <a:cs typeface="+mn-cs"/>
          </a:endParaRPr>
        </a:p>
        <a:p>
          <a:r>
            <a:rPr lang="en-ZA" sz="1100" b="1" i="1">
              <a:solidFill>
                <a:schemeClr val="dk1"/>
              </a:solidFill>
              <a:effectLst/>
              <a:latin typeface="+mn-lt"/>
              <a:ea typeface="+mn-ea"/>
              <a:cs typeface="+mn-cs"/>
            </a:rPr>
            <a:t>Maltodextrin quantification</a:t>
          </a:r>
        </a:p>
        <a:p>
          <a:r>
            <a:rPr lang="en-ZA" sz="1100">
              <a:solidFill>
                <a:schemeClr val="dk1"/>
              </a:solidFill>
              <a:effectLst/>
              <a:latin typeface="+mn-lt"/>
              <a:ea typeface="+mn-ea"/>
              <a:cs typeface="+mn-cs"/>
            </a:rPr>
            <a:t>The MDX concentration was quantified using the method developed by Dubois </a:t>
          </a:r>
          <a:r>
            <a:rPr lang="en-ZA" sz="1100" i="1">
              <a:solidFill>
                <a:schemeClr val="dk1"/>
              </a:solidFill>
              <a:effectLst/>
              <a:latin typeface="+mn-lt"/>
              <a:ea typeface="+mn-ea"/>
              <a:cs typeface="+mn-cs"/>
            </a:rPr>
            <a:t>et al.</a:t>
          </a:r>
          <a:r>
            <a:rPr lang="en-ZA" sz="1100">
              <a:solidFill>
                <a:schemeClr val="dk1"/>
              </a:solidFill>
              <a:effectLst/>
              <a:latin typeface="+mn-lt"/>
              <a:ea typeface="+mn-ea"/>
              <a:cs typeface="+mn-cs"/>
            </a:rPr>
            <a:t> (1956). Standard curves were produced using a maltodextrin in a range of amounts from 20 to 190 µg in 2 mL of solution in test tubes. To each sample tube, 0.4 mL of 20 % (w/w) phenol solution (Sigma-Aldrich) was added. Under a fume hood, 5 mL of concentrated sulfuric acid (Kimix, South Africa) was pipetted into the centre of the liquid layer of each test tube, to ensure good mixing. The test tubes were then left for 10 minutes under the acids fume hood before being mixed by vortex and put in a warm water bath at 25 – 30 °C for 20 minutes. The sample absorbances were then read using a FLUOstar Omega spectrophotometer at 488 nm (BMG-Labtech). The experimental samples were diluted with deionised water before performing the colourimetric assay to fit within the range of the analytical curve produced. Each sample was analysed in triplicate.</a:t>
          </a:r>
        </a:p>
        <a:p>
          <a:r>
            <a:rPr lang="en-ZA" sz="1100" b="1" i="1">
              <a:solidFill>
                <a:schemeClr val="dk1"/>
              </a:solidFill>
              <a:effectLst/>
              <a:latin typeface="+mn-lt"/>
              <a:ea typeface="+mn-ea"/>
              <a:cs typeface="+mn-cs"/>
            </a:rPr>
            <a:t>PEG quantification</a:t>
          </a:r>
        </a:p>
        <a:p>
          <a:r>
            <a:rPr lang="en-ZA" sz="1100">
              <a:solidFill>
                <a:schemeClr val="dk1"/>
              </a:solidFill>
              <a:effectLst/>
              <a:latin typeface="+mn-lt"/>
              <a:ea typeface="+mn-ea"/>
              <a:cs typeface="+mn-cs"/>
            </a:rPr>
            <a:t>The PEG concentrations were quantified using the refractive indices (RIs) of each polymer, read using a HI 96800 Refractometer (Hanna). Analytical standards were produced for PEG and MDX by obtaining the refractive index of each standard concentration in a range using a refractometer. For the experimental samples, the overall RI was determined. The maltodextrin concentration, found by the method above, was then translated to the RI contributed by that concentration in the overall mixture, since RIs are additive. The remaining contribution to the refractive index was due to the PEG content, which then allowed the quantification of PEG in each phase. Each sample was analysed in triplicate.</a:t>
          </a:r>
        </a:p>
        <a:p>
          <a:r>
            <a:rPr lang="en-ZA" sz="1100" b="1" i="1">
              <a:solidFill>
                <a:schemeClr val="dk1"/>
              </a:solidFill>
              <a:effectLst/>
              <a:latin typeface="+mn-lt"/>
              <a:ea typeface="+mn-ea"/>
              <a:cs typeface="+mn-cs"/>
            </a:rPr>
            <a:t>Water quantification</a:t>
          </a:r>
        </a:p>
        <a:p>
          <a:r>
            <a:rPr lang="en-ZA" sz="1100">
              <a:solidFill>
                <a:schemeClr val="dk1"/>
              </a:solidFill>
              <a:effectLst/>
              <a:latin typeface="+mn-lt"/>
              <a:ea typeface="+mn-ea"/>
              <a:cs typeface="+mn-cs"/>
            </a:rPr>
            <a:t>The water content of each sample was obtained by mass balance, since only three compounds (MDX, PEG and water) were present in the mixtures. </a:t>
          </a:r>
        </a:p>
        <a:p>
          <a:endParaRPr lang="en-ZA" sz="1100"/>
        </a:p>
      </xdr:txBody>
    </xdr:sp>
    <xdr:clientData/>
  </xdr:twoCellAnchor>
  <xdr:twoCellAnchor>
    <xdr:from>
      <xdr:col>1</xdr:col>
      <xdr:colOff>1</xdr:colOff>
      <xdr:row>33</xdr:row>
      <xdr:rowOff>3463</xdr:rowOff>
    </xdr:from>
    <xdr:to>
      <xdr:col>14</xdr:col>
      <xdr:colOff>0</xdr:colOff>
      <xdr:row>65</xdr:row>
      <xdr:rowOff>3463</xdr:rowOff>
    </xdr:to>
    <mc:AlternateContent xmlns:mc="http://schemas.openxmlformats.org/markup-compatibility/2006" xmlns:a14="http://schemas.microsoft.com/office/drawing/2010/main">
      <mc:Choice Requires="a14">
        <xdr:sp macro="" textlink="">
          <xdr:nvSpPr>
            <xdr:cNvPr id="5" name="TextBox 4">
              <a:extLst>
                <a:ext uri="{FF2B5EF4-FFF2-40B4-BE49-F238E27FC236}">
                  <a16:creationId xmlns:a16="http://schemas.microsoft.com/office/drawing/2014/main" id="{70BE96A6-7735-474C-B1D5-E0589031D1E9}"/>
                </a:ext>
              </a:extLst>
            </xdr:cNvPr>
            <xdr:cNvSpPr txBox="1"/>
          </xdr:nvSpPr>
          <xdr:spPr>
            <a:xfrm>
              <a:off x="609601" y="5947063"/>
              <a:ext cx="7924799" cy="576349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lvl="2"/>
              <a:r>
                <a:rPr lang="en-ZA" sz="1100" b="1">
                  <a:solidFill>
                    <a:schemeClr val="dk1"/>
                  </a:solidFill>
                  <a:effectLst/>
                  <a:latin typeface="+mn-lt"/>
                  <a:ea typeface="+mn-ea"/>
                  <a:cs typeface="+mn-cs"/>
                </a:rPr>
                <a:t>Phase diagram calculations</a:t>
              </a:r>
            </a:p>
            <a:p>
              <a:pPr lvl="3"/>
              <a:r>
                <a:rPr lang="en-ZA" sz="1100" b="1" i="1">
                  <a:solidFill>
                    <a:schemeClr val="dk1"/>
                  </a:solidFill>
                  <a:effectLst/>
                  <a:latin typeface="+mn-lt"/>
                  <a:ea typeface="+mn-ea"/>
                  <a:cs typeface="+mn-cs"/>
                </a:rPr>
                <a:t>Tie lines</a:t>
              </a:r>
            </a:p>
            <a:p>
              <a:r>
                <a:rPr lang="en-ZA" sz="1100">
                  <a:solidFill>
                    <a:schemeClr val="dk1"/>
                  </a:solidFill>
                  <a:effectLst/>
                  <a:latin typeface="+mn-lt"/>
                  <a:ea typeface="+mn-ea"/>
                  <a:cs typeface="+mn-cs"/>
                </a:rPr>
                <a:t>The tie-lines were produced by drawing straight lines from the top-phase composition, through the initial mixture composition, to the bottom-phase composition. The tie-line slope (TLS) is usually constant, since tie-lines are approximately parallel in most phase diagrams, and the average was found for each of the phase compositions to make assumptions for novel mixtures. TLS was calculated using the equations below for the different ATPS. </a:t>
              </a:r>
            </a:p>
            <a:p>
              <a14:m>
                <m:oMath xmlns:m="http://schemas.openxmlformats.org/officeDocument/2006/math">
                  <m:r>
                    <a:rPr lang="en-ZA" sz="1100" i="1">
                      <a:solidFill>
                        <a:schemeClr val="dk1"/>
                      </a:solidFill>
                      <a:effectLst/>
                      <a:latin typeface="Cambria Math" panose="02040503050406030204" pitchFamily="18" charset="0"/>
                      <a:ea typeface="+mn-ea"/>
                      <a:cs typeface="+mn-cs"/>
                    </a:rPr>
                    <m:t>𝑇𝐿𝑆</m:t>
                  </m:r>
                  <m:r>
                    <a:rPr lang="en-ZA" sz="1100">
                      <a:solidFill>
                        <a:schemeClr val="dk1"/>
                      </a:solidFill>
                      <a:effectLst/>
                      <a:latin typeface="Cambria Math" panose="02040503050406030204" pitchFamily="18" charset="0"/>
                      <a:ea typeface="+mn-ea"/>
                      <a:cs typeface="+mn-cs"/>
                    </a:rPr>
                    <m:t>=</m:t>
                  </m:r>
                  <m:f>
                    <m:fPr>
                      <m:ctrlPr>
                        <a:rPr lang="en-ZA" sz="1100" i="1">
                          <a:solidFill>
                            <a:schemeClr val="dk1"/>
                          </a:solidFill>
                          <a:effectLst/>
                          <a:latin typeface="Cambria Math" panose="02040503050406030204" pitchFamily="18" charset="0"/>
                          <a:ea typeface="+mn-ea"/>
                          <a:cs typeface="+mn-cs"/>
                        </a:rPr>
                      </m:ctrlPr>
                    </m:fPr>
                    <m:num>
                      <m:sSub>
                        <m:sSubPr>
                          <m:ctrlPr>
                            <a:rPr lang="en-ZA" sz="1100" i="1">
                              <a:solidFill>
                                <a:schemeClr val="dk1"/>
                              </a:solidFill>
                              <a:effectLst/>
                              <a:latin typeface="Cambria Math" panose="02040503050406030204" pitchFamily="18" charset="0"/>
                              <a:ea typeface="+mn-ea"/>
                              <a:cs typeface="+mn-cs"/>
                            </a:rPr>
                          </m:ctrlPr>
                        </m:sSubPr>
                        <m:e>
                          <m:r>
                            <a:rPr lang="en-ZA" sz="1100" i="1">
                              <a:solidFill>
                                <a:schemeClr val="dk1"/>
                              </a:solidFill>
                              <a:effectLst/>
                              <a:latin typeface="Cambria Math" panose="02040503050406030204" pitchFamily="18" charset="0"/>
                              <a:ea typeface="+mn-ea"/>
                              <a:cs typeface="+mn-cs"/>
                            </a:rPr>
                            <m:t>𝑤</m:t>
                          </m:r>
                        </m:e>
                        <m:sub>
                          <m:r>
                            <a:rPr lang="en-ZA" sz="1100" i="1">
                              <a:solidFill>
                                <a:schemeClr val="dk1"/>
                              </a:solidFill>
                              <a:effectLst/>
                              <a:latin typeface="Cambria Math" panose="02040503050406030204" pitchFamily="18" charset="0"/>
                              <a:ea typeface="+mn-ea"/>
                              <a:cs typeface="+mn-cs"/>
                            </a:rPr>
                            <m:t>𝑃𝐸𝐺</m:t>
                          </m:r>
                        </m:sub>
                      </m:sSub>
                      <m:r>
                        <a:rPr lang="en-ZA" sz="1100">
                          <a:solidFill>
                            <a:schemeClr val="dk1"/>
                          </a:solidFill>
                          <a:effectLst/>
                          <a:latin typeface="Cambria Math" panose="02040503050406030204" pitchFamily="18" charset="0"/>
                          <a:ea typeface="+mn-ea"/>
                          <a:cs typeface="+mn-cs"/>
                        </a:rPr>
                        <m:t>(</m:t>
                      </m:r>
                      <m:r>
                        <a:rPr lang="en-ZA" sz="1100" i="1">
                          <a:solidFill>
                            <a:schemeClr val="dk1"/>
                          </a:solidFill>
                          <a:effectLst/>
                          <a:latin typeface="Cambria Math" panose="02040503050406030204" pitchFamily="18" charset="0"/>
                          <a:ea typeface="+mn-ea"/>
                          <a:cs typeface="+mn-cs"/>
                        </a:rPr>
                        <m:t>𝑡𝑜𝑝</m:t>
                      </m:r>
                      <m:r>
                        <a:rPr lang="en-ZA" sz="1100">
                          <a:solidFill>
                            <a:schemeClr val="dk1"/>
                          </a:solidFill>
                          <a:effectLst/>
                          <a:latin typeface="Cambria Math" panose="02040503050406030204" pitchFamily="18" charset="0"/>
                          <a:ea typeface="+mn-ea"/>
                          <a:cs typeface="+mn-cs"/>
                        </a:rPr>
                        <m:t>)</m:t>
                      </m:r>
                      <m:r>
                        <a:rPr lang="en-ZA" sz="1100" i="1">
                          <a:solidFill>
                            <a:schemeClr val="dk1"/>
                          </a:solidFill>
                          <a:effectLst/>
                          <a:latin typeface="Cambria Math" panose="02040503050406030204" pitchFamily="18" charset="0"/>
                          <a:ea typeface="+mn-ea"/>
                          <a:cs typeface="+mn-cs"/>
                        </a:rPr>
                        <m:t>−</m:t>
                      </m:r>
                      <m:sSub>
                        <m:sSubPr>
                          <m:ctrlPr>
                            <a:rPr lang="en-ZA" sz="1100" i="1">
                              <a:solidFill>
                                <a:schemeClr val="dk1"/>
                              </a:solidFill>
                              <a:effectLst/>
                              <a:latin typeface="Cambria Math" panose="02040503050406030204" pitchFamily="18" charset="0"/>
                              <a:ea typeface="+mn-ea"/>
                              <a:cs typeface="+mn-cs"/>
                            </a:rPr>
                          </m:ctrlPr>
                        </m:sSubPr>
                        <m:e>
                          <m:r>
                            <a:rPr lang="en-ZA" sz="1100" i="1">
                              <a:solidFill>
                                <a:schemeClr val="dk1"/>
                              </a:solidFill>
                              <a:effectLst/>
                              <a:latin typeface="Cambria Math" panose="02040503050406030204" pitchFamily="18" charset="0"/>
                              <a:ea typeface="+mn-ea"/>
                              <a:cs typeface="+mn-cs"/>
                            </a:rPr>
                            <m:t>𝑤</m:t>
                          </m:r>
                        </m:e>
                        <m:sub>
                          <m:r>
                            <a:rPr lang="en-ZA" sz="1100" i="1">
                              <a:solidFill>
                                <a:schemeClr val="dk1"/>
                              </a:solidFill>
                              <a:effectLst/>
                              <a:latin typeface="Cambria Math" panose="02040503050406030204" pitchFamily="18" charset="0"/>
                              <a:ea typeface="+mn-ea"/>
                              <a:cs typeface="+mn-cs"/>
                            </a:rPr>
                            <m:t>𝑃𝐸𝐺</m:t>
                          </m:r>
                        </m:sub>
                      </m:sSub>
                      <m:r>
                        <a:rPr lang="en-ZA" sz="1100">
                          <a:solidFill>
                            <a:schemeClr val="dk1"/>
                          </a:solidFill>
                          <a:effectLst/>
                          <a:latin typeface="Cambria Math" panose="02040503050406030204" pitchFamily="18" charset="0"/>
                          <a:ea typeface="+mn-ea"/>
                          <a:cs typeface="+mn-cs"/>
                        </a:rPr>
                        <m:t>(</m:t>
                      </m:r>
                      <m:r>
                        <a:rPr lang="en-ZA" sz="1100" i="1">
                          <a:solidFill>
                            <a:schemeClr val="dk1"/>
                          </a:solidFill>
                          <a:effectLst/>
                          <a:latin typeface="Cambria Math" panose="02040503050406030204" pitchFamily="18" charset="0"/>
                          <a:ea typeface="+mn-ea"/>
                          <a:cs typeface="+mn-cs"/>
                        </a:rPr>
                        <m:t>𝑏𝑜𝑡𝑡𝑜𝑚</m:t>
                      </m:r>
                      <m:r>
                        <a:rPr lang="en-ZA" sz="1100">
                          <a:solidFill>
                            <a:schemeClr val="dk1"/>
                          </a:solidFill>
                          <a:effectLst/>
                          <a:latin typeface="Cambria Math" panose="02040503050406030204" pitchFamily="18" charset="0"/>
                          <a:ea typeface="+mn-ea"/>
                          <a:cs typeface="+mn-cs"/>
                        </a:rPr>
                        <m:t>) </m:t>
                      </m:r>
                    </m:num>
                    <m:den>
                      <m:sSub>
                        <m:sSubPr>
                          <m:ctrlPr>
                            <a:rPr lang="en-ZA" sz="1100" i="1">
                              <a:solidFill>
                                <a:schemeClr val="dk1"/>
                              </a:solidFill>
                              <a:effectLst/>
                              <a:latin typeface="Cambria Math" panose="02040503050406030204" pitchFamily="18" charset="0"/>
                              <a:ea typeface="+mn-ea"/>
                              <a:cs typeface="+mn-cs"/>
                            </a:rPr>
                          </m:ctrlPr>
                        </m:sSubPr>
                        <m:e>
                          <m:r>
                            <a:rPr lang="en-ZA" sz="1100" i="1">
                              <a:solidFill>
                                <a:schemeClr val="dk1"/>
                              </a:solidFill>
                              <a:effectLst/>
                              <a:latin typeface="Cambria Math" panose="02040503050406030204" pitchFamily="18" charset="0"/>
                              <a:ea typeface="+mn-ea"/>
                              <a:cs typeface="+mn-cs"/>
                            </a:rPr>
                            <m:t>𝑤</m:t>
                          </m:r>
                        </m:e>
                        <m:sub>
                          <m:r>
                            <a:rPr lang="en-ZA" sz="1100" i="1">
                              <a:solidFill>
                                <a:schemeClr val="dk1"/>
                              </a:solidFill>
                              <a:effectLst/>
                              <a:latin typeface="Cambria Math" panose="02040503050406030204" pitchFamily="18" charset="0"/>
                              <a:ea typeface="+mn-ea"/>
                              <a:cs typeface="+mn-cs"/>
                            </a:rPr>
                            <m:t>𝑀𝐷𝑋</m:t>
                          </m:r>
                        </m:sub>
                      </m:sSub>
                      <m:d>
                        <m:dPr>
                          <m:ctrlPr>
                            <a:rPr lang="en-ZA" sz="1100" i="1">
                              <a:solidFill>
                                <a:schemeClr val="dk1"/>
                              </a:solidFill>
                              <a:effectLst/>
                              <a:latin typeface="Cambria Math" panose="02040503050406030204" pitchFamily="18" charset="0"/>
                              <a:ea typeface="+mn-ea"/>
                              <a:cs typeface="+mn-cs"/>
                            </a:rPr>
                          </m:ctrlPr>
                        </m:dPr>
                        <m:e>
                          <m:r>
                            <a:rPr lang="en-ZA" sz="1100" i="1">
                              <a:solidFill>
                                <a:schemeClr val="dk1"/>
                              </a:solidFill>
                              <a:effectLst/>
                              <a:latin typeface="Cambria Math" panose="02040503050406030204" pitchFamily="18" charset="0"/>
                              <a:ea typeface="+mn-ea"/>
                              <a:cs typeface="+mn-cs"/>
                            </a:rPr>
                            <m:t>𝑡𝑜𝑝</m:t>
                          </m:r>
                        </m:e>
                      </m:d>
                      <m:r>
                        <a:rPr lang="en-ZA" sz="1100" i="1">
                          <a:solidFill>
                            <a:schemeClr val="dk1"/>
                          </a:solidFill>
                          <a:effectLst/>
                          <a:latin typeface="Cambria Math" panose="02040503050406030204" pitchFamily="18" charset="0"/>
                          <a:ea typeface="+mn-ea"/>
                          <a:cs typeface="+mn-cs"/>
                        </a:rPr>
                        <m:t>−</m:t>
                      </m:r>
                      <m:sSub>
                        <m:sSubPr>
                          <m:ctrlPr>
                            <a:rPr lang="en-ZA" sz="1100" i="1">
                              <a:solidFill>
                                <a:schemeClr val="dk1"/>
                              </a:solidFill>
                              <a:effectLst/>
                              <a:latin typeface="Cambria Math" panose="02040503050406030204" pitchFamily="18" charset="0"/>
                              <a:ea typeface="+mn-ea"/>
                              <a:cs typeface="+mn-cs"/>
                            </a:rPr>
                          </m:ctrlPr>
                        </m:sSubPr>
                        <m:e>
                          <m:r>
                            <a:rPr lang="en-ZA" sz="1100" i="1">
                              <a:solidFill>
                                <a:schemeClr val="dk1"/>
                              </a:solidFill>
                              <a:effectLst/>
                              <a:latin typeface="Cambria Math" panose="02040503050406030204" pitchFamily="18" charset="0"/>
                              <a:ea typeface="+mn-ea"/>
                              <a:cs typeface="+mn-cs"/>
                            </a:rPr>
                            <m:t>𝑤</m:t>
                          </m:r>
                        </m:e>
                        <m:sub>
                          <m:r>
                            <a:rPr lang="en-ZA" sz="1100" i="1">
                              <a:solidFill>
                                <a:schemeClr val="dk1"/>
                              </a:solidFill>
                              <a:effectLst/>
                              <a:latin typeface="Cambria Math" panose="02040503050406030204" pitchFamily="18" charset="0"/>
                              <a:ea typeface="+mn-ea"/>
                              <a:cs typeface="+mn-cs"/>
                            </a:rPr>
                            <m:t>𝑀𝐷𝑋</m:t>
                          </m:r>
                        </m:sub>
                      </m:sSub>
                      <m:d>
                        <m:dPr>
                          <m:ctrlPr>
                            <a:rPr lang="en-ZA" sz="1100" i="1">
                              <a:solidFill>
                                <a:schemeClr val="dk1"/>
                              </a:solidFill>
                              <a:effectLst/>
                              <a:latin typeface="Cambria Math" panose="02040503050406030204" pitchFamily="18" charset="0"/>
                              <a:ea typeface="+mn-ea"/>
                              <a:cs typeface="+mn-cs"/>
                            </a:rPr>
                          </m:ctrlPr>
                        </m:dPr>
                        <m:e>
                          <m:r>
                            <a:rPr lang="en-ZA" sz="1100" i="1">
                              <a:solidFill>
                                <a:schemeClr val="dk1"/>
                              </a:solidFill>
                              <a:effectLst/>
                              <a:latin typeface="Cambria Math" panose="02040503050406030204" pitchFamily="18" charset="0"/>
                              <a:ea typeface="+mn-ea"/>
                              <a:cs typeface="+mn-cs"/>
                            </a:rPr>
                            <m:t>𝑏𝑜𝑡𝑡𝑜𝑚</m:t>
                          </m:r>
                        </m:e>
                      </m:d>
                    </m:den>
                  </m:f>
                  <m:r>
                    <a:rPr lang="en-ZA" sz="1100">
                      <a:solidFill>
                        <a:schemeClr val="dk1"/>
                      </a:solidFill>
                      <a:effectLst/>
                      <a:latin typeface="Cambria Math" panose="02040503050406030204" pitchFamily="18" charset="0"/>
                      <a:ea typeface="+mn-ea"/>
                      <a:cs typeface="+mn-cs"/>
                    </a:rPr>
                    <m:t>=</m:t>
                  </m:r>
                  <m:f>
                    <m:fPr>
                      <m:ctrlPr>
                        <a:rPr lang="en-ZA" sz="1100" i="1">
                          <a:solidFill>
                            <a:schemeClr val="dk1"/>
                          </a:solidFill>
                          <a:effectLst/>
                          <a:latin typeface="Cambria Math" panose="02040503050406030204" pitchFamily="18" charset="0"/>
                          <a:ea typeface="+mn-ea"/>
                          <a:cs typeface="+mn-cs"/>
                        </a:rPr>
                      </m:ctrlPr>
                    </m:fPr>
                    <m:num>
                      <m:sSub>
                        <m:sSubPr>
                          <m:ctrlPr>
                            <a:rPr lang="en-ZA" sz="1100" i="1">
                              <a:solidFill>
                                <a:schemeClr val="dk1"/>
                              </a:solidFill>
                              <a:effectLst/>
                              <a:latin typeface="Cambria Math" panose="02040503050406030204" pitchFamily="18" charset="0"/>
                              <a:ea typeface="+mn-ea"/>
                              <a:cs typeface="+mn-cs"/>
                            </a:rPr>
                          </m:ctrlPr>
                        </m:sSubPr>
                        <m:e>
                          <m:r>
                            <m:rPr>
                              <m:sty m:val="p"/>
                            </m:rPr>
                            <a:rPr lang="en-ZA" sz="1100">
                              <a:solidFill>
                                <a:schemeClr val="dk1"/>
                              </a:solidFill>
                              <a:effectLst/>
                              <a:latin typeface="Cambria Math" panose="02040503050406030204" pitchFamily="18" charset="0"/>
                              <a:ea typeface="+mn-ea"/>
                              <a:cs typeface="+mn-cs"/>
                            </a:rPr>
                            <m:t>Δw</m:t>
                          </m:r>
                        </m:e>
                        <m:sub>
                          <m:r>
                            <m:rPr>
                              <m:sty m:val="p"/>
                            </m:rPr>
                            <a:rPr lang="en-ZA" sz="1100">
                              <a:solidFill>
                                <a:schemeClr val="dk1"/>
                              </a:solidFill>
                              <a:effectLst/>
                              <a:latin typeface="Cambria Math" panose="02040503050406030204" pitchFamily="18" charset="0"/>
                              <a:ea typeface="+mn-ea"/>
                              <a:cs typeface="+mn-cs"/>
                            </a:rPr>
                            <m:t>PEG</m:t>
                          </m:r>
                        </m:sub>
                      </m:sSub>
                    </m:num>
                    <m:den>
                      <m:sSub>
                        <m:sSubPr>
                          <m:ctrlPr>
                            <a:rPr lang="en-ZA" sz="1100" i="1">
                              <a:solidFill>
                                <a:schemeClr val="dk1"/>
                              </a:solidFill>
                              <a:effectLst/>
                              <a:latin typeface="Cambria Math" panose="02040503050406030204" pitchFamily="18" charset="0"/>
                              <a:ea typeface="+mn-ea"/>
                              <a:cs typeface="+mn-cs"/>
                            </a:rPr>
                          </m:ctrlPr>
                        </m:sSubPr>
                        <m:e>
                          <m:r>
                            <m:rPr>
                              <m:sty m:val="p"/>
                            </m:rPr>
                            <a:rPr lang="en-ZA" sz="1100">
                              <a:solidFill>
                                <a:schemeClr val="dk1"/>
                              </a:solidFill>
                              <a:effectLst/>
                              <a:latin typeface="Cambria Math" panose="02040503050406030204" pitchFamily="18" charset="0"/>
                              <a:ea typeface="+mn-ea"/>
                              <a:cs typeface="+mn-cs"/>
                            </a:rPr>
                            <m:t>Δw</m:t>
                          </m:r>
                        </m:e>
                        <m:sub>
                          <m:r>
                            <m:rPr>
                              <m:sty m:val="p"/>
                            </m:rPr>
                            <a:rPr lang="en-ZA" sz="1100">
                              <a:solidFill>
                                <a:schemeClr val="dk1"/>
                              </a:solidFill>
                              <a:effectLst/>
                              <a:latin typeface="Cambria Math" panose="02040503050406030204" pitchFamily="18" charset="0"/>
                              <a:ea typeface="+mn-ea"/>
                              <a:cs typeface="+mn-cs"/>
                            </a:rPr>
                            <m:t>MDX</m:t>
                          </m:r>
                        </m:sub>
                      </m:sSub>
                    </m:den>
                  </m:f>
                  <m:r>
                    <a:rPr lang="en-ZA" sz="1100">
                      <a:solidFill>
                        <a:schemeClr val="dk1"/>
                      </a:solidFill>
                      <a:effectLst/>
                      <a:latin typeface="Cambria Math" panose="02040503050406030204" pitchFamily="18" charset="0"/>
                      <a:ea typeface="+mn-ea"/>
                      <a:cs typeface="+mn-cs"/>
                    </a:rPr>
                    <m:t> </m:t>
                  </m:r>
                </m:oMath>
              </a14:m>
              <a:r>
                <a:rPr lang="en-ZA" sz="1100">
                  <a:solidFill>
                    <a:schemeClr val="dk1"/>
                  </a:solidFill>
                  <a:effectLst/>
                  <a:latin typeface="+mn-lt"/>
                  <a:ea typeface="+mn-ea"/>
                  <a:cs typeface="+mn-cs"/>
                </a:rPr>
                <a:t>						Equation 5 </a:t>
              </a:r>
            </a:p>
            <a:p>
              <a:r>
                <a:rPr lang="en-ZA" sz="1100">
                  <a:solidFill>
                    <a:schemeClr val="dk1"/>
                  </a:solidFill>
                  <a:effectLst/>
                  <a:latin typeface="+mn-lt"/>
                  <a:ea typeface="+mn-ea"/>
                  <a:cs typeface="+mn-cs"/>
                </a:rPr>
                <a:t>And:</a:t>
              </a:r>
            </a:p>
            <a:p>
              <a14:m>
                <m:oMath xmlns:m="http://schemas.openxmlformats.org/officeDocument/2006/math">
                  <m:r>
                    <a:rPr lang="en-ZA" sz="1100" i="1">
                      <a:solidFill>
                        <a:schemeClr val="dk1"/>
                      </a:solidFill>
                      <a:effectLst/>
                      <a:latin typeface="Cambria Math" panose="02040503050406030204" pitchFamily="18" charset="0"/>
                      <a:ea typeface="+mn-ea"/>
                      <a:cs typeface="+mn-cs"/>
                    </a:rPr>
                    <m:t>𝑇𝐿𝑆</m:t>
                  </m:r>
                  <m:r>
                    <a:rPr lang="en-ZA" sz="1100">
                      <a:solidFill>
                        <a:schemeClr val="dk1"/>
                      </a:solidFill>
                      <a:effectLst/>
                      <a:latin typeface="Cambria Math" panose="02040503050406030204" pitchFamily="18" charset="0"/>
                      <a:ea typeface="+mn-ea"/>
                      <a:cs typeface="+mn-cs"/>
                    </a:rPr>
                    <m:t>=</m:t>
                  </m:r>
                  <m:f>
                    <m:fPr>
                      <m:ctrlPr>
                        <a:rPr lang="en-ZA" sz="1100" i="1">
                          <a:solidFill>
                            <a:schemeClr val="dk1"/>
                          </a:solidFill>
                          <a:effectLst/>
                          <a:latin typeface="Cambria Math" panose="02040503050406030204" pitchFamily="18" charset="0"/>
                          <a:ea typeface="+mn-ea"/>
                          <a:cs typeface="+mn-cs"/>
                        </a:rPr>
                      </m:ctrlPr>
                    </m:fPr>
                    <m:num>
                      <m:sSub>
                        <m:sSubPr>
                          <m:ctrlPr>
                            <a:rPr lang="en-ZA" sz="1100" i="1">
                              <a:solidFill>
                                <a:schemeClr val="dk1"/>
                              </a:solidFill>
                              <a:effectLst/>
                              <a:latin typeface="Cambria Math" panose="02040503050406030204" pitchFamily="18" charset="0"/>
                              <a:ea typeface="+mn-ea"/>
                              <a:cs typeface="+mn-cs"/>
                            </a:rPr>
                          </m:ctrlPr>
                        </m:sSubPr>
                        <m:e>
                          <m:r>
                            <a:rPr lang="en-ZA" sz="1100" i="1">
                              <a:solidFill>
                                <a:schemeClr val="dk1"/>
                              </a:solidFill>
                              <a:effectLst/>
                              <a:latin typeface="Cambria Math" panose="02040503050406030204" pitchFamily="18" charset="0"/>
                              <a:ea typeface="+mn-ea"/>
                              <a:cs typeface="+mn-cs"/>
                            </a:rPr>
                            <m:t>𝑤</m:t>
                          </m:r>
                        </m:e>
                        <m:sub>
                          <m:r>
                            <a:rPr lang="en-ZA" sz="1100" i="1">
                              <a:solidFill>
                                <a:schemeClr val="dk1"/>
                              </a:solidFill>
                              <a:effectLst/>
                              <a:latin typeface="Cambria Math" panose="02040503050406030204" pitchFamily="18" charset="0"/>
                              <a:ea typeface="+mn-ea"/>
                              <a:cs typeface="+mn-cs"/>
                            </a:rPr>
                            <m:t>𝑃𝐸𝐺</m:t>
                          </m:r>
                        </m:sub>
                      </m:sSub>
                      <m:r>
                        <a:rPr lang="en-ZA" sz="1100">
                          <a:solidFill>
                            <a:schemeClr val="dk1"/>
                          </a:solidFill>
                          <a:effectLst/>
                          <a:latin typeface="Cambria Math" panose="02040503050406030204" pitchFamily="18" charset="0"/>
                          <a:ea typeface="+mn-ea"/>
                          <a:cs typeface="+mn-cs"/>
                        </a:rPr>
                        <m:t>(</m:t>
                      </m:r>
                      <m:r>
                        <a:rPr lang="en-ZA" sz="1100" i="1">
                          <a:solidFill>
                            <a:schemeClr val="dk1"/>
                          </a:solidFill>
                          <a:effectLst/>
                          <a:latin typeface="Cambria Math" panose="02040503050406030204" pitchFamily="18" charset="0"/>
                          <a:ea typeface="+mn-ea"/>
                          <a:cs typeface="+mn-cs"/>
                        </a:rPr>
                        <m:t>𝑡𝑜𝑝</m:t>
                      </m:r>
                      <m:r>
                        <a:rPr lang="en-ZA" sz="1100">
                          <a:solidFill>
                            <a:schemeClr val="dk1"/>
                          </a:solidFill>
                          <a:effectLst/>
                          <a:latin typeface="Cambria Math" panose="02040503050406030204" pitchFamily="18" charset="0"/>
                          <a:ea typeface="+mn-ea"/>
                          <a:cs typeface="+mn-cs"/>
                        </a:rPr>
                        <m:t>)</m:t>
                      </m:r>
                      <m:r>
                        <a:rPr lang="en-ZA" sz="1100" i="1">
                          <a:solidFill>
                            <a:schemeClr val="dk1"/>
                          </a:solidFill>
                          <a:effectLst/>
                          <a:latin typeface="Cambria Math" panose="02040503050406030204" pitchFamily="18" charset="0"/>
                          <a:ea typeface="+mn-ea"/>
                          <a:cs typeface="+mn-cs"/>
                        </a:rPr>
                        <m:t>−</m:t>
                      </m:r>
                      <m:sSub>
                        <m:sSubPr>
                          <m:ctrlPr>
                            <a:rPr lang="en-ZA" sz="1100" i="1">
                              <a:solidFill>
                                <a:schemeClr val="dk1"/>
                              </a:solidFill>
                              <a:effectLst/>
                              <a:latin typeface="Cambria Math" panose="02040503050406030204" pitchFamily="18" charset="0"/>
                              <a:ea typeface="+mn-ea"/>
                              <a:cs typeface="+mn-cs"/>
                            </a:rPr>
                          </m:ctrlPr>
                        </m:sSubPr>
                        <m:e>
                          <m:r>
                            <a:rPr lang="en-ZA" sz="1100" i="1">
                              <a:solidFill>
                                <a:schemeClr val="dk1"/>
                              </a:solidFill>
                              <a:effectLst/>
                              <a:latin typeface="Cambria Math" panose="02040503050406030204" pitchFamily="18" charset="0"/>
                              <a:ea typeface="+mn-ea"/>
                              <a:cs typeface="+mn-cs"/>
                            </a:rPr>
                            <m:t>𝑤</m:t>
                          </m:r>
                        </m:e>
                        <m:sub>
                          <m:r>
                            <a:rPr lang="en-ZA" sz="1100" i="1">
                              <a:solidFill>
                                <a:schemeClr val="dk1"/>
                              </a:solidFill>
                              <a:effectLst/>
                              <a:latin typeface="Cambria Math" panose="02040503050406030204" pitchFamily="18" charset="0"/>
                              <a:ea typeface="+mn-ea"/>
                              <a:cs typeface="+mn-cs"/>
                            </a:rPr>
                            <m:t>𝑃𝐸𝐺</m:t>
                          </m:r>
                        </m:sub>
                      </m:sSub>
                      <m:r>
                        <a:rPr lang="en-ZA" sz="1100">
                          <a:solidFill>
                            <a:schemeClr val="dk1"/>
                          </a:solidFill>
                          <a:effectLst/>
                          <a:latin typeface="Cambria Math" panose="02040503050406030204" pitchFamily="18" charset="0"/>
                          <a:ea typeface="+mn-ea"/>
                          <a:cs typeface="+mn-cs"/>
                        </a:rPr>
                        <m:t>(</m:t>
                      </m:r>
                      <m:r>
                        <a:rPr lang="en-ZA" sz="1100" i="1">
                          <a:solidFill>
                            <a:schemeClr val="dk1"/>
                          </a:solidFill>
                          <a:effectLst/>
                          <a:latin typeface="Cambria Math" panose="02040503050406030204" pitchFamily="18" charset="0"/>
                          <a:ea typeface="+mn-ea"/>
                          <a:cs typeface="+mn-cs"/>
                        </a:rPr>
                        <m:t>𝑏𝑜𝑡𝑡𝑜𝑚</m:t>
                      </m:r>
                      <m:r>
                        <a:rPr lang="en-ZA" sz="1100">
                          <a:solidFill>
                            <a:schemeClr val="dk1"/>
                          </a:solidFill>
                          <a:effectLst/>
                          <a:latin typeface="Cambria Math" panose="02040503050406030204" pitchFamily="18" charset="0"/>
                          <a:ea typeface="+mn-ea"/>
                          <a:cs typeface="+mn-cs"/>
                        </a:rPr>
                        <m:t>) </m:t>
                      </m:r>
                    </m:num>
                    <m:den>
                      <m:sSub>
                        <m:sSubPr>
                          <m:ctrlPr>
                            <a:rPr lang="en-ZA" sz="1100" i="1">
                              <a:solidFill>
                                <a:schemeClr val="dk1"/>
                              </a:solidFill>
                              <a:effectLst/>
                              <a:latin typeface="Cambria Math" panose="02040503050406030204" pitchFamily="18" charset="0"/>
                              <a:ea typeface="+mn-ea"/>
                              <a:cs typeface="+mn-cs"/>
                            </a:rPr>
                          </m:ctrlPr>
                        </m:sSubPr>
                        <m:e>
                          <m:r>
                            <a:rPr lang="en-ZA" sz="1100" i="1">
                              <a:solidFill>
                                <a:schemeClr val="dk1"/>
                              </a:solidFill>
                              <a:effectLst/>
                              <a:latin typeface="Cambria Math" panose="02040503050406030204" pitchFamily="18" charset="0"/>
                              <a:ea typeface="+mn-ea"/>
                              <a:cs typeface="+mn-cs"/>
                            </a:rPr>
                            <m:t>𝑤</m:t>
                          </m:r>
                        </m:e>
                        <m:sub>
                          <m:r>
                            <a:rPr lang="en-ZA" sz="1100" i="1">
                              <a:solidFill>
                                <a:schemeClr val="dk1"/>
                              </a:solidFill>
                              <a:effectLst/>
                              <a:latin typeface="Cambria Math" panose="02040503050406030204" pitchFamily="18" charset="0"/>
                              <a:ea typeface="+mn-ea"/>
                              <a:cs typeface="+mn-cs"/>
                            </a:rPr>
                            <m:t>𝑐𝑖𝑡𝑟𝑎𝑡𝑒</m:t>
                          </m:r>
                        </m:sub>
                      </m:sSub>
                      <m:d>
                        <m:dPr>
                          <m:ctrlPr>
                            <a:rPr lang="en-ZA" sz="1100" i="1">
                              <a:solidFill>
                                <a:schemeClr val="dk1"/>
                              </a:solidFill>
                              <a:effectLst/>
                              <a:latin typeface="Cambria Math" panose="02040503050406030204" pitchFamily="18" charset="0"/>
                              <a:ea typeface="+mn-ea"/>
                              <a:cs typeface="+mn-cs"/>
                            </a:rPr>
                          </m:ctrlPr>
                        </m:dPr>
                        <m:e>
                          <m:r>
                            <a:rPr lang="en-ZA" sz="1100" i="1">
                              <a:solidFill>
                                <a:schemeClr val="dk1"/>
                              </a:solidFill>
                              <a:effectLst/>
                              <a:latin typeface="Cambria Math" panose="02040503050406030204" pitchFamily="18" charset="0"/>
                              <a:ea typeface="+mn-ea"/>
                              <a:cs typeface="+mn-cs"/>
                            </a:rPr>
                            <m:t>𝑡𝑜𝑝</m:t>
                          </m:r>
                        </m:e>
                      </m:d>
                      <m:r>
                        <a:rPr lang="en-ZA" sz="1100" i="1">
                          <a:solidFill>
                            <a:schemeClr val="dk1"/>
                          </a:solidFill>
                          <a:effectLst/>
                          <a:latin typeface="Cambria Math" panose="02040503050406030204" pitchFamily="18" charset="0"/>
                          <a:ea typeface="+mn-ea"/>
                          <a:cs typeface="+mn-cs"/>
                        </a:rPr>
                        <m:t>−</m:t>
                      </m:r>
                      <m:sSub>
                        <m:sSubPr>
                          <m:ctrlPr>
                            <a:rPr lang="en-ZA" sz="1100" i="1">
                              <a:solidFill>
                                <a:schemeClr val="dk1"/>
                              </a:solidFill>
                              <a:effectLst/>
                              <a:latin typeface="Cambria Math" panose="02040503050406030204" pitchFamily="18" charset="0"/>
                              <a:ea typeface="+mn-ea"/>
                              <a:cs typeface="+mn-cs"/>
                            </a:rPr>
                          </m:ctrlPr>
                        </m:sSubPr>
                        <m:e>
                          <m:r>
                            <a:rPr lang="en-ZA" sz="1100" i="1">
                              <a:solidFill>
                                <a:schemeClr val="dk1"/>
                              </a:solidFill>
                              <a:effectLst/>
                              <a:latin typeface="Cambria Math" panose="02040503050406030204" pitchFamily="18" charset="0"/>
                              <a:ea typeface="+mn-ea"/>
                              <a:cs typeface="+mn-cs"/>
                            </a:rPr>
                            <m:t>𝑤</m:t>
                          </m:r>
                        </m:e>
                        <m:sub>
                          <m:r>
                            <a:rPr lang="en-ZA" sz="1100" i="1">
                              <a:solidFill>
                                <a:schemeClr val="dk1"/>
                              </a:solidFill>
                              <a:effectLst/>
                              <a:latin typeface="Cambria Math" panose="02040503050406030204" pitchFamily="18" charset="0"/>
                              <a:ea typeface="+mn-ea"/>
                              <a:cs typeface="+mn-cs"/>
                            </a:rPr>
                            <m:t>𝑐𝑖𝑡𝑟𝑎𝑡𝑒</m:t>
                          </m:r>
                        </m:sub>
                      </m:sSub>
                      <m:d>
                        <m:dPr>
                          <m:ctrlPr>
                            <a:rPr lang="en-ZA" sz="1100" i="1">
                              <a:solidFill>
                                <a:schemeClr val="dk1"/>
                              </a:solidFill>
                              <a:effectLst/>
                              <a:latin typeface="Cambria Math" panose="02040503050406030204" pitchFamily="18" charset="0"/>
                              <a:ea typeface="+mn-ea"/>
                              <a:cs typeface="+mn-cs"/>
                            </a:rPr>
                          </m:ctrlPr>
                        </m:dPr>
                        <m:e>
                          <m:r>
                            <a:rPr lang="en-ZA" sz="1100" i="1">
                              <a:solidFill>
                                <a:schemeClr val="dk1"/>
                              </a:solidFill>
                              <a:effectLst/>
                              <a:latin typeface="Cambria Math" panose="02040503050406030204" pitchFamily="18" charset="0"/>
                              <a:ea typeface="+mn-ea"/>
                              <a:cs typeface="+mn-cs"/>
                            </a:rPr>
                            <m:t>𝑏𝑜𝑡𝑡𝑜𝑚</m:t>
                          </m:r>
                        </m:e>
                      </m:d>
                    </m:den>
                  </m:f>
                  <m:r>
                    <a:rPr lang="en-ZA" sz="1100">
                      <a:solidFill>
                        <a:schemeClr val="dk1"/>
                      </a:solidFill>
                      <a:effectLst/>
                      <a:latin typeface="Cambria Math" panose="02040503050406030204" pitchFamily="18" charset="0"/>
                      <a:ea typeface="+mn-ea"/>
                      <a:cs typeface="+mn-cs"/>
                    </a:rPr>
                    <m:t>=</m:t>
                  </m:r>
                  <m:f>
                    <m:fPr>
                      <m:ctrlPr>
                        <a:rPr lang="en-ZA" sz="1100" i="1">
                          <a:solidFill>
                            <a:schemeClr val="dk1"/>
                          </a:solidFill>
                          <a:effectLst/>
                          <a:latin typeface="Cambria Math" panose="02040503050406030204" pitchFamily="18" charset="0"/>
                          <a:ea typeface="+mn-ea"/>
                          <a:cs typeface="+mn-cs"/>
                        </a:rPr>
                      </m:ctrlPr>
                    </m:fPr>
                    <m:num>
                      <m:sSub>
                        <m:sSubPr>
                          <m:ctrlPr>
                            <a:rPr lang="en-ZA" sz="1100" i="1">
                              <a:solidFill>
                                <a:schemeClr val="dk1"/>
                              </a:solidFill>
                              <a:effectLst/>
                              <a:latin typeface="Cambria Math" panose="02040503050406030204" pitchFamily="18" charset="0"/>
                              <a:ea typeface="+mn-ea"/>
                              <a:cs typeface="+mn-cs"/>
                            </a:rPr>
                          </m:ctrlPr>
                        </m:sSubPr>
                        <m:e>
                          <m:r>
                            <m:rPr>
                              <m:sty m:val="p"/>
                            </m:rPr>
                            <a:rPr lang="en-ZA" sz="1100">
                              <a:solidFill>
                                <a:schemeClr val="dk1"/>
                              </a:solidFill>
                              <a:effectLst/>
                              <a:latin typeface="Cambria Math" panose="02040503050406030204" pitchFamily="18" charset="0"/>
                              <a:ea typeface="+mn-ea"/>
                              <a:cs typeface="+mn-cs"/>
                            </a:rPr>
                            <m:t>Δw</m:t>
                          </m:r>
                        </m:e>
                        <m:sub>
                          <m:r>
                            <m:rPr>
                              <m:sty m:val="p"/>
                            </m:rPr>
                            <a:rPr lang="en-ZA" sz="1100">
                              <a:solidFill>
                                <a:schemeClr val="dk1"/>
                              </a:solidFill>
                              <a:effectLst/>
                              <a:latin typeface="Cambria Math" panose="02040503050406030204" pitchFamily="18" charset="0"/>
                              <a:ea typeface="+mn-ea"/>
                              <a:cs typeface="+mn-cs"/>
                            </a:rPr>
                            <m:t>PEG</m:t>
                          </m:r>
                        </m:sub>
                      </m:sSub>
                    </m:num>
                    <m:den>
                      <m:sSub>
                        <m:sSubPr>
                          <m:ctrlPr>
                            <a:rPr lang="en-ZA" sz="1100" i="1">
                              <a:solidFill>
                                <a:schemeClr val="dk1"/>
                              </a:solidFill>
                              <a:effectLst/>
                              <a:latin typeface="Cambria Math" panose="02040503050406030204" pitchFamily="18" charset="0"/>
                              <a:ea typeface="+mn-ea"/>
                              <a:cs typeface="+mn-cs"/>
                            </a:rPr>
                          </m:ctrlPr>
                        </m:sSubPr>
                        <m:e>
                          <m:r>
                            <m:rPr>
                              <m:sty m:val="p"/>
                            </m:rPr>
                            <a:rPr lang="en-ZA" sz="1100">
                              <a:solidFill>
                                <a:schemeClr val="dk1"/>
                              </a:solidFill>
                              <a:effectLst/>
                              <a:latin typeface="Cambria Math" panose="02040503050406030204" pitchFamily="18" charset="0"/>
                              <a:ea typeface="+mn-ea"/>
                              <a:cs typeface="+mn-cs"/>
                            </a:rPr>
                            <m:t>Δw</m:t>
                          </m:r>
                        </m:e>
                        <m:sub>
                          <m:r>
                            <m:rPr>
                              <m:sty m:val="p"/>
                            </m:rPr>
                            <a:rPr lang="en-ZA" sz="1100">
                              <a:solidFill>
                                <a:schemeClr val="dk1"/>
                              </a:solidFill>
                              <a:effectLst/>
                              <a:latin typeface="Cambria Math" panose="02040503050406030204" pitchFamily="18" charset="0"/>
                              <a:ea typeface="+mn-ea"/>
                              <a:cs typeface="+mn-cs"/>
                            </a:rPr>
                            <m:t>citrate</m:t>
                          </m:r>
                        </m:sub>
                      </m:sSub>
                    </m:den>
                  </m:f>
                  <m:r>
                    <a:rPr lang="en-ZA" sz="1100">
                      <a:solidFill>
                        <a:schemeClr val="dk1"/>
                      </a:solidFill>
                      <a:effectLst/>
                      <a:latin typeface="Cambria Math" panose="02040503050406030204" pitchFamily="18" charset="0"/>
                      <a:ea typeface="+mn-ea"/>
                      <a:cs typeface="+mn-cs"/>
                    </a:rPr>
                    <m:t> </m:t>
                  </m:r>
                </m:oMath>
              </a14:m>
              <a:r>
                <a:rPr lang="en-ZA" sz="1100">
                  <a:solidFill>
                    <a:schemeClr val="dk1"/>
                  </a:solidFill>
                  <a:effectLst/>
                  <a:latin typeface="+mn-lt"/>
                  <a:ea typeface="+mn-ea"/>
                  <a:cs typeface="+mn-cs"/>
                </a:rPr>
                <a:t>						Equation 6 </a:t>
              </a:r>
            </a:p>
            <a:p>
              <a:r>
                <a:rPr lang="en-ZA" sz="1100">
                  <a:solidFill>
                    <a:schemeClr val="dk1"/>
                  </a:solidFill>
                  <a:effectLst/>
                  <a:latin typeface="+mn-lt"/>
                  <a:ea typeface="+mn-ea"/>
                  <a:cs typeface="+mn-cs"/>
                </a:rPr>
                <a:t>The tie-line length (TLL) was calculated using the compositions of the top and bottom phases of each ATPS, with a greater length showing that the compositions are further apart on the phase equilibrium curve. The TLL was found using the equation below.</a:t>
              </a:r>
            </a:p>
            <a:p>
              <a14:m>
                <m:oMath xmlns:m="http://schemas.openxmlformats.org/officeDocument/2006/math">
                  <m:r>
                    <a:rPr lang="en-ZA" sz="1100" i="1">
                      <a:solidFill>
                        <a:schemeClr val="dk1"/>
                      </a:solidFill>
                      <a:effectLst/>
                      <a:latin typeface="Cambria Math" panose="02040503050406030204" pitchFamily="18" charset="0"/>
                      <a:ea typeface="+mn-ea"/>
                      <a:cs typeface="+mn-cs"/>
                    </a:rPr>
                    <m:t>𝑇𝐿𝐿</m:t>
                  </m:r>
                  <m:r>
                    <a:rPr lang="en-ZA" sz="1100">
                      <a:solidFill>
                        <a:schemeClr val="dk1"/>
                      </a:solidFill>
                      <a:effectLst/>
                      <a:latin typeface="Cambria Math" panose="02040503050406030204" pitchFamily="18" charset="0"/>
                      <a:ea typeface="+mn-ea"/>
                      <a:cs typeface="+mn-cs"/>
                    </a:rPr>
                    <m:t>=</m:t>
                  </m:r>
                  <m:rad>
                    <m:radPr>
                      <m:degHide m:val="on"/>
                      <m:ctrlPr>
                        <a:rPr lang="en-ZA" sz="1100" i="1">
                          <a:solidFill>
                            <a:schemeClr val="dk1"/>
                          </a:solidFill>
                          <a:effectLst/>
                          <a:latin typeface="Cambria Math" panose="02040503050406030204" pitchFamily="18" charset="0"/>
                          <a:ea typeface="+mn-ea"/>
                          <a:cs typeface="+mn-cs"/>
                        </a:rPr>
                      </m:ctrlPr>
                    </m:radPr>
                    <m:deg/>
                    <m:e>
                      <m:sSub>
                        <m:sSubPr>
                          <m:ctrlPr>
                            <a:rPr lang="en-ZA" sz="1100" i="1">
                              <a:solidFill>
                                <a:schemeClr val="dk1"/>
                              </a:solidFill>
                              <a:effectLst/>
                              <a:latin typeface="Cambria Math" panose="02040503050406030204" pitchFamily="18" charset="0"/>
                              <a:ea typeface="+mn-ea"/>
                              <a:cs typeface="+mn-cs"/>
                            </a:rPr>
                          </m:ctrlPr>
                        </m:sSubPr>
                        <m:e>
                          <m:r>
                            <a:rPr lang="en-ZA" sz="1100">
                              <a:solidFill>
                                <a:schemeClr val="dk1"/>
                              </a:solidFill>
                              <a:effectLst/>
                              <a:latin typeface="Cambria Math" panose="02040503050406030204" pitchFamily="18" charset="0"/>
                              <a:ea typeface="+mn-ea"/>
                              <a:cs typeface="+mn-cs"/>
                            </a:rPr>
                            <m:t> (</m:t>
                          </m:r>
                          <m:r>
                            <a:rPr lang="en-ZA" sz="1100" i="1">
                              <a:solidFill>
                                <a:schemeClr val="dk1"/>
                              </a:solidFill>
                              <a:effectLst/>
                              <a:latin typeface="Cambria Math" panose="02040503050406030204" pitchFamily="18" charset="0"/>
                              <a:ea typeface="+mn-ea"/>
                              <a:cs typeface="+mn-cs"/>
                            </a:rPr>
                            <m:t>𝑤</m:t>
                          </m:r>
                        </m:e>
                        <m:sub>
                          <m:r>
                            <a:rPr lang="en-ZA" sz="1100" i="1">
                              <a:solidFill>
                                <a:schemeClr val="dk1"/>
                              </a:solidFill>
                              <a:effectLst/>
                              <a:latin typeface="Cambria Math" panose="02040503050406030204" pitchFamily="18" charset="0"/>
                              <a:ea typeface="+mn-ea"/>
                              <a:cs typeface="+mn-cs"/>
                            </a:rPr>
                            <m:t>𝑃𝐸𝐺</m:t>
                          </m:r>
                        </m:sub>
                      </m:sSub>
                      <m:d>
                        <m:dPr>
                          <m:ctrlPr>
                            <a:rPr lang="en-ZA" sz="1100" i="1">
                              <a:solidFill>
                                <a:schemeClr val="dk1"/>
                              </a:solidFill>
                              <a:effectLst/>
                              <a:latin typeface="Cambria Math" panose="02040503050406030204" pitchFamily="18" charset="0"/>
                              <a:ea typeface="+mn-ea"/>
                              <a:cs typeface="+mn-cs"/>
                            </a:rPr>
                          </m:ctrlPr>
                        </m:dPr>
                        <m:e>
                          <m:r>
                            <a:rPr lang="en-ZA" sz="1100" i="1">
                              <a:solidFill>
                                <a:schemeClr val="dk1"/>
                              </a:solidFill>
                              <a:effectLst/>
                              <a:latin typeface="Cambria Math" panose="02040503050406030204" pitchFamily="18" charset="0"/>
                              <a:ea typeface="+mn-ea"/>
                              <a:cs typeface="+mn-cs"/>
                            </a:rPr>
                            <m:t>𝑡𝑜𝑝</m:t>
                          </m:r>
                        </m:e>
                      </m:d>
                      <m:r>
                        <a:rPr lang="en-ZA" sz="1100" i="1">
                          <a:solidFill>
                            <a:schemeClr val="dk1"/>
                          </a:solidFill>
                          <a:effectLst/>
                          <a:latin typeface="Cambria Math" panose="02040503050406030204" pitchFamily="18" charset="0"/>
                          <a:ea typeface="+mn-ea"/>
                          <a:cs typeface="+mn-cs"/>
                        </a:rPr>
                        <m:t>−</m:t>
                      </m:r>
                      <m:sSub>
                        <m:sSubPr>
                          <m:ctrlPr>
                            <a:rPr lang="en-ZA" sz="1100" i="1">
                              <a:solidFill>
                                <a:schemeClr val="dk1"/>
                              </a:solidFill>
                              <a:effectLst/>
                              <a:latin typeface="Cambria Math" panose="02040503050406030204" pitchFamily="18" charset="0"/>
                              <a:ea typeface="+mn-ea"/>
                              <a:cs typeface="+mn-cs"/>
                            </a:rPr>
                          </m:ctrlPr>
                        </m:sSubPr>
                        <m:e>
                          <m:r>
                            <a:rPr lang="en-ZA" sz="1100" i="1">
                              <a:solidFill>
                                <a:schemeClr val="dk1"/>
                              </a:solidFill>
                              <a:effectLst/>
                              <a:latin typeface="Cambria Math" panose="02040503050406030204" pitchFamily="18" charset="0"/>
                              <a:ea typeface="+mn-ea"/>
                              <a:cs typeface="+mn-cs"/>
                            </a:rPr>
                            <m:t>𝑤</m:t>
                          </m:r>
                        </m:e>
                        <m:sub>
                          <m:r>
                            <a:rPr lang="en-ZA" sz="1100" i="1">
                              <a:solidFill>
                                <a:schemeClr val="dk1"/>
                              </a:solidFill>
                              <a:effectLst/>
                              <a:latin typeface="Cambria Math" panose="02040503050406030204" pitchFamily="18" charset="0"/>
                              <a:ea typeface="+mn-ea"/>
                              <a:cs typeface="+mn-cs"/>
                            </a:rPr>
                            <m:t>𝑃𝐸𝐺</m:t>
                          </m:r>
                        </m:sub>
                      </m:sSub>
                      <m:sSup>
                        <m:sSupPr>
                          <m:ctrlPr>
                            <a:rPr lang="en-ZA" sz="1100" i="1">
                              <a:solidFill>
                                <a:schemeClr val="dk1"/>
                              </a:solidFill>
                              <a:effectLst/>
                              <a:latin typeface="Cambria Math" panose="02040503050406030204" pitchFamily="18" charset="0"/>
                              <a:ea typeface="+mn-ea"/>
                              <a:cs typeface="+mn-cs"/>
                            </a:rPr>
                          </m:ctrlPr>
                        </m:sSupPr>
                        <m:e>
                          <m:d>
                            <m:dPr>
                              <m:ctrlPr>
                                <a:rPr lang="en-ZA" sz="1100" i="1">
                                  <a:solidFill>
                                    <a:schemeClr val="dk1"/>
                                  </a:solidFill>
                                  <a:effectLst/>
                                  <a:latin typeface="Cambria Math" panose="02040503050406030204" pitchFamily="18" charset="0"/>
                                  <a:ea typeface="+mn-ea"/>
                                  <a:cs typeface="+mn-cs"/>
                                </a:rPr>
                              </m:ctrlPr>
                            </m:dPr>
                            <m:e>
                              <m:r>
                                <a:rPr lang="en-ZA" sz="1100" i="1">
                                  <a:solidFill>
                                    <a:schemeClr val="dk1"/>
                                  </a:solidFill>
                                  <a:effectLst/>
                                  <a:latin typeface="Cambria Math" panose="02040503050406030204" pitchFamily="18" charset="0"/>
                                  <a:ea typeface="+mn-ea"/>
                                  <a:cs typeface="+mn-cs"/>
                                </a:rPr>
                                <m:t>𝑏𝑜𝑡𝑡𝑜𝑚</m:t>
                              </m:r>
                            </m:e>
                          </m:d>
                          <m:r>
                            <a:rPr lang="en-ZA" sz="1100">
                              <a:solidFill>
                                <a:schemeClr val="dk1"/>
                              </a:solidFill>
                              <a:effectLst/>
                              <a:latin typeface="Cambria Math" panose="02040503050406030204" pitchFamily="18" charset="0"/>
                              <a:ea typeface="+mn-ea"/>
                              <a:cs typeface="+mn-cs"/>
                            </a:rPr>
                            <m:t>)</m:t>
                          </m:r>
                        </m:e>
                        <m:sup>
                          <m:r>
                            <a:rPr lang="en-ZA" sz="1100">
                              <a:solidFill>
                                <a:schemeClr val="dk1"/>
                              </a:solidFill>
                              <a:effectLst/>
                              <a:latin typeface="Cambria Math" panose="02040503050406030204" pitchFamily="18" charset="0"/>
                              <a:ea typeface="+mn-ea"/>
                              <a:cs typeface="+mn-cs"/>
                            </a:rPr>
                            <m:t>2</m:t>
                          </m:r>
                        </m:sup>
                      </m:sSup>
                      <m:r>
                        <a:rPr lang="en-ZA" sz="1100">
                          <a:solidFill>
                            <a:schemeClr val="dk1"/>
                          </a:solidFill>
                          <a:effectLst/>
                          <a:latin typeface="Cambria Math" panose="02040503050406030204" pitchFamily="18" charset="0"/>
                          <a:ea typeface="+mn-ea"/>
                          <a:cs typeface="+mn-cs"/>
                        </a:rPr>
                        <m:t>+ </m:t>
                      </m:r>
                      <m:sSub>
                        <m:sSubPr>
                          <m:ctrlPr>
                            <a:rPr lang="en-ZA" sz="1100" i="1">
                              <a:solidFill>
                                <a:schemeClr val="dk1"/>
                              </a:solidFill>
                              <a:effectLst/>
                              <a:latin typeface="Cambria Math" panose="02040503050406030204" pitchFamily="18" charset="0"/>
                              <a:ea typeface="+mn-ea"/>
                              <a:cs typeface="+mn-cs"/>
                            </a:rPr>
                          </m:ctrlPr>
                        </m:sSubPr>
                        <m:e>
                          <m:r>
                            <a:rPr lang="en-ZA" sz="1100">
                              <a:solidFill>
                                <a:schemeClr val="dk1"/>
                              </a:solidFill>
                              <a:effectLst/>
                              <a:latin typeface="Cambria Math" panose="02040503050406030204" pitchFamily="18" charset="0"/>
                              <a:ea typeface="+mn-ea"/>
                              <a:cs typeface="+mn-cs"/>
                            </a:rPr>
                            <m:t>(</m:t>
                          </m:r>
                          <m:r>
                            <a:rPr lang="en-ZA" sz="1100" i="1">
                              <a:solidFill>
                                <a:schemeClr val="dk1"/>
                              </a:solidFill>
                              <a:effectLst/>
                              <a:latin typeface="Cambria Math" panose="02040503050406030204" pitchFamily="18" charset="0"/>
                              <a:ea typeface="+mn-ea"/>
                              <a:cs typeface="+mn-cs"/>
                            </a:rPr>
                            <m:t>𝑤</m:t>
                          </m:r>
                        </m:e>
                        <m:sub>
                          <m:r>
                            <a:rPr lang="en-ZA" sz="1100" i="1">
                              <a:solidFill>
                                <a:schemeClr val="dk1"/>
                              </a:solidFill>
                              <a:effectLst/>
                              <a:latin typeface="Cambria Math" panose="02040503050406030204" pitchFamily="18" charset="0"/>
                              <a:ea typeface="+mn-ea"/>
                              <a:cs typeface="+mn-cs"/>
                            </a:rPr>
                            <m:t>𝑀𝐷𝑋</m:t>
                          </m:r>
                        </m:sub>
                      </m:sSub>
                      <m:d>
                        <m:dPr>
                          <m:ctrlPr>
                            <a:rPr lang="en-ZA" sz="1100" i="1">
                              <a:solidFill>
                                <a:schemeClr val="dk1"/>
                              </a:solidFill>
                              <a:effectLst/>
                              <a:latin typeface="Cambria Math" panose="02040503050406030204" pitchFamily="18" charset="0"/>
                              <a:ea typeface="+mn-ea"/>
                              <a:cs typeface="+mn-cs"/>
                            </a:rPr>
                          </m:ctrlPr>
                        </m:dPr>
                        <m:e>
                          <m:r>
                            <a:rPr lang="en-ZA" sz="1100" i="1">
                              <a:solidFill>
                                <a:schemeClr val="dk1"/>
                              </a:solidFill>
                              <a:effectLst/>
                              <a:latin typeface="Cambria Math" panose="02040503050406030204" pitchFamily="18" charset="0"/>
                              <a:ea typeface="+mn-ea"/>
                              <a:cs typeface="+mn-cs"/>
                            </a:rPr>
                            <m:t>𝑡𝑜𝑝</m:t>
                          </m:r>
                        </m:e>
                      </m:d>
                      <m:r>
                        <a:rPr lang="en-ZA" sz="1100" i="1">
                          <a:solidFill>
                            <a:schemeClr val="dk1"/>
                          </a:solidFill>
                          <a:effectLst/>
                          <a:latin typeface="Cambria Math" panose="02040503050406030204" pitchFamily="18" charset="0"/>
                          <a:ea typeface="+mn-ea"/>
                          <a:cs typeface="+mn-cs"/>
                        </a:rPr>
                        <m:t>−</m:t>
                      </m:r>
                      <m:sSub>
                        <m:sSubPr>
                          <m:ctrlPr>
                            <a:rPr lang="en-ZA" sz="1100" i="1">
                              <a:solidFill>
                                <a:schemeClr val="dk1"/>
                              </a:solidFill>
                              <a:effectLst/>
                              <a:latin typeface="Cambria Math" panose="02040503050406030204" pitchFamily="18" charset="0"/>
                              <a:ea typeface="+mn-ea"/>
                              <a:cs typeface="+mn-cs"/>
                            </a:rPr>
                          </m:ctrlPr>
                        </m:sSubPr>
                        <m:e>
                          <m:r>
                            <a:rPr lang="en-ZA" sz="1100" i="1">
                              <a:solidFill>
                                <a:schemeClr val="dk1"/>
                              </a:solidFill>
                              <a:effectLst/>
                              <a:latin typeface="Cambria Math" panose="02040503050406030204" pitchFamily="18" charset="0"/>
                              <a:ea typeface="+mn-ea"/>
                              <a:cs typeface="+mn-cs"/>
                            </a:rPr>
                            <m:t>𝑤</m:t>
                          </m:r>
                        </m:e>
                        <m:sub>
                          <m:r>
                            <a:rPr lang="en-ZA" sz="1100" i="1">
                              <a:solidFill>
                                <a:schemeClr val="dk1"/>
                              </a:solidFill>
                              <a:effectLst/>
                              <a:latin typeface="Cambria Math" panose="02040503050406030204" pitchFamily="18" charset="0"/>
                              <a:ea typeface="+mn-ea"/>
                              <a:cs typeface="+mn-cs"/>
                            </a:rPr>
                            <m:t>𝑀𝐷𝑋</m:t>
                          </m:r>
                        </m:sub>
                      </m:sSub>
                      <m:sSup>
                        <m:sSupPr>
                          <m:ctrlPr>
                            <a:rPr lang="en-ZA" sz="1100" i="1">
                              <a:solidFill>
                                <a:schemeClr val="dk1"/>
                              </a:solidFill>
                              <a:effectLst/>
                              <a:latin typeface="Cambria Math" panose="02040503050406030204" pitchFamily="18" charset="0"/>
                              <a:ea typeface="+mn-ea"/>
                              <a:cs typeface="+mn-cs"/>
                            </a:rPr>
                          </m:ctrlPr>
                        </m:sSupPr>
                        <m:e>
                          <m:d>
                            <m:dPr>
                              <m:ctrlPr>
                                <a:rPr lang="en-ZA" sz="1100" i="1">
                                  <a:solidFill>
                                    <a:schemeClr val="dk1"/>
                                  </a:solidFill>
                                  <a:effectLst/>
                                  <a:latin typeface="Cambria Math" panose="02040503050406030204" pitchFamily="18" charset="0"/>
                                  <a:ea typeface="+mn-ea"/>
                                  <a:cs typeface="+mn-cs"/>
                                </a:rPr>
                              </m:ctrlPr>
                            </m:dPr>
                            <m:e>
                              <m:r>
                                <a:rPr lang="en-ZA" sz="1100" i="1">
                                  <a:solidFill>
                                    <a:schemeClr val="dk1"/>
                                  </a:solidFill>
                                  <a:effectLst/>
                                  <a:latin typeface="Cambria Math" panose="02040503050406030204" pitchFamily="18" charset="0"/>
                                  <a:ea typeface="+mn-ea"/>
                                  <a:cs typeface="+mn-cs"/>
                                </a:rPr>
                                <m:t>𝑏𝑜𝑡𝑡𝑜𝑚</m:t>
                              </m:r>
                            </m:e>
                          </m:d>
                          <m:r>
                            <a:rPr lang="en-ZA" sz="1100">
                              <a:solidFill>
                                <a:schemeClr val="dk1"/>
                              </a:solidFill>
                              <a:effectLst/>
                              <a:latin typeface="Cambria Math" panose="02040503050406030204" pitchFamily="18" charset="0"/>
                              <a:ea typeface="+mn-ea"/>
                              <a:cs typeface="+mn-cs"/>
                            </a:rPr>
                            <m:t>)</m:t>
                          </m:r>
                        </m:e>
                        <m:sup>
                          <m:r>
                            <a:rPr lang="en-ZA" sz="1100">
                              <a:solidFill>
                                <a:schemeClr val="dk1"/>
                              </a:solidFill>
                              <a:effectLst/>
                              <a:latin typeface="Cambria Math" panose="02040503050406030204" pitchFamily="18" charset="0"/>
                              <a:ea typeface="+mn-ea"/>
                              <a:cs typeface="+mn-cs"/>
                            </a:rPr>
                            <m:t>2</m:t>
                          </m:r>
                        </m:sup>
                      </m:sSup>
                    </m:e>
                  </m:rad>
                  <m:r>
                    <a:rPr lang="en-ZA" sz="1100">
                      <a:solidFill>
                        <a:schemeClr val="dk1"/>
                      </a:solidFill>
                      <a:effectLst/>
                      <a:latin typeface="Cambria Math" panose="02040503050406030204" pitchFamily="18" charset="0"/>
                      <a:ea typeface="+mn-ea"/>
                      <a:cs typeface="+mn-cs"/>
                    </a:rPr>
                    <m:t> </m:t>
                  </m:r>
                </m:oMath>
              </a14:m>
              <a:r>
                <a:rPr lang="en-ZA" sz="1100">
                  <a:solidFill>
                    <a:schemeClr val="dk1"/>
                  </a:solidFill>
                  <a:effectLst/>
                  <a:latin typeface="+mn-lt"/>
                  <a:ea typeface="+mn-ea"/>
                  <a:cs typeface="+mn-cs"/>
                </a:rPr>
                <a:t>		Equation 7</a:t>
              </a:r>
            </a:p>
            <a:p>
              <a:r>
                <a:rPr lang="en-ZA" sz="1100">
                  <a:solidFill>
                    <a:schemeClr val="dk1"/>
                  </a:solidFill>
                  <a:effectLst/>
                  <a:latin typeface="+mn-lt"/>
                  <a:ea typeface="+mn-ea"/>
                  <a:cs typeface="+mn-cs"/>
                </a:rPr>
                <a:t>And:</a:t>
              </a:r>
            </a:p>
            <a:p>
              <a14:m>
                <m:oMath xmlns:m="http://schemas.openxmlformats.org/officeDocument/2006/math">
                  <m:r>
                    <a:rPr lang="en-ZA" sz="1100" i="1">
                      <a:solidFill>
                        <a:schemeClr val="dk1"/>
                      </a:solidFill>
                      <a:effectLst/>
                      <a:latin typeface="Cambria Math" panose="02040503050406030204" pitchFamily="18" charset="0"/>
                      <a:ea typeface="+mn-ea"/>
                      <a:cs typeface="+mn-cs"/>
                    </a:rPr>
                    <m:t>𝑇𝐿𝐿</m:t>
                  </m:r>
                  <m:r>
                    <a:rPr lang="en-ZA" sz="1100">
                      <a:solidFill>
                        <a:schemeClr val="dk1"/>
                      </a:solidFill>
                      <a:effectLst/>
                      <a:latin typeface="Cambria Math" panose="02040503050406030204" pitchFamily="18" charset="0"/>
                      <a:ea typeface="+mn-ea"/>
                      <a:cs typeface="+mn-cs"/>
                    </a:rPr>
                    <m:t>=</m:t>
                  </m:r>
                  <m:rad>
                    <m:radPr>
                      <m:degHide m:val="on"/>
                      <m:ctrlPr>
                        <a:rPr lang="en-ZA" sz="1100" i="1">
                          <a:solidFill>
                            <a:schemeClr val="dk1"/>
                          </a:solidFill>
                          <a:effectLst/>
                          <a:latin typeface="Cambria Math" panose="02040503050406030204" pitchFamily="18" charset="0"/>
                          <a:ea typeface="+mn-ea"/>
                          <a:cs typeface="+mn-cs"/>
                        </a:rPr>
                      </m:ctrlPr>
                    </m:radPr>
                    <m:deg/>
                    <m:e>
                      <m:sSub>
                        <m:sSubPr>
                          <m:ctrlPr>
                            <a:rPr lang="en-ZA" sz="1100" i="1">
                              <a:solidFill>
                                <a:schemeClr val="dk1"/>
                              </a:solidFill>
                              <a:effectLst/>
                              <a:latin typeface="Cambria Math" panose="02040503050406030204" pitchFamily="18" charset="0"/>
                              <a:ea typeface="+mn-ea"/>
                              <a:cs typeface="+mn-cs"/>
                            </a:rPr>
                          </m:ctrlPr>
                        </m:sSubPr>
                        <m:e>
                          <m:r>
                            <a:rPr lang="en-ZA" sz="1100">
                              <a:solidFill>
                                <a:schemeClr val="dk1"/>
                              </a:solidFill>
                              <a:effectLst/>
                              <a:latin typeface="Cambria Math" panose="02040503050406030204" pitchFamily="18" charset="0"/>
                              <a:ea typeface="+mn-ea"/>
                              <a:cs typeface="+mn-cs"/>
                            </a:rPr>
                            <m:t> (</m:t>
                          </m:r>
                          <m:r>
                            <a:rPr lang="en-ZA" sz="1100" i="1">
                              <a:solidFill>
                                <a:schemeClr val="dk1"/>
                              </a:solidFill>
                              <a:effectLst/>
                              <a:latin typeface="Cambria Math" panose="02040503050406030204" pitchFamily="18" charset="0"/>
                              <a:ea typeface="+mn-ea"/>
                              <a:cs typeface="+mn-cs"/>
                            </a:rPr>
                            <m:t>𝑤</m:t>
                          </m:r>
                        </m:e>
                        <m:sub>
                          <m:r>
                            <a:rPr lang="en-ZA" sz="1100" i="1">
                              <a:solidFill>
                                <a:schemeClr val="dk1"/>
                              </a:solidFill>
                              <a:effectLst/>
                              <a:latin typeface="Cambria Math" panose="02040503050406030204" pitchFamily="18" charset="0"/>
                              <a:ea typeface="+mn-ea"/>
                              <a:cs typeface="+mn-cs"/>
                            </a:rPr>
                            <m:t>𝑃𝐸𝐺</m:t>
                          </m:r>
                        </m:sub>
                      </m:sSub>
                      <m:d>
                        <m:dPr>
                          <m:ctrlPr>
                            <a:rPr lang="en-ZA" sz="1100" i="1">
                              <a:solidFill>
                                <a:schemeClr val="dk1"/>
                              </a:solidFill>
                              <a:effectLst/>
                              <a:latin typeface="Cambria Math" panose="02040503050406030204" pitchFamily="18" charset="0"/>
                              <a:ea typeface="+mn-ea"/>
                              <a:cs typeface="+mn-cs"/>
                            </a:rPr>
                          </m:ctrlPr>
                        </m:dPr>
                        <m:e>
                          <m:r>
                            <a:rPr lang="en-ZA" sz="1100" i="1">
                              <a:solidFill>
                                <a:schemeClr val="dk1"/>
                              </a:solidFill>
                              <a:effectLst/>
                              <a:latin typeface="Cambria Math" panose="02040503050406030204" pitchFamily="18" charset="0"/>
                              <a:ea typeface="+mn-ea"/>
                              <a:cs typeface="+mn-cs"/>
                            </a:rPr>
                            <m:t>𝑡𝑜𝑝</m:t>
                          </m:r>
                        </m:e>
                      </m:d>
                      <m:r>
                        <a:rPr lang="en-ZA" sz="1100" i="1">
                          <a:solidFill>
                            <a:schemeClr val="dk1"/>
                          </a:solidFill>
                          <a:effectLst/>
                          <a:latin typeface="Cambria Math" panose="02040503050406030204" pitchFamily="18" charset="0"/>
                          <a:ea typeface="+mn-ea"/>
                          <a:cs typeface="+mn-cs"/>
                        </a:rPr>
                        <m:t>−</m:t>
                      </m:r>
                      <m:sSub>
                        <m:sSubPr>
                          <m:ctrlPr>
                            <a:rPr lang="en-ZA" sz="1100" i="1">
                              <a:solidFill>
                                <a:schemeClr val="dk1"/>
                              </a:solidFill>
                              <a:effectLst/>
                              <a:latin typeface="Cambria Math" panose="02040503050406030204" pitchFamily="18" charset="0"/>
                              <a:ea typeface="+mn-ea"/>
                              <a:cs typeface="+mn-cs"/>
                            </a:rPr>
                          </m:ctrlPr>
                        </m:sSubPr>
                        <m:e>
                          <m:r>
                            <a:rPr lang="en-ZA" sz="1100" i="1">
                              <a:solidFill>
                                <a:schemeClr val="dk1"/>
                              </a:solidFill>
                              <a:effectLst/>
                              <a:latin typeface="Cambria Math" panose="02040503050406030204" pitchFamily="18" charset="0"/>
                              <a:ea typeface="+mn-ea"/>
                              <a:cs typeface="+mn-cs"/>
                            </a:rPr>
                            <m:t>𝑤</m:t>
                          </m:r>
                        </m:e>
                        <m:sub>
                          <m:r>
                            <a:rPr lang="en-ZA" sz="1100" i="1">
                              <a:solidFill>
                                <a:schemeClr val="dk1"/>
                              </a:solidFill>
                              <a:effectLst/>
                              <a:latin typeface="Cambria Math" panose="02040503050406030204" pitchFamily="18" charset="0"/>
                              <a:ea typeface="+mn-ea"/>
                              <a:cs typeface="+mn-cs"/>
                            </a:rPr>
                            <m:t>𝑃𝐸𝐺</m:t>
                          </m:r>
                        </m:sub>
                      </m:sSub>
                      <m:sSup>
                        <m:sSupPr>
                          <m:ctrlPr>
                            <a:rPr lang="en-ZA" sz="1100" i="1">
                              <a:solidFill>
                                <a:schemeClr val="dk1"/>
                              </a:solidFill>
                              <a:effectLst/>
                              <a:latin typeface="Cambria Math" panose="02040503050406030204" pitchFamily="18" charset="0"/>
                              <a:ea typeface="+mn-ea"/>
                              <a:cs typeface="+mn-cs"/>
                            </a:rPr>
                          </m:ctrlPr>
                        </m:sSupPr>
                        <m:e>
                          <m:d>
                            <m:dPr>
                              <m:ctrlPr>
                                <a:rPr lang="en-ZA" sz="1100" i="1">
                                  <a:solidFill>
                                    <a:schemeClr val="dk1"/>
                                  </a:solidFill>
                                  <a:effectLst/>
                                  <a:latin typeface="Cambria Math" panose="02040503050406030204" pitchFamily="18" charset="0"/>
                                  <a:ea typeface="+mn-ea"/>
                                  <a:cs typeface="+mn-cs"/>
                                </a:rPr>
                              </m:ctrlPr>
                            </m:dPr>
                            <m:e>
                              <m:r>
                                <a:rPr lang="en-ZA" sz="1100" i="1">
                                  <a:solidFill>
                                    <a:schemeClr val="dk1"/>
                                  </a:solidFill>
                                  <a:effectLst/>
                                  <a:latin typeface="Cambria Math" panose="02040503050406030204" pitchFamily="18" charset="0"/>
                                  <a:ea typeface="+mn-ea"/>
                                  <a:cs typeface="+mn-cs"/>
                                </a:rPr>
                                <m:t>𝑏𝑜𝑡𝑡𝑜𝑚</m:t>
                              </m:r>
                            </m:e>
                          </m:d>
                          <m:r>
                            <a:rPr lang="en-ZA" sz="1100">
                              <a:solidFill>
                                <a:schemeClr val="dk1"/>
                              </a:solidFill>
                              <a:effectLst/>
                              <a:latin typeface="Cambria Math" panose="02040503050406030204" pitchFamily="18" charset="0"/>
                              <a:ea typeface="+mn-ea"/>
                              <a:cs typeface="+mn-cs"/>
                            </a:rPr>
                            <m:t>)</m:t>
                          </m:r>
                        </m:e>
                        <m:sup>
                          <m:r>
                            <a:rPr lang="en-ZA" sz="1100">
                              <a:solidFill>
                                <a:schemeClr val="dk1"/>
                              </a:solidFill>
                              <a:effectLst/>
                              <a:latin typeface="Cambria Math" panose="02040503050406030204" pitchFamily="18" charset="0"/>
                              <a:ea typeface="+mn-ea"/>
                              <a:cs typeface="+mn-cs"/>
                            </a:rPr>
                            <m:t>2</m:t>
                          </m:r>
                        </m:sup>
                      </m:sSup>
                      <m:r>
                        <a:rPr lang="en-ZA" sz="1100">
                          <a:solidFill>
                            <a:schemeClr val="dk1"/>
                          </a:solidFill>
                          <a:effectLst/>
                          <a:latin typeface="Cambria Math" panose="02040503050406030204" pitchFamily="18" charset="0"/>
                          <a:ea typeface="+mn-ea"/>
                          <a:cs typeface="+mn-cs"/>
                        </a:rPr>
                        <m:t>+ </m:t>
                      </m:r>
                      <m:sSub>
                        <m:sSubPr>
                          <m:ctrlPr>
                            <a:rPr lang="en-ZA" sz="1100" i="1">
                              <a:solidFill>
                                <a:schemeClr val="dk1"/>
                              </a:solidFill>
                              <a:effectLst/>
                              <a:latin typeface="Cambria Math" panose="02040503050406030204" pitchFamily="18" charset="0"/>
                              <a:ea typeface="+mn-ea"/>
                              <a:cs typeface="+mn-cs"/>
                            </a:rPr>
                          </m:ctrlPr>
                        </m:sSubPr>
                        <m:e>
                          <m:r>
                            <a:rPr lang="en-ZA" sz="1100">
                              <a:solidFill>
                                <a:schemeClr val="dk1"/>
                              </a:solidFill>
                              <a:effectLst/>
                              <a:latin typeface="Cambria Math" panose="02040503050406030204" pitchFamily="18" charset="0"/>
                              <a:ea typeface="+mn-ea"/>
                              <a:cs typeface="+mn-cs"/>
                            </a:rPr>
                            <m:t>(</m:t>
                          </m:r>
                          <m:r>
                            <a:rPr lang="en-ZA" sz="1100" i="1">
                              <a:solidFill>
                                <a:schemeClr val="dk1"/>
                              </a:solidFill>
                              <a:effectLst/>
                              <a:latin typeface="Cambria Math" panose="02040503050406030204" pitchFamily="18" charset="0"/>
                              <a:ea typeface="+mn-ea"/>
                              <a:cs typeface="+mn-cs"/>
                            </a:rPr>
                            <m:t>𝑤</m:t>
                          </m:r>
                        </m:e>
                        <m:sub>
                          <m:r>
                            <a:rPr lang="en-ZA" sz="1100" i="1">
                              <a:solidFill>
                                <a:schemeClr val="dk1"/>
                              </a:solidFill>
                              <a:effectLst/>
                              <a:latin typeface="Cambria Math" panose="02040503050406030204" pitchFamily="18" charset="0"/>
                              <a:ea typeface="+mn-ea"/>
                              <a:cs typeface="+mn-cs"/>
                            </a:rPr>
                            <m:t>𝑐𝑖𝑡𝑟𝑎𝑡𝑒</m:t>
                          </m:r>
                        </m:sub>
                      </m:sSub>
                      <m:d>
                        <m:dPr>
                          <m:ctrlPr>
                            <a:rPr lang="en-ZA" sz="1100" i="1">
                              <a:solidFill>
                                <a:schemeClr val="dk1"/>
                              </a:solidFill>
                              <a:effectLst/>
                              <a:latin typeface="Cambria Math" panose="02040503050406030204" pitchFamily="18" charset="0"/>
                              <a:ea typeface="+mn-ea"/>
                              <a:cs typeface="+mn-cs"/>
                            </a:rPr>
                          </m:ctrlPr>
                        </m:dPr>
                        <m:e>
                          <m:r>
                            <a:rPr lang="en-ZA" sz="1100" i="1">
                              <a:solidFill>
                                <a:schemeClr val="dk1"/>
                              </a:solidFill>
                              <a:effectLst/>
                              <a:latin typeface="Cambria Math" panose="02040503050406030204" pitchFamily="18" charset="0"/>
                              <a:ea typeface="+mn-ea"/>
                              <a:cs typeface="+mn-cs"/>
                            </a:rPr>
                            <m:t>𝑡𝑜𝑝</m:t>
                          </m:r>
                        </m:e>
                      </m:d>
                      <m:r>
                        <a:rPr lang="en-ZA" sz="1100" i="1">
                          <a:solidFill>
                            <a:schemeClr val="dk1"/>
                          </a:solidFill>
                          <a:effectLst/>
                          <a:latin typeface="Cambria Math" panose="02040503050406030204" pitchFamily="18" charset="0"/>
                          <a:ea typeface="+mn-ea"/>
                          <a:cs typeface="+mn-cs"/>
                        </a:rPr>
                        <m:t>−</m:t>
                      </m:r>
                      <m:sSub>
                        <m:sSubPr>
                          <m:ctrlPr>
                            <a:rPr lang="en-ZA" sz="1100" i="1">
                              <a:solidFill>
                                <a:schemeClr val="dk1"/>
                              </a:solidFill>
                              <a:effectLst/>
                              <a:latin typeface="Cambria Math" panose="02040503050406030204" pitchFamily="18" charset="0"/>
                              <a:ea typeface="+mn-ea"/>
                              <a:cs typeface="+mn-cs"/>
                            </a:rPr>
                          </m:ctrlPr>
                        </m:sSubPr>
                        <m:e>
                          <m:r>
                            <a:rPr lang="en-ZA" sz="1100" i="1">
                              <a:solidFill>
                                <a:schemeClr val="dk1"/>
                              </a:solidFill>
                              <a:effectLst/>
                              <a:latin typeface="Cambria Math" panose="02040503050406030204" pitchFamily="18" charset="0"/>
                              <a:ea typeface="+mn-ea"/>
                              <a:cs typeface="+mn-cs"/>
                            </a:rPr>
                            <m:t>𝑤</m:t>
                          </m:r>
                        </m:e>
                        <m:sub>
                          <m:r>
                            <a:rPr lang="en-ZA" sz="1100" i="1">
                              <a:solidFill>
                                <a:schemeClr val="dk1"/>
                              </a:solidFill>
                              <a:effectLst/>
                              <a:latin typeface="Cambria Math" panose="02040503050406030204" pitchFamily="18" charset="0"/>
                              <a:ea typeface="+mn-ea"/>
                              <a:cs typeface="+mn-cs"/>
                            </a:rPr>
                            <m:t>𝑐𝑖𝑡𝑟𝑎𝑡𝑒</m:t>
                          </m:r>
                        </m:sub>
                      </m:sSub>
                      <m:sSup>
                        <m:sSupPr>
                          <m:ctrlPr>
                            <a:rPr lang="en-ZA" sz="1100" i="1">
                              <a:solidFill>
                                <a:schemeClr val="dk1"/>
                              </a:solidFill>
                              <a:effectLst/>
                              <a:latin typeface="Cambria Math" panose="02040503050406030204" pitchFamily="18" charset="0"/>
                              <a:ea typeface="+mn-ea"/>
                              <a:cs typeface="+mn-cs"/>
                            </a:rPr>
                          </m:ctrlPr>
                        </m:sSupPr>
                        <m:e>
                          <m:d>
                            <m:dPr>
                              <m:ctrlPr>
                                <a:rPr lang="en-ZA" sz="1100" i="1">
                                  <a:solidFill>
                                    <a:schemeClr val="dk1"/>
                                  </a:solidFill>
                                  <a:effectLst/>
                                  <a:latin typeface="Cambria Math" panose="02040503050406030204" pitchFamily="18" charset="0"/>
                                  <a:ea typeface="+mn-ea"/>
                                  <a:cs typeface="+mn-cs"/>
                                </a:rPr>
                              </m:ctrlPr>
                            </m:dPr>
                            <m:e>
                              <m:r>
                                <a:rPr lang="en-ZA" sz="1100" i="1">
                                  <a:solidFill>
                                    <a:schemeClr val="dk1"/>
                                  </a:solidFill>
                                  <a:effectLst/>
                                  <a:latin typeface="Cambria Math" panose="02040503050406030204" pitchFamily="18" charset="0"/>
                                  <a:ea typeface="+mn-ea"/>
                                  <a:cs typeface="+mn-cs"/>
                                </a:rPr>
                                <m:t>𝑏𝑜𝑡𝑡𝑜𝑚</m:t>
                              </m:r>
                            </m:e>
                          </m:d>
                          <m:r>
                            <a:rPr lang="en-ZA" sz="1100">
                              <a:solidFill>
                                <a:schemeClr val="dk1"/>
                              </a:solidFill>
                              <a:effectLst/>
                              <a:latin typeface="Cambria Math" panose="02040503050406030204" pitchFamily="18" charset="0"/>
                              <a:ea typeface="+mn-ea"/>
                              <a:cs typeface="+mn-cs"/>
                            </a:rPr>
                            <m:t>)</m:t>
                          </m:r>
                        </m:e>
                        <m:sup>
                          <m:r>
                            <a:rPr lang="en-ZA" sz="1100">
                              <a:solidFill>
                                <a:schemeClr val="dk1"/>
                              </a:solidFill>
                              <a:effectLst/>
                              <a:latin typeface="Cambria Math" panose="02040503050406030204" pitchFamily="18" charset="0"/>
                              <a:ea typeface="+mn-ea"/>
                              <a:cs typeface="+mn-cs"/>
                            </a:rPr>
                            <m:t>2</m:t>
                          </m:r>
                        </m:sup>
                      </m:sSup>
                    </m:e>
                  </m:rad>
                  <m:r>
                    <a:rPr lang="en-ZA" sz="1100">
                      <a:solidFill>
                        <a:schemeClr val="dk1"/>
                      </a:solidFill>
                      <a:effectLst/>
                      <a:latin typeface="Cambria Math" panose="02040503050406030204" pitchFamily="18" charset="0"/>
                      <a:ea typeface="+mn-ea"/>
                      <a:cs typeface="+mn-cs"/>
                    </a:rPr>
                    <m:t> </m:t>
                  </m:r>
                </m:oMath>
              </a14:m>
              <a:r>
                <a:rPr lang="en-ZA" sz="1100">
                  <a:solidFill>
                    <a:schemeClr val="dk1"/>
                  </a:solidFill>
                  <a:effectLst/>
                  <a:latin typeface="+mn-lt"/>
                  <a:ea typeface="+mn-ea"/>
                  <a:cs typeface="+mn-cs"/>
                </a:rPr>
                <a:t>	Equation 8</a:t>
              </a:r>
            </a:p>
            <a:p>
              <a:pPr lvl="3"/>
              <a:r>
                <a:rPr lang="en-ZA" sz="1100" b="1" i="1">
                  <a:solidFill>
                    <a:schemeClr val="dk1"/>
                  </a:solidFill>
                  <a:effectLst/>
                  <a:latin typeface="+mn-lt"/>
                  <a:ea typeface="+mn-ea"/>
                  <a:cs typeface="+mn-cs"/>
                </a:rPr>
                <a:t>Phase volume ratios</a:t>
              </a:r>
            </a:p>
            <a:p>
              <a:r>
                <a:rPr lang="en-ZA" sz="1100">
                  <a:solidFill>
                    <a:schemeClr val="dk1"/>
                  </a:solidFill>
                  <a:effectLst/>
                  <a:latin typeface="+mn-lt"/>
                  <a:ea typeface="+mn-ea"/>
                  <a:cs typeface="+mn-cs"/>
                </a:rPr>
                <a:t>The phase volume ratios (V</a:t>
              </a:r>
              <a:r>
                <a:rPr lang="en-ZA" sz="1100" baseline="-25000">
                  <a:solidFill>
                    <a:schemeClr val="dk1"/>
                  </a:solidFill>
                  <a:effectLst/>
                  <a:latin typeface="+mn-lt"/>
                  <a:ea typeface="+mn-ea"/>
                  <a:cs typeface="+mn-cs"/>
                </a:rPr>
                <a:t>R</a:t>
              </a:r>
              <a:r>
                <a:rPr lang="en-ZA" sz="1100">
                  <a:solidFill>
                    <a:schemeClr val="dk1"/>
                  </a:solidFill>
                  <a:effectLst/>
                  <a:latin typeface="+mn-lt"/>
                  <a:ea typeface="+mn-ea"/>
                  <a:cs typeface="+mn-cs"/>
                </a:rPr>
                <a:t>) were read off graduations in the falcon tubes used after centrifuging to separate the phases. The phase volume ratios could also be estimated by the inverse lever rule, using the tie-lines and phase equilibrium curves obtained, and then compared to the phase volume ratios observed visually. The volume ratio is defined as the ratio of the volume of the top phase to the volume of the bottom phase in a given ATPS.</a:t>
              </a:r>
            </a:p>
            <a:p>
              <a14:m>
                <m:oMath xmlns:m="http://schemas.openxmlformats.org/officeDocument/2006/math">
                  <m:sSub>
                    <m:sSubPr>
                      <m:ctrlPr>
                        <a:rPr lang="en-ZA" sz="1100" i="1">
                          <a:solidFill>
                            <a:schemeClr val="dk1"/>
                          </a:solidFill>
                          <a:effectLst/>
                          <a:latin typeface="Cambria Math" panose="02040503050406030204" pitchFamily="18" charset="0"/>
                          <a:ea typeface="+mn-ea"/>
                          <a:cs typeface="+mn-cs"/>
                        </a:rPr>
                      </m:ctrlPr>
                    </m:sSubPr>
                    <m:e>
                      <m:r>
                        <a:rPr lang="en-ZA" sz="1100" i="1">
                          <a:solidFill>
                            <a:schemeClr val="dk1"/>
                          </a:solidFill>
                          <a:effectLst/>
                          <a:latin typeface="Cambria Math" panose="02040503050406030204" pitchFamily="18" charset="0"/>
                          <a:ea typeface="+mn-ea"/>
                          <a:cs typeface="+mn-cs"/>
                        </a:rPr>
                        <m:t>𝑉</m:t>
                      </m:r>
                    </m:e>
                    <m:sub>
                      <m:r>
                        <a:rPr lang="en-ZA" sz="1100" i="1">
                          <a:solidFill>
                            <a:schemeClr val="dk1"/>
                          </a:solidFill>
                          <a:effectLst/>
                          <a:latin typeface="Cambria Math" panose="02040503050406030204" pitchFamily="18" charset="0"/>
                          <a:ea typeface="+mn-ea"/>
                          <a:cs typeface="+mn-cs"/>
                        </a:rPr>
                        <m:t>𝑅</m:t>
                      </m:r>
                    </m:sub>
                  </m:sSub>
                  <m:r>
                    <a:rPr lang="en-ZA" sz="1100">
                      <a:solidFill>
                        <a:schemeClr val="dk1"/>
                      </a:solidFill>
                      <a:effectLst/>
                      <a:latin typeface="Cambria Math" panose="02040503050406030204" pitchFamily="18" charset="0"/>
                      <a:ea typeface="+mn-ea"/>
                      <a:cs typeface="+mn-cs"/>
                    </a:rPr>
                    <m:t>=</m:t>
                  </m:r>
                  <m:f>
                    <m:fPr>
                      <m:ctrlPr>
                        <a:rPr lang="en-ZA" sz="1100" i="1">
                          <a:solidFill>
                            <a:schemeClr val="dk1"/>
                          </a:solidFill>
                          <a:effectLst/>
                          <a:latin typeface="Cambria Math" panose="02040503050406030204" pitchFamily="18" charset="0"/>
                          <a:ea typeface="+mn-ea"/>
                          <a:cs typeface="+mn-cs"/>
                        </a:rPr>
                      </m:ctrlPr>
                    </m:fPr>
                    <m:num>
                      <m:sSub>
                        <m:sSubPr>
                          <m:ctrlPr>
                            <a:rPr lang="en-ZA" sz="1100" i="1">
                              <a:solidFill>
                                <a:schemeClr val="dk1"/>
                              </a:solidFill>
                              <a:effectLst/>
                              <a:latin typeface="Cambria Math" panose="02040503050406030204" pitchFamily="18" charset="0"/>
                              <a:ea typeface="+mn-ea"/>
                              <a:cs typeface="+mn-cs"/>
                            </a:rPr>
                          </m:ctrlPr>
                        </m:sSubPr>
                        <m:e>
                          <m:r>
                            <m:rPr>
                              <m:sty m:val="p"/>
                            </m:rPr>
                            <a:rPr lang="en-ZA" sz="1100">
                              <a:solidFill>
                                <a:schemeClr val="dk1"/>
                              </a:solidFill>
                              <a:effectLst/>
                              <a:latin typeface="Cambria Math" panose="02040503050406030204" pitchFamily="18" charset="0"/>
                              <a:ea typeface="+mn-ea"/>
                              <a:cs typeface="+mn-cs"/>
                            </a:rPr>
                            <m:t>V</m:t>
                          </m:r>
                        </m:e>
                        <m:sub>
                          <m:r>
                            <m:rPr>
                              <m:sty m:val="p"/>
                            </m:rPr>
                            <a:rPr lang="en-ZA" sz="1100">
                              <a:solidFill>
                                <a:schemeClr val="dk1"/>
                              </a:solidFill>
                              <a:effectLst/>
                              <a:latin typeface="Cambria Math" panose="02040503050406030204" pitchFamily="18" charset="0"/>
                              <a:ea typeface="+mn-ea"/>
                              <a:cs typeface="+mn-cs"/>
                            </a:rPr>
                            <m:t>top</m:t>
                          </m:r>
                        </m:sub>
                      </m:sSub>
                    </m:num>
                    <m:den>
                      <m:sSub>
                        <m:sSubPr>
                          <m:ctrlPr>
                            <a:rPr lang="en-ZA" sz="1100" i="1">
                              <a:solidFill>
                                <a:schemeClr val="dk1"/>
                              </a:solidFill>
                              <a:effectLst/>
                              <a:latin typeface="Cambria Math" panose="02040503050406030204" pitchFamily="18" charset="0"/>
                              <a:ea typeface="+mn-ea"/>
                              <a:cs typeface="+mn-cs"/>
                            </a:rPr>
                          </m:ctrlPr>
                        </m:sSubPr>
                        <m:e>
                          <m:r>
                            <m:rPr>
                              <m:sty m:val="p"/>
                            </m:rPr>
                            <a:rPr lang="en-ZA" sz="1100">
                              <a:solidFill>
                                <a:schemeClr val="dk1"/>
                              </a:solidFill>
                              <a:effectLst/>
                              <a:latin typeface="Cambria Math" panose="02040503050406030204" pitchFamily="18" charset="0"/>
                              <a:ea typeface="+mn-ea"/>
                              <a:cs typeface="+mn-cs"/>
                            </a:rPr>
                            <m:t>V</m:t>
                          </m:r>
                        </m:e>
                        <m:sub>
                          <m:r>
                            <m:rPr>
                              <m:sty m:val="p"/>
                            </m:rPr>
                            <a:rPr lang="en-ZA" sz="1100">
                              <a:solidFill>
                                <a:schemeClr val="dk1"/>
                              </a:solidFill>
                              <a:effectLst/>
                              <a:latin typeface="Cambria Math" panose="02040503050406030204" pitchFamily="18" charset="0"/>
                              <a:ea typeface="+mn-ea"/>
                              <a:cs typeface="+mn-cs"/>
                            </a:rPr>
                            <m:t>bottom</m:t>
                          </m:r>
                        </m:sub>
                      </m:sSub>
                    </m:den>
                  </m:f>
                </m:oMath>
              </a14:m>
              <a:r>
                <a:rPr lang="en-ZA" sz="1100">
                  <a:solidFill>
                    <a:schemeClr val="dk1"/>
                  </a:solidFill>
                  <a:effectLst/>
                  <a:latin typeface="+mn-lt"/>
                  <a:ea typeface="+mn-ea"/>
                  <a:cs typeface="+mn-cs"/>
                </a:rPr>
                <a:t>										Equation 9</a:t>
              </a:r>
            </a:p>
            <a:p>
              <a:r>
                <a:rPr lang="en-ZA" sz="1100">
                  <a:solidFill>
                    <a:schemeClr val="dk1"/>
                  </a:solidFill>
                  <a:effectLst/>
                  <a:latin typeface="+mn-lt"/>
                  <a:ea typeface="+mn-ea"/>
                  <a:cs typeface="+mn-cs"/>
                </a:rPr>
                <a:t>The inverse lever rule can be used to estimate the volume ratio, knowing the starting, top phase and bottom phase compositions in an ATPS. 𝑇𝐿𝐿=</a:t>
              </a:r>
              <a14:m>
                <m:oMath xmlns:m="http://schemas.openxmlformats.org/officeDocument/2006/math">
                  <m:sSub>
                    <m:sSubPr>
                      <m:ctrlPr>
                        <a:rPr lang="en-ZA" sz="1100" i="1">
                          <a:solidFill>
                            <a:schemeClr val="dk1"/>
                          </a:solidFill>
                          <a:effectLst/>
                          <a:latin typeface="Cambria Math" panose="02040503050406030204" pitchFamily="18" charset="0"/>
                          <a:ea typeface="+mn-ea"/>
                          <a:cs typeface="+mn-cs"/>
                        </a:rPr>
                      </m:ctrlPr>
                    </m:sSubPr>
                    <m:e>
                      <m:r>
                        <a:rPr lang="en-ZA" sz="1100">
                          <a:solidFill>
                            <a:schemeClr val="dk1"/>
                          </a:solidFill>
                          <a:effectLst/>
                          <a:latin typeface="Cambria Math" panose="02040503050406030204" pitchFamily="18" charset="0"/>
                          <a:ea typeface="+mn-ea"/>
                          <a:cs typeface="+mn-cs"/>
                        </a:rPr>
                        <m:t> (</m:t>
                      </m:r>
                      <m:r>
                        <m:rPr>
                          <m:sty m:val="p"/>
                        </m:rPr>
                        <a:rPr lang="en-ZA" sz="1100">
                          <a:solidFill>
                            <a:schemeClr val="dk1"/>
                          </a:solidFill>
                          <a:effectLst/>
                          <a:latin typeface="Cambria Math" panose="02040503050406030204" pitchFamily="18" charset="0"/>
                          <a:ea typeface="+mn-ea"/>
                          <a:cs typeface="+mn-cs"/>
                        </a:rPr>
                        <m:t>w</m:t>
                      </m:r>
                    </m:e>
                    <m:sub>
                      <m:r>
                        <m:rPr>
                          <m:sty m:val="p"/>
                        </m:rPr>
                        <a:rPr lang="en-ZA" sz="1100">
                          <a:solidFill>
                            <a:schemeClr val="dk1"/>
                          </a:solidFill>
                          <a:effectLst/>
                          <a:latin typeface="Cambria Math" panose="02040503050406030204" pitchFamily="18" charset="0"/>
                          <a:ea typeface="+mn-ea"/>
                          <a:cs typeface="+mn-cs"/>
                        </a:rPr>
                        <m:t>PEG</m:t>
                      </m:r>
                    </m:sub>
                  </m:sSub>
                  <m:d>
                    <m:dPr>
                      <m:ctrlPr>
                        <a:rPr lang="en-ZA" sz="1100" i="1">
                          <a:solidFill>
                            <a:schemeClr val="dk1"/>
                          </a:solidFill>
                          <a:effectLst/>
                          <a:latin typeface="Cambria Math" panose="02040503050406030204" pitchFamily="18" charset="0"/>
                          <a:ea typeface="+mn-ea"/>
                          <a:cs typeface="+mn-cs"/>
                        </a:rPr>
                      </m:ctrlPr>
                    </m:dPr>
                    <m:e>
                      <m:r>
                        <m:rPr>
                          <m:sty m:val="p"/>
                        </m:rPr>
                        <a:rPr lang="en-ZA" sz="1100">
                          <a:solidFill>
                            <a:schemeClr val="dk1"/>
                          </a:solidFill>
                          <a:effectLst/>
                          <a:latin typeface="Cambria Math" panose="02040503050406030204" pitchFamily="18" charset="0"/>
                          <a:ea typeface="+mn-ea"/>
                          <a:cs typeface="+mn-cs"/>
                        </a:rPr>
                        <m:t>top</m:t>
                      </m:r>
                    </m:e>
                  </m:d>
                  <m:r>
                    <a:rPr lang="en-ZA" sz="1100" i="1">
                      <a:solidFill>
                        <a:schemeClr val="dk1"/>
                      </a:solidFill>
                      <a:effectLst/>
                      <a:latin typeface="Cambria Math" panose="02040503050406030204" pitchFamily="18" charset="0"/>
                      <a:ea typeface="+mn-ea"/>
                      <a:cs typeface="+mn-cs"/>
                    </a:rPr>
                    <m:t>−</m:t>
                  </m:r>
                  <m:sSub>
                    <m:sSubPr>
                      <m:ctrlPr>
                        <a:rPr lang="en-ZA" sz="1100" i="1">
                          <a:solidFill>
                            <a:schemeClr val="dk1"/>
                          </a:solidFill>
                          <a:effectLst/>
                          <a:latin typeface="Cambria Math" panose="02040503050406030204" pitchFamily="18" charset="0"/>
                          <a:ea typeface="+mn-ea"/>
                          <a:cs typeface="+mn-cs"/>
                        </a:rPr>
                      </m:ctrlPr>
                    </m:sSubPr>
                    <m:e>
                      <m:r>
                        <m:rPr>
                          <m:sty m:val="p"/>
                        </m:rPr>
                        <a:rPr lang="en-ZA" sz="1100">
                          <a:solidFill>
                            <a:schemeClr val="dk1"/>
                          </a:solidFill>
                          <a:effectLst/>
                          <a:latin typeface="Cambria Math" panose="02040503050406030204" pitchFamily="18" charset="0"/>
                          <a:ea typeface="+mn-ea"/>
                          <a:cs typeface="+mn-cs"/>
                        </a:rPr>
                        <m:t>w</m:t>
                      </m:r>
                    </m:e>
                    <m:sub>
                      <m:r>
                        <m:rPr>
                          <m:sty m:val="p"/>
                        </m:rPr>
                        <a:rPr lang="en-ZA" sz="1100">
                          <a:solidFill>
                            <a:schemeClr val="dk1"/>
                          </a:solidFill>
                          <a:effectLst/>
                          <a:latin typeface="Cambria Math" panose="02040503050406030204" pitchFamily="18" charset="0"/>
                          <a:ea typeface="+mn-ea"/>
                          <a:cs typeface="+mn-cs"/>
                        </a:rPr>
                        <m:t>PEG</m:t>
                      </m:r>
                    </m:sub>
                  </m:sSub>
                  <m:sSup>
                    <m:sSupPr>
                      <m:ctrlPr>
                        <a:rPr lang="en-ZA" sz="1100" i="1">
                          <a:solidFill>
                            <a:schemeClr val="dk1"/>
                          </a:solidFill>
                          <a:effectLst/>
                          <a:latin typeface="Cambria Math" panose="02040503050406030204" pitchFamily="18" charset="0"/>
                          <a:ea typeface="+mn-ea"/>
                          <a:cs typeface="+mn-cs"/>
                        </a:rPr>
                      </m:ctrlPr>
                    </m:sSupPr>
                    <m:e>
                      <m:d>
                        <m:dPr>
                          <m:ctrlPr>
                            <a:rPr lang="en-ZA" sz="1100" i="1">
                              <a:solidFill>
                                <a:schemeClr val="dk1"/>
                              </a:solidFill>
                              <a:effectLst/>
                              <a:latin typeface="Cambria Math" panose="02040503050406030204" pitchFamily="18" charset="0"/>
                              <a:ea typeface="+mn-ea"/>
                              <a:cs typeface="+mn-cs"/>
                            </a:rPr>
                          </m:ctrlPr>
                        </m:dPr>
                        <m:e>
                          <m:r>
                            <m:rPr>
                              <m:sty m:val="p"/>
                            </m:rPr>
                            <a:rPr lang="en-ZA" sz="1100">
                              <a:solidFill>
                                <a:schemeClr val="dk1"/>
                              </a:solidFill>
                              <a:effectLst/>
                              <a:latin typeface="Cambria Math" panose="02040503050406030204" pitchFamily="18" charset="0"/>
                              <a:ea typeface="+mn-ea"/>
                              <a:cs typeface="+mn-cs"/>
                            </a:rPr>
                            <m:t>bottom</m:t>
                          </m:r>
                        </m:e>
                      </m:d>
                      <m:r>
                        <a:rPr lang="en-ZA" sz="1100">
                          <a:solidFill>
                            <a:schemeClr val="dk1"/>
                          </a:solidFill>
                          <a:effectLst/>
                          <a:latin typeface="Cambria Math" panose="02040503050406030204" pitchFamily="18" charset="0"/>
                          <a:ea typeface="+mn-ea"/>
                          <a:cs typeface="+mn-cs"/>
                        </a:rPr>
                        <m:t>)</m:t>
                      </m:r>
                    </m:e>
                    <m:sup>
                      <m:r>
                        <a:rPr lang="en-ZA" sz="1100">
                          <a:solidFill>
                            <a:schemeClr val="dk1"/>
                          </a:solidFill>
                          <a:effectLst/>
                          <a:latin typeface="Cambria Math" panose="02040503050406030204" pitchFamily="18" charset="0"/>
                          <a:ea typeface="+mn-ea"/>
                          <a:cs typeface="+mn-cs"/>
                        </a:rPr>
                        <m:t>2</m:t>
                      </m:r>
                    </m:sup>
                  </m:sSup>
                  <m:r>
                    <a:rPr lang="en-ZA" sz="1100">
                      <a:solidFill>
                        <a:schemeClr val="dk1"/>
                      </a:solidFill>
                      <a:effectLst/>
                      <a:latin typeface="Cambria Math" panose="02040503050406030204" pitchFamily="18" charset="0"/>
                      <a:ea typeface="+mn-ea"/>
                      <a:cs typeface="+mn-cs"/>
                    </a:rPr>
                    <m:t>+ </m:t>
                  </m:r>
                  <m:sSub>
                    <m:sSubPr>
                      <m:ctrlPr>
                        <a:rPr lang="en-ZA" sz="1100" i="1">
                          <a:solidFill>
                            <a:schemeClr val="dk1"/>
                          </a:solidFill>
                          <a:effectLst/>
                          <a:latin typeface="Cambria Math" panose="02040503050406030204" pitchFamily="18" charset="0"/>
                          <a:ea typeface="+mn-ea"/>
                          <a:cs typeface="+mn-cs"/>
                        </a:rPr>
                      </m:ctrlPr>
                    </m:sSubPr>
                    <m:e>
                      <m:r>
                        <a:rPr lang="en-ZA" sz="1100">
                          <a:solidFill>
                            <a:schemeClr val="dk1"/>
                          </a:solidFill>
                          <a:effectLst/>
                          <a:latin typeface="Cambria Math" panose="02040503050406030204" pitchFamily="18" charset="0"/>
                          <a:ea typeface="+mn-ea"/>
                          <a:cs typeface="+mn-cs"/>
                        </a:rPr>
                        <m:t>(</m:t>
                      </m:r>
                      <m:r>
                        <m:rPr>
                          <m:sty m:val="p"/>
                        </m:rPr>
                        <a:rPr lang="en-ZA" sz="1100">
                          <a:solidFill>
                            <a:schemeClr val="dk1"/>
                          </a:solidFill>
                          <a:effectLst/>
                          <a:latin typeface="Cambria Math" panose="02040503050406030204" pitchFamily="18" charset="0"/>
                          <a:ea typeface="+mn-ea"/>
                          <a:cs typeface="+mn-cs"/>
                        </a:rPr>
                        <m:t>w</m:t>
                      </m:r>
                    </m:e>
                    <m:sub>
                      <m:r>
                        <m:rPr>
                          <m:sty m:val="p"/>
                        </m:rPr>
                        <a:rPr lang="en-ZA" sz="1100">
                          <a:solidFill>
                            <a:schemeClr val="dk1"/>
                          </a:solidFill>
                          <a:effectLst/>
                          <a:latin typeface="Cambria Math" panose="02040503050406030204" pitchFamily="18" charset="0"/>
                          <a:ea typeface="+mn-ea"/>
                          <a:cs typeface="+mn-cs"/>
                        </a:rPr>
                        <m:t>MDX</m:t>
                      </m:r>
                    </m:sub>
                  </m:sSub>
                  <m:d>
                    <m:dPr>
                      <m:ctrlPr>
                        <a:rPr lang="en-ZA" sz="1100" i="1">
                          <a:solidFill>
                            <a:schemeClr val="dk1"/>
                          </a:solidFill>
                          <a:effectLst/>
                          <a:latin typeface="Cambria Math" panose="02040503050406030204" pitchFamily="18" charset="0"/>
                          <a:ea typeface="+mn-ea"/>
                          <a:cs typeface="+mn-cs"/>
                        </a:rPr>
                      </m:ctrlPr>
                    </m:dPr>
                    <m:e>
                      <m:r>
                        <m:rPr>
                          <m:sty m:val="p"/>
                        </m:rPr>
                        <a:rPr lang="en-ZA" sz="1100">
                          <a:solidFill>
                            <a:schemeClr val="dk1"/>
                          </a:solidFill>
                          <a:effectLst/>
                          <a:latin typeface="Cambria Math" panose="02040503050406030204" pitchFamily="18" charset="0"/>
                          <a:ea typeface="+mn-ea"/>
                          <a:cs typeface="+mn-cs"/>
                        </a:rPr>
                        <m:t>top</m:t>
                      </m:r>
                    </m:e>
                  </m:d>
                  <m:r>
                    <a:rPr lang="en-ZA" sz="1100" i="1">
                      <a:solidFill>
                        <a:schemeClr val="dk1"/>
                      </a:solidFill>
                      <a:effectLst/>
                      <a:latin typeface="Cambria Math" panose="02040503050406030204" pitchFamily="18" charset="0"/>
                      <a:ea typeface="+mn-ea"/>
                      <a:cs typeface="+mn-cs"/>
                    </a:rPr>
                    <m:t>−</m:t>
                  </m:r>
                  <m:sSub>
                    <m:sSubPr>
                      <m:ctrlPr>
                        <a:rPr lang="en-ZA" sz="1100" i="1">
                          <a:solidFill>
                            <a:schemeClr val="dk1"/>
                          </a:solidFill>
                          <a:effectLst/>
                          <a:latin typeface="Cambria Math" panose="02040503050406030204" pitchFamily="18" charset="0"/>
                          <a:ea typeface="+mn-ea"/>
                          <a:cs typeface="+mn-cs"/>
                        </a:rPr>
                      </m:ctrlPr>
                    </m:sSubPr>
                    <m:e>
                      <m:r>
                        <m:rPr>
                          <m:sty m:val="p"/>
                        </m:rPr>
                        <a:rPr lang="en-ZA" sz="1100">
                          <a:solidFill>
                            <a:schemeClr val="dk1"/>
                          </a:solidFill>
                          <a:effectLst/>
                          <a:latin typeface="Cambria Math" panose="02040503050406030204" pitchFamily="18" charset="0"/>
                          <a:ea typeface="+mn-ea"/>
                          <a:cs typeface="+mn-cs"/>
                        </a:rPr>
                        <m:t>w</m:t>
                      </m:r>
                    </m:e>
                    <m:sub>
                      <m:r>
                        <m:rPr>
                          <m:sty m:val="p"/>
                        </m:rPr>
                        <a:rPr lang="en-ZA" sz="1100">
                          <a:solidFill>
                            <a:schemeClr val="dk1"/>
                          </a:solidFill>
                          <a:effectLst/>
                          <a:latin typeface="Cambria Math" panose="02040503050406030204" pitchFamily="18" charset="0"/>
                          <a:ea typeface="+mn-ea"/>
                          <a:cs typeface="+mn-cs"/>
                        </a:rPr>
                        <m:t>MDX</m:t>
                      </m:r>
                    </m:sub>
                  </m:sSub>
                  <m:sSup>
                    <m:sSupPr>
                      <m:ctrlPr>
                        <a:rPr lang="en-ZA" sz="1100" i="1">
                          <a:solidFill>
                            <a:schemeClr val="dk1"/>
                          </a:solidFill>
                          <a:effectLst/>
                          <a:latin typeface="Cambria Math" panose="02040503050406030204" pitchFamily="18" charset="0"/>
                          <a:ea typeface="+mn-ea"/>
                          <a:cs typeface="+mn-cs"/>
                        </a:rPr>
                      </m:ctrlPr>
                    </m:sSupPr>
                    <m:e>
                      <m:d>
                        <m:dPr>
                          <m:ctrlPr>
                            <a:rPr lang="en-ZA" sz="1100" i="1">
                              <a:solidFill>
                                <a:schemeClr val="dk1"/>
                              </a:solidFill>
                              <a:effectLst/>
                              <a:latin typeface="Cambria Math" panose="02040503050406030204" pitchFamily="18" charset="0"/>
                              <a:ea typeface="+mn-ea"/>
                              <a:cs typeface="+mn-cs"/>
                            </a:rPr>
                          </m:ctrlPr>
                        </m:dPr>
                        <m:e>
                          <m:r>
                            <m:rPr>
                              <m:sty m:val="p"/>
                            </m:rPr>
                            <a:rPr lang="en-ZA" sz="1100">
                              <a:solidFill>
                                <a:schemeClr val="dk1"/>
                              </a:solidFill>
                              <a:effectLst/>
                              <a:latin typeface="Cambria Math" panose="02040503050406030204" pitchFamily="18" charset="0"/>
                              <a:ea typeface="+mn-ea"/>
                              <a:cs typeface="+mn-cs"/>
                            </a:rPr>
                            <m:t>bottom</m:t>
                          </m:r>
                        </m:e>
                      </m:d>
                      <m:r>
                        <a:rPr lang="en-ZA" sz="1100">
                          <a:solidFill>
                            <a:schemeClr val="dk1"/>
                          </a:solidFill>
                          <a:effectLst/>
                          <a:latin typeface="Cambria Math" panose="02040503050406030204" pitchFamily="18" charset="0"/>
                          <a:ea typeface="+mn-ea"/>
                          <a:cs typeface="+mn-cs"/>
                        </a:rPr>
                        <m:t>)</m:t>
                      </m:r>
                    </m:e>
                    <m:sup>
                      <m:r>
                        <a:rPr lang="en-ZA" sz="1100">
                          <a:solidFill>
                            <a:schemeClr val="dk1"/>
                          </a:solidFill>
                          <a:effectLst/>
                          <a:latin typeface="Cambria Math" panose="02040503050406030204" pitchFamily="18" charset="0"/>
                          <a:ea typeface="+mn-ea"/>
                          <a:cs typeface="+mn-cs"/>
                        </a:rPr>
                        <m:t>2</m:t>
                      </m:r>
                    </m:sup>
                  </m:sSup>
                  <m:r>
                    <a:rPr lang="en-ZA" sz="1100">
                      <a:solidFill>
                        <a:schemeClr val="dk1"/>
                      </a:solidFill>
                      <a:effectLst/>
                      <a:latin typeface="Cambria Math" panose="02040503050406030204" pitchFamily="18" charset="0"/>
                      <a:ea typeface="+mn-ea"/>
                      <a:cs typeface="+mn-cs"/>
                    </a:rPr>
                    <m:t> </m:t>
                  </m:r>
                </m:oMath>
              </a14:m>
              <a:r>
                <a:rPr lang="en-ZA" sz="1100">
                  <a:solidFill>
                    <a:schemeClr val="dk1"/>
                  </a:solidFill>
                  <a:effectLst/>
                  <a:latin typeface="+mn-lt"/>
                  <a:ea typeface="+mn-ea"/>
                  <a:cs typeface="+mn-cs"/>
                </a:rPr>
                <a:t>Equation 7 was adapted as an example of the distance formula for calculated the required lengths in the equation below.</a:t>
              </a:r>
            </a:p>
            <a:p>
              <a14:m>
                <m:oMath xmlns:m="http://schemas.openxmlformats.org/officeDocument/2006/math">
                  <m:f>
                    <m:fPr>
                      <m:ctrlPr>
                        <a:rPr lang="en-ZA" sz="1100" i="1">
                          <a:solidFill>
                            <a:schemeClr val="dk1"/>
                          </a:solidFill>
                          <a:effectLst/>
                          <a:latin typeface="Cambria Math" panose="02040503050406030204" pitchFamily="18" charset="0"/>
                          <a:ea typeface="+mn-ea"/>
                          <a:cs typeface="+mn-cs"/>
                        </a:rPr>
                      </m:ctrlPr>
                    </m:fPr>
                    <m:num>
                      <m:sSub>
                        <m:sSubPr>
                          <m:ctrlPr>
                            <a:rPr lang="en-ZA" sz="1100" i="1">
                              <a:solidFill>
                                <a:schemeClr val="dk1"/>
                              </a:solidFill>
                              <a:effectLst/>
                              <a:latin typeface="Cambria Math" panose="02040503050406030204" pitchFamily="18" charset="0"/>
                              <a:ea typeface="+mn-ea"/>
                              <a:cs typeface="+mn-cs"/>
                            </a:rPr>
                          </m:ctrlPr>
                        </m:sSubPr>
                        <m:e>
                          <m:r>
                            <m:rPr>
                              <m:sty m:val="p"/>
                            </m:rPr>
                            <a:rPr lang="en-ZA" sz="1100">
                              <a:solidFill>
                                <a:schemeClr val="dk1"/>
                              </a:solidFill>
                              <a:effectLst/>
                              <a:latin typeface="Cambria Math" panose="02040503050406030204" pitchFamily="18" charset="0"/>
                              <a:ea typeface="+mn-ea"/>
                              <a:cs typeface="+mn-cs"/>
                            </a:rPr>
                            <m:t>V</m:t>
                          </m:r>
                        </m:e>
                        <m:sub>
                          <m:r>
                            <m:rPr>
                              <m:sty m:val="p"/>
                            </m:rPr>
                            <a:rPr lang="en-ZA" sz="1100">
                              <a:solidFill>
                                <a:schemeClr val="dk1"/>
                              </a:solidFill>
                              <a:effectLst/>
                              <a:latin typeface="Cambria Math" panose="02040503050406030204" pitchFamily="18" charset="0"/>
                              <a:ea typeface="+mn-ea"/>
                              <a:cs typeface="+mn-cs"/>
                            </a:rPr>
                            <m:t>top</m:t>
                          </m:r>
                        </m:sub>
                      </m:sSub>
                    </m:num>
                    <m:den>
                      <m:sSub>
                        <m:sSubPr>
                          <m:ctrlPr>
                            <a:rPr lang="en-ZA" sz="1100" i="1">
                              <a:solidFill>
                                <a:schemeClr val="dk1"/>
                              </a:solidFill>
                              <a:effectLst/>
                              <a:latin typeface="Cambria Math" panose="02040503050406030204" pitchFamily="18" charset="0"/>
                              <a:ea typeface="+mn-ea"/>
                              <a:cs typeface="+mn-cs"/>
                            </a:rPr>
                          </m:ctrlPr>
                        </m:sSubPr>
                        <m:e>
                          <m:r>
                            <m:rPr>
                              <m:sty m:val="p"/>
                            </m:rPr>
                            <a:rPr lang="en-ZA" sz="1100">
                              <a:solidFill>
                                <a:schemeClr val="dk1"/>
                              </a:solidFill>
                              <a:effectLst/>
                              <a:latin typeface="Cambria Math" panose="02040503050406030204" pitchFamily="18" charset="0"/>
                              <a:ea typeface="+mn-ea"/>
                              <a:cs typeface="+mn-cs"/>
                            </a:rPr>
                            <m:t>V</m:t>
                          </m:r>
                        </m:e>
                        <m:sub>
                          <m:r>
                            <m:rPr>
                              <m:sty m:val="p"/>
                            </m:rPr>
                            <a:rPr lang="en-ZA" sz="1100">
                              <a:solidFill>
                                <a:schemeClr val="dk1"/>
                              </a:solidFill>
                              <a:effectLst/>
                              <a:latin typeface="Cambria Math" panose="02040503050406030204" pitchFamily="18" charset="0"/>
                              <a:ea typeface="+mn-ea"/>
                              <a:cs typeface="+mn-cs"/>
                            </a:rPr>
                            <m:t>bottom</m:t>
                          </m:r>
                        </m:sub>
                      </m:sSub>
                    </m:den>
                  </m:f>
                  <m:r>
                    <a:rPr lang="en-ZA" sz="1100">
                      <a:solidFill>
                        <a:schemeClr val="dk1"/>
                      </a:solidFill>
                      <a:effectLst/>
                      <a:latin typeface="Cambria Math" panose="02040503050406030204" pitchFamily="18" charset="0"/>
                      <a:ea typeface="+mn-ea"/>
                      <a:cs typeface="+mn-cs"/>
                    </a:rPr>
                    <m:t>=</m:t>
                  </m:r>
                  <m:f>
                    <m:fPr>
                      <m:ctrlPr>
                        <a:rPr lang="en-ZA" sz="1100" i="1">
                          <a:solidFill>
                            <a:schemeClr val="dk1"/>
                          </a:solidFill>
                          <a:effectLst/>
                          <a:latin typeface="Cambria Math" panose="02040503050406030204" pitchFamily="18" charset="0"/>
                          <a:ea typeface="+mn-ea"/>
                          <a:cs typeface="+mn-cs"/>
                        </a:rPr>
                      </m:ctrlPr>
                    </m:fPr>
                    <m:num>
                      <m:r>
                        <a:rPr lang="en-ZA" sz="1100" i="1">
                          <a:solidFill>
                            <a:schemeClr val="dk1"/>
                          </a:solidFill>
                          <a:effectLst/>
                          <a:latin typeface="Cambria Math" panose="02040503050406030204" pitchFamily="18" charset="0"/>
                          <a:ea typeface="+mn-ea"/>
                          <a:cs typeface="+mn-cs"/>
                        </a:rPr>
                        <m:t>𝐿𝑒𝑛𝑔𝑡h</m:t>
                      </m:r>
                      <m:d>
                        <m:dPr>
                          <m:ctrlPr>
                            <a:rPr lang="en-ZA" sz="1100" i="1">
                              <a:solidFill>
                                <a:schemeClr val="dk1"/>
                              </a:solidFill>
                              <a:effectLst/>
                              <a:latin typeface="Cambria Math" panose="02040503050406030204" pitchFamily="18" charset="0"/>
                              <a:ea typeface="+mn-ea"/>
                              <a:cs typeface="+mn-cs"/>
                            </a:rPr>
                          </m:ctrlPr>
                        </m:dPr>
                        <m:e>
                          <m:r>
                            <a:rPr lang="en-ZA" sz="1100" i="1">
                              <a:solidFill>
                                <a:schemeClr val="dk1"/>
                              </a:solidFill>
                              <a:effectLst/>
                              <a:latin typeface="Cambria Math" panose="02040503050406030204" pitchFamily="18" charset="0"/>
                              <a:ea typeface="+mn-ea"/>
                              <a:cs typeface="+mn-cs"/>
                            </a:rPr>
                            <m:t>𝑠𝑡𝑎𝑟𝑡𝑖𝑛𝑔</m:t>
                          </m:r>
                          <m:r>
                            <a:rPr lang="en-ZA" sz="1100" i="1">
                              <a:solidFill>
                                <a:schemeClr val="dk1"/>
                              </a:solidFill>
                              <a:effectLst/>
                              <a:latin typeface="Cambria Math" panose="02040503050406030204" pitchFamily="18" charset="0"/>
                              <a:ea typeface="+mn-ea"/>
                              <a:cs typeface="+mn-cs"/>
                            </a:rPr>
                            <m:t>−</m:t>
                          </m:r>
                          <m:r>
                            <a:rPr lang="en-ZA" sz="1100" i="1">
                              <a:solidFill>
                                <a:schemeClr val="dk1"/>
                              </a:solidFill>
                              <a:effectLst/>
                              <a:latin typeface="Cambria Math" panose="02040503050406030204" pitchFamily="18" charset="0"/>
                              <a:ea typeface="+mn-ea"/>
                              <a:cs typeface="+mn-cs"/>
                            </a:rPr>
                            <m:t>𝑏𝑜𝑡𝑡𝑜𝑚</m:t>
                          </m:r>
                          <m:r>
                            <a:rPr lang="en-ZA" sz="1100">
                              <a:solidFill>
                                <a:schemeClr val="dk1"/>
                              </a:solidFill>
                              <a:effectLst/>
                              <a:latin typeface="Cambria Math" panose="02040503050406030204" pitchFamily="18" charset="0"/>
                              <a:ea typeface="+mn-ea"/>
                              <a:cs typeface="+mn-cs"/>
                            </a:rPr>
                            <m:t> </m:t>
                          </m:r>
                          <m:r>
                            <a:rPr lang="en-ZA" sz="1100" i="1">
                              <a:solidFill>
                                <a:schemeClr val="dk1"/>
                              </a:solidFill>
                              <a:effectLst/>
                              <a:latin typeface="Cambria Math" panose="02040503050406030204" pitchFamily="18" charset="0"/>
                              <a:ea typeface="+mn-ea"/>
                              <a:cs typeface="+mn-cs"/>
                            </a:rPr>
                            <m:t>𝑝h𝑎𝑠𝑒</m:t>
                          </m:r>
                          <m:r>
                            <a:rPr lang="en-ZA" sz="1100">
                              <a:solidFill>
                                <a:schemeClr val="dk1"/>
                              </a:solidFill>
                              <a:effectLst/>
                              <a:latin typeface="Cambria Math" panose="02040503050406030204" pitchFamily="18" charset="0"/>
                              <a:ea typeface="+mn-ea"/>
                              <a:cs typeface="+mn-cs"/>
                            </a:rPr>
                            <m:t> </m:t>
                          </m:r>
                          <m:r>
                            <a:rPr lang="en-ZA" sz="1100" i="1">
                              <a:solidFill>
                                <a:schemeClr val="dk1"/>
                              </a:solidFill>
                              <a:effectLst/>
                              <a:latin typeface="Cambria Math" panose="02040503050406030204" pitchFamily="18" charset="0"/>
                              <a:ea typeface="+mn-ea"/>
                              <a:cs typeface="+mn-cs"/>
                            </a:rPr>
                            <m:t>𝑐𝑜𝑚𝑝𝑜𝑠𝑖𝑡𝑖𝑜𝑛</m:t>
                          </m:r>
                        </m:e>
                      </m:d>
                    </m:num>
                    <m:den>
                      <m:r>
                        <a:rPr lang="en-ZA" sz="1100" i="1">
                          <a:solidFill>
                            <a:schemeClr val="dk1"/>
                          </a:solidFill>
                          <a:effectLst/>
                          <a:latin typeface="Cambria Math" panose="02040503050406030204" pitchFamily="18" charset="0"/>
                          <a:ea typeface="+mn-ea"/>
                          <a:cs typeface="+mn-cs"/>
                        </a:rPr>
                        <m:t>𝐿𝑒𝑛𝑔𝑡h</m:t>
                      </m:r>
                      <m:r>
                        <a:rPr lang="en-ZA" sz="1100">
                          <a:solidFill>
                            <a:schemeClr val="dk1"/>
                          </a:solidFill>
                          <a:effectLst/>
                          <a:latin typeface="Cambria Math" panose="02040503050406030204" pitchFamily="18" charset="0"/>
                          <a:ea typeface="+mn-ea"/>
                          <a:cs typeface="+mn-cs"/>
                        </a:rPr>
                        <m:t> (</m:t>
                      </m:r>
                      <m:r>
                        <a:rPr lang="en-ZA" sz="1100" i="1">
                          <a:solidFill>
                            <a:schemeClr val="dk1"/>
                          </a:solidFill>
                          <a:effectLst/>
                          <a:latin typeface="Cambria Math" panose="02040503050406030204" pitchFamily="18" charset="0"/>
                          <a:ea typeface="+mn-ea"/>
                          <a:cs typeface="+mn-cs"/>
                        </a:rPr>
                        <m:t>𝑠𝑡𝑎𝑟𝑡𝑖𝑛𝑔</m:t>
                      </m:r>
                      <m:r>
                        <a:rPr lang="en-ZA" sz="1100" i="1">
                          <a:solidFill>
                            <a:schemeClr val="dk1"/>
                          </a:solidFill>
                          <a:effectLst/>
                          <a:latin typeface="Cambria Math" panose="02040503050406030204" pitchFamily="18" charset="0"/>
                          <a:ea typeface="+mn-ea"/>
                          <a:cs typeface="+mn-cs"/>
                        </a:rPr>
                        <m:t>−</m:t>
                      </m:r>
                      <m:r>
                        <a:rPr lang="en-ZA" sz="1100" i="1">
                          <a:solidFill>
                            <a:schemeClr val="dk1"/>
                          </a:solidFill>
                          <a:effectLst/>
                          <a:latin typeface="Cambria Math" panose="02040503050406030204" pitchFamily="18" charset="0"/>
                          <a:ea typeface="+mn-ea"/>
                          <a:cs typeface="+mn-cs"/>
                        </a:rPr>
                        <m:t>𝑡𝑜𝑝</m:t>
                      </m:r>
                      <m:r>
                        <a:rPr lang="en-ZA" sz="1100">
                          <a:solidFill>
                            <a:schemeClr val="dk1"/>
                          </a:solidFill>
                          <a:effectLst/>
                          <a:latin typeface="Cambria Math" panose="02040503050406030204" pitchFamily="18" charset="0"/>
                          <a:ea typeface="+mn-ea"/>
                          <a:cs typeface="+mn-cs"/>
                        </a:rPr>
                        <m:t> </m:t>
                      </m:r>
                      <m:r>
                        <a:rPr lang="en-ZA" sz="1100" i="1">
                          <a:solidFill>
                            <a:schemeClr val="dk1"/>
                          </a:solidFill>
                          <a:effectLst/>
                          <a:latin typeface="Cambria Math" panose="02040503050406030204" pitchFamily="18" charset="0"/>
                          <a:ea typeface="+mn-ea"/>
                          <a:cs typeface="+mn-cs"/>
                        </a:rPr>
                        <m:t>𝑝h𝑎𝑠𝑒</m:t>
                      </m:r>
                      <m:r>
                        <a:rPr lang="en-ZA" sz="1100">
                          <a:solidFill>
                            <a:schemeClr val="dk1"/>
                          </a:solidFill>
                          <a:effectLst/>
                          <a:latin typeface="Cambria Math" panose="02040503050406030204" pitchFamily="18" charset="0"/>
                          <a:ea typeface="+mn-ea"/>
                          <a:cs typeface="+mn-cs"/>
                        </a:rPr>
                        <m:t> </m:t>
                      </m:r>
                      <m:r>
                        <a:rPr lang="en-ZA" sz="1100" i="1">
                          <a:solidFill>
                            <a:schemeClr val="dk1"/>
                          </a:solidFill>
                          <a:effectLst/>
                          <a:latin typeface="Cambria Math" panose="02040503050406030204" pitchFamily="18" charset="0"/>
                          <a:ea typeface="+mn-ea"/>
                          <a:cs typeface="+mn-cs"/>
                        </a:rPr>
                        <m:t>𝑐𝑜𝑚𝑝𝑜𝑠𝑖𝑡𝑖𝑜𝑛</m:t>
                      </m:r>
                      <m:r>
                        <a:rPr lang="en-ZA" sz="1100">
                          <a:solidFill>
                            <a:schemeClr val="dk1"/>
                          </a:solidFill>
                          <a:effectLst/>
                          <a:latin typeface="Cambria Math" panose="02040503050406030204" pitchFamily="18" charset="0"/>
                          <a:ea typeface="+mn-ea"/>
                          <a:cs typeface="+mn-cs"/>
                        </a:rPr>
                        <m:t>)</m:t>
                      </m:r>
                    </m:den>
                  </m:f>
                </m:oMath>
              </a14:m>
              <a:r>
                <a:rPr lang="en-ZA" sz="1100">
                  <a:solidFill>
                    <a:schemeClr val="dk1"/>
                  </a:solidFill>
                  <a:effectLst/>
                  <a:latin typeface="+mn-lt"/>
                  <a:ea typeface="+mn-ea"/>
                  <a:cs typeface="+mn-cs"/>
                </a:rPr>
                <a:t>					Equation 10					</a:t>
              </a:r>
            </a:p>
            <a:p>
              <a:endParaRPr lang="en-ZA" sz="1100"/>
            </a:p>
          </xdr:txBody>
        </xdr:sp>
      </mc:Choice>
      <mc:Fallback xmlns="">
        <xdr:sp macro="" textlink="">
          <xdr:nvSpPr>
            <xdr:cNvPr id="5" name="TextBox 4">
              <a:extLst>
                <a:ext uri="{FF2B5EF4-FFF2-40B4-BE49-F238E27FC236}">
                  <a16:creationId xmlns:a16="http://schemas.microsoft.com/office/drawing/2014/main" id="{70BE96A6-7735-474C-B1D5-E0589031D1E9}"/>
                </a:ext>
              </a:extLst>
            </xdr:cNvPr>
            <xdr:cNvSpPr txBox="1"/>
          </xdr:nvSpPr>
          <xdr:spPr>
            <a:xfrm>
              <a:off x="609601" y="5947063"/>
              <a:ext cx="7924799" cy="576349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lvl="2"/>
              <a:r>
                <a:rPr lang="en-ZA" sz="1100" b="1">
                  <a:solidFill>
                    <a:schemeClr val="dk1"/>
                  </a:solidFill>
                  <a:effectLst/>
                  <a:latin typeface="+mn-lt"/>
                  <a:ea typeface="+mn-ea"/>
                  <a:cs typeface="+mn-cs"/>
                </a:rPr>
                <a:t>Phase diagram calculations</a:t>
              </a:r>
            </a:p>
            <a:p>
              <a:pPr lvl="3"/>
              <a:r>
                <a:rPr lang="en-ZA" sz="1100" b="1" i="1">
                  <a:solidFill>
                    <a:schemeClr val="dk1"/>
                  </a:solidFill>
                  <a:effectLst/>
                  <a:latin typeface="+mn-lt"/>
                  <a:ea typeface="+mn-ea"/>
                  <a:cs typeface="+mn-cs"/>
                </a:rPr>
                <a:t>Tie lines</a:t>
              </a:r>
            </a:p>
            <a:p>
              <a:r>
                <a:rPr lang="en-ZA" sz="1100">
                  <a:solidFill>
                    <a:schemeClr val="dk1"/>
                  </a:solidFill>
                  <a:effectLst/>
                  <a:latin typeface="+mn-lt"/>
                  <a:ea typeface="+mn-ea"/>
                  <a:cs typeface="+mn-cs"/>
                </a:rPr>
                <a:t>The tie-lines were produced by drawing straight lines from the top-phase composition, through the initial mixture composition, to the bottom-phase composition. The tie-line slope (TLS) is usually constant, since tie-lines are approximately parallel in most phase diagrams, and the average was found for each of the phase compositions to make assumptions for novel mixtures. TLS was calculated using the equations below for the different ATPS. </a:t>
              </a:r>
            </a:p>
            <a:p>
              <a:r>
                <a:rPr lang="en-ZA" sz="1100" i="0">
                  <a:solidFill>
                    <a:schemeClr val="dk1"/>
                  </a:solidFill>
                  <a:effectLst/>
                  <a:latin typeface="Cambria Math" panose="02040503050406030204" pitchFamily="18" charset="0"/>
                  <a:ea typeface="+mn-ea"/>
                  <a:cs typeface="+mn-cs"/>
                </a:rPr>
                <a:t>𝑇𝐿𝑆=(𝑤_𝑃𝐸𝐺 (𝑡𝑜𝑝)−𝑤_𝑃𝐸𝐺 (𝑏𝑜𝑡𝑡𝑜𝑚) )/(𝑤_𝑀𝐷𝑋 (𝑡𝑜𝑝)−𝑤_𝑀𝐷𝑋 (𝑏𝑜𝑡𝑡𝑜𝑚) )=〖Δw〗_PEG/〖Δw〗_MDX   </a:t>
              </a:r>
              <a:r>
                <a:rPr lang="en-ZA" sz="1100">
                  <a:solidFill>
                    <a:schemeClr val="dk1"/>
                  </a:solidFill>
                  <a:effectLst/>
                  <a:latin typeface="+mn-lt"/>
                  <a:ea typeface="+mn-ea"/>
                  <a:cs typeface="+mn-cs"/>
                </a:rPr>
                <a:t>						Equation 5 </a:t>
              </a:r>
            </a:p>
            <a:p>
              <a:r>
                <a:rPr lang="en-ZA" sz="1100">
                  <a:solidFill>
                    <a:schemeClr val="dk1"/>
                  </a:solidFill>
                  <a:effectLst/>
                  <a:latin typeface="+mn-lt"/>
                  <a:ea typeface="+mn-ea"/>
                  <a:cs typeface="+mn-cs"/>
                </a:rPr>
                <a:t>And:</a:t>
              </a:r>
            </a:p>
            <a:p>
              <a:r>
                <a:rPr lang="en-ZA" sz="1100" i="0">
                  <a:solidFill>
                    <a:schemeClr val="dk1"/>
                  </a:solidFill>
                  <a:effectLst/>
                  <a:latin typeface="Cambria Math" panose="02040503050406030204" pitchFamily="18" charset="0"/>
                  <a:ea typeface="+mn-ea"/>
                  <a:cs typeface="+mn-cs"/>
                </a:rPr>
                <a:t>𝑇𝐿𝑆=(𝑤_𝑃𝐸𝐺 (𝑡𝑜𝑝)−𝑤_𝑃𝐸𝐺 (𝑏𝑜𝑡𝑡𝑜𝑚) )/(𝑤_𝑐𝑖𝑡𝑟𝑎𝑡𝑒 (𝑡𝑜𝑝)−𝑤_𝑐𝑖𝑡𝑟𝑎𝑡𝑒 (𝑏𝑜𝑡𝑡𝑜𝑚) )=〖Δw〗_PEG/〖Δw〗_citrate   </a:t>
              </a:r>
              <a:r>
                <a:rPr lang="en-ZA" sz="1100">
                  <a:solidFill>
                    <a:schemeClr val="dk1"/>
                  </a:solidFill>
                  <a:effectLst/>
                  <a:latin typeface="+mn-lt"/>
                  <a:ea typeface="+mn-ea"/>
                  <a:cs typeface="+mn-cs"/>
                </a:rPr>
                <a:t>						Equation 6 </a:t>
              </a:r>
            </a:p>
            <a:p>
              <a:r>
                <a:rPr lang="en-ZA" sz="1100">
                  <a:solidFill>
                    <a:schemeClr val="dk1"/>
                  </a:solidFill>
                  <a:effectLst/>
                  <a:latin typeface="+mn-lt"/>
                  <a:ea typeface="+mn-ea"/>
                  <a:cs typeface="+mn-cs"/>
                </a:rPr>
                <a:t>The tie-line length (TLL) was calculated using the compositions of the top and bottom phases of each ATPS, with a greater length showing that the compositions are further apart on the phase equilibrium curve. The TLL was found using the equation below.</a:t>
              </a:r>
            </a:p>
            <a:p>
              <a:r>
                <a:rPr lang="en-ZA" sz="1100" i="0">
                  <a:solidFill>
                    <a:schemeClr val="dk1"/>
                  </a:solidFill>
                  <a:effectLst/>
                  <a:latin typeface="Cambria Math" panose="02040503050406030204" pitchFamily="18" charset="0"/>
                  <a:ea typeface="+mn-ea"/>
                  <a:cs typeface="+mn-cs"/>
                </a:rPr>
                <a:t>𝑇𝐿𝐿=√(〖 (𝑤〗_𝑃𝐸𝐺 (𝑡𝑜𝑝)−𝑤_𝑃𝐸𝐺 〖(𝑏𝑜𝑡𝑡𝑜𝑚))〗^2+ 〖(𝑤〗_𝑀𝐷𝑋 (𝑡𝑜𝑝)−𝑤_𝑀𝐷𝑋 〖(𝑏𝑜𝑡𝑡𝑜𝑚))〗^2 )  </a:t>
              </a:r>
              <a:r>
                <a:rPr lang="en-ZA" sz="1100">
                  <a:solidFill>
                    <a:schemeClr val="dk1"/>
                  </a:solidFill>
                  <a:effectLst/>
                  <a:latin typeface="+mn-lt"/>
                  <a:ea typeface="+mn-ea"/>
                  <a:cs typeface="+mn-cs"/>
                </a:rPr>
                <a:t>		Equation 7</a:t>
              </a:r>
            </a:p>
            <a:p>
              <a:r>
                <a:rPr lang="en-ZA" sz="1100">
                  <a:solidFill>
                    <a:schemeClr val="dk1"/>
                  </a:solidFill>
                  <a:effectLst/>
                  <a:latin typeface="+mn-lt"/>
                  <a:ea typeface="+mn-ea"/>
                  <a:cs typeface="+mn-cs"/>
                </a:rPr>
                <a:t>And:</a:t>
              </a:r>
            </a:p>
            <a:p>
              <a:r>
                <a:rPr lang="en-ZA" sz="1100" i="0">
                  <a:solidFill>
                    <a:schemeClr val="dk1"/>
                  </a:solidFill>
                  <a:effectLst/>
                  <a:latin typeface="Cambria Math" panose="02040503050406030204" pitchFamily="18" charset="0"/>
                  <a:ea typeface="+mn-ea"/>
                  <a:cs typeface="+mn-cs"/>
                </a:rPr>
                <a:t>𝑇𝐿𝐿=√(〖 (𝑤〗_𝑃𝐸𝐺 (𝑡𝑜𝑝)−𝑤_𝑃𝐸𝐺 〖(𝑏𝑜𝑡𝑡𝑜𝑚))〗^2+ 〖(𝑤〗_𝑐𝑖𝑡𝑟𝑎𝑡𝑒 (𝑡𝑜𝑝)−𝑤_𝑐𝑖𝑡𝑟𝑎𝑡𝑒 〖(𝑏𝑜𝑡𝑡𝑜𝑚))〗^2 )  </a:t>
              </a:r>
              <a:r>
                <a:rPr lang="en-ZA" sz="1100">
                  <a:solidFill>
                    <a:schemeClr val="dk1"/>
                  </a:solidFill>
                  <a:effectLst/>
                  <a:latin typeface="+mn-lt"/>
                  <a:ea typeface="+mn-ea"/>
                  <a:cs typeface="+mn-cs"/>
                </a:rPr>
                <a:t>	Equation 8</a:t>
              </a:r>
            </a:p>
            <a:p>
              <a:pPr lvl="3"/>
              <a:r>
                <a:rPr lang="en-ZA" sz="1100" b="1" i="1">
                  <a:solidFill>
                    <a:schemeClr val="dk1"/>
                  </a:solidFill>
                  <a:effectLst/>
                  <a:latin typeface="+mn-lt"/>
                  <a:ea typeface="+mn-ea"/>
                  <a:cs typeface="+mn-cs"/>
                </a:rPr>
                <a:t>Phase volume ratios</a:t>
              </a:r>
            </a:p>
            <a:p>
              <a:r>
                <a:rPr lang="en-ZA" sz="1100">
                  <a:solidFill>
                    <a:schemeClr val="dk1"/>
                  </a:solidFill>
                  <a:effectLst/>
                  <a:latin typeface="+mn-lt"/>
                  <a:ea typeface="+mn-ea"/>
                  <a:cs typeface="+mn-cs"/>
                </a:rPr>
                <a:t>The phase volume ratios (V</a:t>
              </a:r>
              <a:r>
                <a:rPr lang="en-ZA" sz="1100" baseline="-25000">
                  <a:solidFill>
                    <a:schemeClr val="dk1"/>
                  </a:solidFill>
                  <a:effectLst/>
                  <a:latin typeface="+mn-lt"/>
                  <a:ea typeface="+mn-ea"/>
                  <a:cs typeface="+mn-cs"/>
                </a:rPr>
                <a:t>R</a:t>
              </a:r>
              <a:r>
                <a:rPr lang="en-ZA" sz="1100">
                  <a:solidFill>
                    <a:schemeClr val="dk1"/>
                  </a:solidFill>
                  <a:effectLst/>
                  <a:latin typeface="+mn-lt"/>
                  <a:ea typeface="+mn-ea"/>
                  <a:cs typeface="+mn-cs"/>
                </a:rPr>
                <a:t>) were read off graduations in the falcon tubes used after centrifuging to separate the phases. The phase volume ratios could also be estimated by the inverse lever rule, using the tie-lines and phase equilibrium curves obtained, and then compared to the phase volume ratios observed visually. The volume ratio is defined as the ratio of the volume of the top phase to the volume of the bottom phase in a given ATPS.</a:t>
              </a:r>
            </a:p>
            <a:p>
              <a:r>
                <a:rPr lang="en-ZA" sz="1100" i="0">
                  <a:solidFill>
                    <a:schemeClr val="dk1"/>
                  </a:solidFill>
                  <a:effectLst/>
                  <a:latin typeface="Cambria Math" panose="02040503050406030204" pitchFamily="18" charset="0"/>
                  <a:ea typeface="+mn-ea"/>
                  <a:cs typeface="+mn-cs"/>
                </a:rPr>
                <a:t>𝑉_𝑅=V_top/V_bottom </a:t>
              </a:r>
              <a:r>
                <a:rPr lang="en-ZA" sz="1100">
                  <a:solidFill>
                    <a:schemeClr val="dk1"/>
                  </a:solidFill>
                  <a:effectLst/>
                  <a:latin typeface="+mn-lt"/>
                  <a:ea typeface="+mn-ea"/>
                  <a:cs typeface="+mn-cs"/>
                </a:rPr>
                <a:t>										Equation 9</a:t>
              </a:r>
            </a:p>
            <a:p>
              <a:r>
                <a:rPr lang="en-ZA" sz="1100">
                  <a:solidFill>
                    <a:schemeClr val="dk1"/>
                  </a:solidFill>
                  <a:effectLst/>
                  <a:latin typeface="+mn-lt"/>
                  <a:ea typeface="+mn-ea"/>
                  <a:cs typeface="+mn-cs"/>
                </a:rPr>
                <a:t>The inverse lever rule can be used to estimate the volume ratio, knowing the starting, top phase and bottom phase compositions in an ATPS. 𝑇𝐿𝐿=</a:t>
              </a:r>
              <a:r>
                <a:rPr lang="en-ZA" sz="1100" i="0">
                  <a:solidFill>
                    <a:schemeClr val="dk1"/>
                  </a:solidFill>
                  <a:effectLst/>
                  <a:latin typeface="Cambria Math" panose="02040503050406030204" pitchFamily="18" charset="0"/>
                  <a:ea typeface="+mn-ea"/>
                  <a:cs typeface="+mn-cs"/>
                </a:rPr>
                <a:t>〖 (w〗_PEG (top)−w_PEG 〖(bottom))〗^2+ 〖(w〗_MDX (top)−w_MDX 〖(bottom))〗^2  </a:t>
              </a:r>
              <a:r>
                <a:rPr lang="en-ZA" sz="1100">
                  <a:solidFill>
                    <a:schemeClr val="dk1"/>
                  </a:solidFill>
                  <a:effectLst/>
                  <a:latin typeface="+mn-lt"/>
                  <a:ea typeface="+mn-ea"/>
                  <a:cs typeface="+mn-cs"/>
                </a:rPr>
                <a:t>Equation 7 was adapted as an example of the distance formula for calculated the required lengths in the equation below.</a:t>
              </a:r>
            </a:p>
            <a:p>
              <a:r>
                <a:rPr lang="en-ZA" sz="1100" i="0">
                  <a:solidFill>
                    <a:schemeClr val="dk1"/>
                  </a:solidFill>
                  <a:effectLst/>
                  <a:latin typeface="Cambria Math" panose="02040503050406030204" pitchFamily="18" charset="0"/>
                  <a:ea typeface="+mn-ea"/>
                  <a:cs typeface="+mn-cs"/>
                </a:rPr>
                <a:t>V_top/V_bottom =𝐿𝑒𝑛𝑔𝑡ℎ(𝑠𝑡𝑎𝑟𝑡𝑖𝑛𝑔−𝑏𝑜𝑡𝑡𝑜𝑚 𝑝ℎ𝑎𝑠𝑒 𝑐𝑜𝑚𝑝𝑜𝑠𝑖𝑡𝑖𝑜𝑛)/(𝐿𝑒𝑛𝑔𝑡ℎ (𝑠𝑡𝑎𝑟𝑡𝑖𝑛𝑔−𝑡𝑜𝑝 𝑝ℎ𝑎𝑠𝑒 𝑐𝑜𝑚𝑝𝑜𝑠𝑖𝑡𝑖𝑜𝑛))</a:t>
              </a:r>
              <a:r>
                <a:rPr lang="en-ZA" sz="1100">
                  <a:solidFill>
                    <a:schemeClr val="dk1"/>
                  </a:solidFill>
                  <a:effectLst/>
                  <a:latin typeface="+mn-lt"/>
                  <a:ea typeface="+mn-ea"/>
                  <a:cs typeface="+mn-cs"/>
                </a:rPr>
                <a:t>					Equation 10					</a:t>
              </a:r>
            </a:p>
            <a:p>
              <a:endParaRPr lang="en-ZA" sz="1100"/>
            </a:p>
          </xdr:txBody>
        </xdr:sp>
      </mc:Fallback>
    </mc:AlternateContent>
    <xdr:clientData/>
  </xdr:twoCellAnchor>
</xdr:wsDr>
</file>

<file path=xl/drawings/drawing7.xml><?xml version="1.0" encoding="utf-8"?>
<xdr:wsDr xmlns:xdr="http://schemas.openxmlformats.org/drawingml/2006/spreadsheetDrawing" xmlns:a="http://schemas.openxmlformats.org/drawingml/2006/main">
  <xdr:twoCellAnchor>
    <xdr:from>
      <xdr:col>1</xdr:col>
      <xdr:colOff>34388</xdr:colOff>
      <xdr:row>11</xdr:row>
      <xdr:rowOff>135822</xdr:rowOff>
    </xdr:from>
    <xdr:to>
      <xdr:col>6</xdr:col>
      <xdr:colOff>1139288</xdr:colOff>
      <xdr:row>33</xdr:row>
      <xdr:rowOff>163038</xdr:rowOff>
    </xdr:to>
    <xdr:graphicFrame macro="">
      <xdr:nvGraphicFramePr>
        <xdr:cNvPr id="2" name="Chart 1">
          <a:extLst>
            <a:ext uri="{FF2B5EF4-FFF2-40B4-BE49-F238E27FC236}">
              <a16:creationId xmlns:a16="http://schemas.microsoft.com/office/drawing/2014/main" id="{70A2198E-7CA1-4500-8DCC-4C4B0584D45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20B82B-0ED9-43FC-A22E-70F213D55B75}">
  <dimension ref="A1:BE185"/>
  <sheetViews>
    <sheetView tabSelected="1" zoomScale="55" zoomScaleNormal="55" workbookViewId="0">
      <selection activeCell="AO20" sqref="AO20"/>
    </sheetView>
  </sheetViews>
  <sheetFormatPr defaultRowHeight="14.4" x14ac:dyDescent="0.3"/>
  <cols>
    <col min="1" max="1" width="18.5546875" bestFit="1" customWidth="1"/>
    <col min="4" max="4" width="14.88671875" bestFit="1" customWidth="1"/>
    <col min="6" max="6" width="9.5546875" customWidth="1"/>
    <col min="8" max="9" width="10.33203125" bestFit="1" customWidth="1"/>
    <col min="10" max="10" width="13.44140625" bestFit="1" customWidth="1"/>
    <col min="11" max="11" width="14.109375" customWidth="1"/>
    <col min="12" max="13" width="14.33203125" customWidth="1"/>
    <col min="14" max="14" width="24.109375" bestFit="1" customWidth="1"/>
    <col min="15" max="15" width="12.88671875" bestFit="1" customWidth="1"/>
    <col min="16" max="16" width="12.33203125" bestFit="1" customWidth="1"/>
    <col min="20" max="21" width="10.33203125" bestFit="1" customWidth="1"/>
    <col min="43" max="44" width="12.33203125" bestFit="1" customWidth="1"/>
    <col min="46" max="46" width="12.33203125" bestFit="1" customWidth="1"/>
    <col min="51" max="51" width="8.6640625" bestFit="1" customWidth="1"/>
    <col min="52" max="52" width="16.33203125" customWidth="1"/>
    <col min="53" max="54" width="16" bestFit="1" customWidth="1"/>
    <col min="55" max="55" width="12.33203125" bestFit="1" customWidth="1"/>
    <col min="56" max="56" width="11" bestFit="1" customWidth="1"/>
    <col min="57" max="57" width="11.5546875" bestFit="1" customWidth="1"/>
  </cols>
  <sheetData>
    <row r="1" spans="1:57" ht="18.600000000000001" thickBot="1" x14ac:dyDescent="0.4">
      <c r="A1" s="222" t="s">
        <v>9</v>
      </c>
    </row>
    <row r="2" spans="1:57" ht="15" thickBot="1" x14ac:dyDescent="0.35">
      <c r="C2" s="225" t="s">
        <v>96</v>
      </c>
      <c r="D2" s="226" t="s">
        <v>97</v>
      </c>
      <c r="E2" s="226" t="s">
        <v>17</v>
      </c>
      <c r="F2" s="226" t="s">
        <v>66</v>
      </c>
      <c r="G2" s="226" t="s">
        <v>18</v>
      </c>
      <c r="H2" s="226" t="s">
        <v>66</v>
      </c>
      <c r="I2" s="226" t="s">
        <v>44</v>
      </c>
      <c r="J2" s="231" t="s">
        <v>66</v>
      </c>
      <c r="K2" s="231" t="s">
        <v>71</v>
      </c>
      <c r="L2" s="226" t="s">
        <v>72</v>
      </c>
      <c r="M2" s="226" t="s">
        <v>70</v>
      </c>
      <c r="N2" s="226" t="s">
        <v>73</v>
      </c>
      <c r="O2" s="232" t="s">
        <v>69</v>
      </c>
      <c r="P2" s="232" t="s">
        <v>66</v>
      </c>
      <c r="R2" s="244"/>
      <c r="S2" s="227" t="s">
        <v>17</v>
      </c>
      <c r="T2" s="227" t="s">
        <v>66</v>
      </c>
      <c r="U2" s="227" t="s">
        <v>18</v>
      </c>
      <c r="V2" s="248" t="s">
        <v>66</v>
      </c>
      <c r="AX2" s="8"/>
      <c r="AY2" s="8"/>
      <c r="AZ2" s="8"/>
      <c r="BA2" s="8"/>
      <c r="BB2" s="8"/>
      <c r="BC2" s="8"/>
      <c r="BD2" s="8"/>
      <c r="BE2" s="8"/>
    </row>
    <row r="3" spans="1:57" x14ac:dyDescent="0.3">
      <c r="C3" s="318">
        <v>1</v>
      </c>
      <c r="D3" s="227" t="s">
        <v>12</v>
      </c>
      <c r="E3" s="28">
        <f>'Phasediagram PEG 10000 data'!W8</f>
        <v>0.25024437927663734</v>
      </c>
      <c r="F3" s="28">
        <v>1E-3</v>
      </c>
      <c r="G3" s="28">
        <f>'Phasediagram PEG 10000 data'!X8</f>
        <v>9.9902248289345061E-2</v>
      </c>
      <c r="H3" s="28">
        <v>1E-3</v>
      </c>
      <c r="I3" s="28">
        <f>'Phasediagram PEG 10000 data'!Y8</f>
        <v>0.64985337243401764</v>
      </c>
      <c r="J3" s="46">
        <v>1E-3</v>
      </c>
      <c r="K3" s="308">
        <f>(G4-G5)/(E4-E5)</f>
        <v>-0.50372266547215228</v>
      </c>
      <c r="L3" s="308">
        <f>SQRT(((E4-E5)^2)+((G4-G5)^2))</f>
        <v>0.32100185751474214</v>
      </c>
      <c r="M3" s="305">
        <f>(9.5-3.2)/3.2</f>
        <v>1.9687499999999998</v>
      </c>
      <c r="N3" s="305">
        <f>(SQRT(((E3-E5)^2)+((G3-G5)^2)))/(SQRT(((E3-E4)^2)+((G3-G4)^2)))</f>
        <v>1.7231710554115223</v>
      </c>
      <c r="O3" s="68"/>
      <c r="P3" s="69"/>
      <c r="R3" s="245" t="str">
        <f>D4</f>
        <v>Top</v>
      </c>
      <c r="S3" s="37">
        <f>E4</f>
        <v>0.14131838626276161</v>
      </c>
      <c r="T3" s="37">
        <f t="shared" ref="T3:V4" si="0">F4</f>
        <v>4.3111180984155137E-3</v>
      </c>
      <c r="U3" s="37">
        <f t="shared" si="0"/>
        <v>0.14540954490937325</v>
      </c>
      <c r="V3" s="38">
        <f>H4</f>
        <v>4.5474841808879453E-3</v>
      </c>
      <c r="AX3" s="8"/>
      <c r="AY3" s="8"/>
      <c r="AZ3" s="8"/>
      <c r="BA3" s="8"/>
      <c r="BB3" s="8"/>
      <c r="BC3" s="8"/>
      <c r="BD3" s="8"/>
      <c r="BE3" s="8"/>
    </row>
    <row r="4" spans="1:57" x14ac:dyDescent="0.3">
      <c r="C4" s="319"/>
      <c r="D4" s="151" t="s">
        <v>10</v>
      </c>
      <c r="E4" s="7">
        <f>'Phasediagram PEG 10000 data'!W9</f>
        <v>0.14131838626276161</v>
      </c>
      <c r="F4" s="7">
        <f>'Phasediagram PEG 10000 data'!W18</f>
        <v>4.3111180984155137E-3</v>
      </c>
      <c r="G4" s="7">
        <f>'Phasediagram PEG 10000 data'!X9</f>
        <v>0.14540954490937325</v>
      </c>
      <c r="H4" s="7">
        <f>'Phasediagram PEG 10000 data'!X18</f>
        <v>4.5474841808879453E-3</v>
      </c>
      <c r="I4" s="7">
        <f>'Phasediagram PEG 10000 data'!Y9</f>
        <v>0.7132720688278652</v>
      </c>
      <c r="J4" s="47">
        <f>'Phasediagram PEG 10000 data'!Y18</f>
        <v>9.5796328357190721E-4</v>
      </c>
      <c r="K4" s="309"/>
      <c r="L4" s="309"/>
      <c r="M4" s="306"/>
      <c r="N4" s="306"/>
      <c r="O4" s="70">
        <f>'Phasediagram PEG 10000 data'!Z17</f>
        <v>1.0831333333333333</v>
      </c>
      <c r="P4" s="70">
        <f>'Phasediagram PEG 10000 data'!AA17</f>
        <v>2.2744962812309274E-3</v>
      </c>
      <c r="R4" s="245" t="str">
        <f t="shared" ref="R4:S4" si="1">D5</f>
        <v>Bottom</v>
      </c>
      <c r="S4" s="37">
        <f t="shared" si="1"/>
        <v>0.428003014150241</v>
      </c>
      <c r="T4" s="37">
        <f t="shared" si="0"/>
        <v>3.3483638626083771E-2</v>
      </c>
      <c r="U4" s="37">
        <f t="shared" si="0"/>
        <v>1E-3</v>
      </c>
      <c r="V4" s="38">
        <f t="shared" si="0"/>
        <v>8.039911460082181E-3</v>
      </c>
      <c r="AX4" s="8"/>
      <c r="AY4" s="8"/>
      <c r="AZ4" s="8"/>
      <c r="BA4" s="8"/>
      <c r="BB4" s="8"/>
      <c r="BC4" s="8"/>
      <c r="BD4" s="8"/>
      <c r="BE4" s="8"/>
    </row>
    <row r="5" spans="1:57" ht="15" thickBot="1" x14ac:dyDescent="0.35">
      <c r="C5" s="320"/>
      <c r="D5" s="228" t="s">
        <v>11</v>
      </c>
      <c r="E5" s="29">
        <f>'Phasediagram PEG 10000 data'!W10</f>
        <v>0.428003014150241</v>
      </c>
      <c r="F5" s="29">
        <f>'Phasediagram PEG 10000 data'!W27</f>
        <v>3.3483638626083771E-2</v>
      </c>
      <c r="G5" s="29">
        <f>'Phasediagram PEG 10000 data'!X10</f>
        <v>1E-3</v>
      </c>
      <c r="H5" s="29">
        <f>'Phasediagram PEG 10000 data'!X27</f>
        <v>8.039911460082181E-3</v>
      </c>
      <c r="I5" s="29">
        <f>'Phasediagram PEG 10000 data'!Y10</f>
        <v>0.55593933413066199</v>
      </c>
      <c r="J5" s="48">
        <f>'Phasediagram PEG 10000 data'!Y27</f>
        <v>4.1551772473391261E-3</v>
      </c>
      <c r="K5" s="310"/>
      <c r="L5" s="310"/>
      <c r="M5" s="307"/>
      <c r="N5" s="307"/>
      <c r="O5" s="71">
        <f>'Phasediagram PEG 10000 data'!Z26</f>
        <v>1.1933333333333334</v>
      </c>
      <c r="P5" s="71">
        <f>'Phasediagram PEG 10000 data'!AA26</f>
        <v>6.5064070986476609E-3</v>
      </c>
      <c r="R5" s="245" t="str">
        <f>D7</f>
        <v>Top</v>
      </c>
      <c r="S5" s="37">
        <f>E7</f>
        <v>0.19090136456015738</v>
      </c>
      <c r="T5" s="37">
        <f t="shared" ref="T5:V5" si="2">F7</f>
        <v>5.7278380088919886E-3</v>
      </c>
      <c r="U5" s="37">
        <f t="shared" si="2"/>
        <v>9.0260384198242935E-2</v>
      </c>
      <c r="V5" s="38">
        <f t="shared" si="2"/>
        <v>6.7397303874434326E-3</v>
      </c>
      <c r="AX5" s="8"/>
      <c r="AY5" s="8"/>
      <c r="AZ5" s="8"/>
      <c r="BA5" s="8"/>
      <c r="BB5" s="8"/>
      <c r="BC5" s="8"/>
      <c r="BD5" s="8"/>
      <c r="BE5" s="8"/>
    </row>
    <row r="6" spans="1:57" x14ac:dyDescent="0.3">
      <c r="C6" s="318">
        <v>2</v>
      </c>
      <c r="D6" s="227" t="s">
        <v>12</v>
      </c>
      <c r="E6" s="28">
        <f>'Phasediagram PEG 10000 data'!W38</f>
        <v>0.30058708414872803</v>
      </c>
      <c r="F6" s="28">
        <v>1E-3</v>
      </c>
      <c r="G6" s="28">
        <f>'Phasediagram PEG 10000 data'!X38</f>
        <v>4.9902152641878673E-2</v>
      </c>
      <c r="H6" s="28">
        <v>1E-3</v>
      </c>
      <c r="I6" s="28">
        <f>'Phasediagram PEG 10000 data'!Y38</f>
        <v>0.64951076320939327</v>
      </c>
      <c r="J6" s="46">
        <v>1E-3</v>
      </c>
      <c r="K6" s="308">
        <f>(G7-G8)/(E7-E8)</f>
        <v>-0.44947580083642591</v>
      </c>
      <c r="L6" s="308">
        <f t="shared" ref="L6" si="3">SQRT(((E7-E8)^2)+((G7-G8)^2))</f>
        <v>0.21772576169705007</v>
      </c>
      <c r="M6" s="305">
        <f>(9.4-5)/5</f>
        <v>0.88000000000000012</v>
      </c>
      <c r="N6" s="305">
        <f t="shared" ref="N6" si="4">(SQRT(((E6-E8)^2)+((G6-G8)^2)))/(SQRT(((E6-E7)^2)+((G6-G7)^2)))</f>
        <v>0.86814383713491661</v>
      </c>
      <c r="O6" s="68"/>
      <c r="P6" s="69"/>
      <c r="R6" s="245" t="str">
        <f>D8</f>
        <v>Bottom</v>
      </c>
      <c r="S6" s="37">
        <f>E8</f>
        <v>0.38948910617414195</v>
      </c>
      <c r="T6" s="37">
        <f t="shared" ref="T6:V6" si="5">F8</f>
        <v>6.53837347791028E-3</v>
      </c>
      <c r="U6" s="37">
        <f t="shared" si="5"/>
        <v>1E-3</v>
      </c>
      <c r="V6" s="38">
        <f t="shared" si="5"/>
        <v>7.8068918034286386E-3</v>
      </c>
      <c r="AX6" s="8"/>
      <c r="AY6" s="8"/>
      <c r="AZ6" s="8"/>
      <c r="BA6" s="8"/>
      <c r="BB6" s="8"/>
      <c r="BC6" s="8"/>
      <c r="BD6" s="8"/>
      <c r="BE6" s="8"/>
    </row>
    <row r="7" spans="1:57" x14ac:dyDescent="0.3">
      <c r="C7" s="319"/>
      <c r="D7" s="151" t="s">
        <v>10</v>
      </c>
      <c r="E7" s="7">
        <f>'Phasediagram PEG 10000 data'!W39</f>
        <v>0.19090136456015738</v>
      </c>
      <c r="F7" s="30">
        <f>'Phasediagram PEG 10000 data'!W48</f>
        <v>5.7278380088919886E-3</v>
      </c>
      <c r="G7" s="7">
        <f>'Phasediagram PEG 10000 data'!X39</f>
        <v>9.0260384198242935E-2</v>
      </c>
      <c r="H7" s="30">
        <f>'Phasediagram PEG 10000 data'!X48</f>
        <v>6.7397303874434326E-3</v>
      </c>
      <c r="I7" s="7">
        <f>'Phasediagram PEG 10000 data'!Y39</f>
        <v>0.71883825124159972</v>
      </c>
      <c r="J7" s="49">
        <f>'Phasediagram PEG 10000 data'!Y48</f>
        <v>1.2122857473815991E-3</v>
      </c>
      <c r="K7" s="309"/>
      <c r="L7" s="309"/>
      <c r="M7" s="306"/>
      <c r="N7" s="306"/>
      <c r="O7" s="4">
        <f>'Phasediagram PEG 10000 data'!Z47</f>
        <v>1.0920000000000001</v>
      </c>
      <c r="P7" s="4">
        <f>'Phasediagram PEG 10000 data'!AA47</f>
        <v>3.9038442591886407E-3</v>
      </c>
      <c r="R7" s="245" t="str">
        <f>D10</f>
        <v>Top</v>
      </c>
      <c r="S7" s="37">
        <f>E10</f>
        <v>0.17112661819258931</v>
      </c>
      <c r="T7" s="37">
        <f t="shared" ref="T7:V7" si="6">F10</f>
        <v>5.7278380088919886E-3</v>
      </c>
      <c r="U7" s="37">
        <f t="shared" si="6"/>
        <v>8.6337103120981432E-2</v>
      </c>
      <c r="V7" s="38">
        <f t="shared" si="6"/>
        <v>6.7397303874434326E-3</v>
      </c>
      <c r="AX7" s="8"/>
      <c r="AY7" s="8"/>
      <c r="AZ7" s="8"/>
      <c r="BA7" s="8"/>
      <c r="BB7" s="8"/>
      <c r="BC7" s="8"/>
      <c r="BD7" s="8"/>
      <c r="BE7" s="8"/>
    </row>
    <row r="8" spans="1:57" ht="15" thickBot="1" x14ac:dyDescent="0.35">
      <c r="C8" s="320"/>
      <c r="D8" s="228" t="s">
        <v>11</v>
      </c>
      <c r="E8" s="29">
        <f>'Phasediagram PEG 10000 data'!W40</f>
        <v>0.38948910617414195</v>
      </c>
      <c r="F8" s="32">
        <f>'Phasediagram PEG 10000 data'!W57</f>
        <v>6.53837347791028E-3</v>
      </c>
      <c r="G8" s="29">
        <f>'Phasediagram PEG 10000 data'!X40</f>
        <v>1E-3</v>
      </c>
      <c r="H8" s="32">
        <f>'Phasediagram PEG 10000 data'!X57</f>
        <v>7.8068918034286386E-3</v>
      </c>
      <c r="I8" s="29">
        <f>'Phasediagram PEG 10000 data'!Y40</f>
        <v>0.60951924524199863</v>
      </c>
      <c r="J8" s="50">
        <f>'Phasediagram PEG 10000 data'!Y57</f>
        <v>1.4197742389185906E-3</v>
      </c>
      <c r="K8" s="310"/>
      <c r="L8" s="310"/>
      <c r="M8" s="307"/>
      <c r="N8" s="307"/>
      <c r="O8" s="72">
        <f>'Phasediagram PEG 10000 data'!Z56</f>
        <v>1.1601333333333332</v>
      </c>
      <c r="P8" s="72">
        <f>'Phasediagram PEG 10000 data'!AA56</f>
        <v>3.3605555096342518E-3</v>
      </c>
      <c r="R8" s="245" t="str">
        <f>D11</f>
        <v>Bottom</v>
      </c>
      <c r="S8" s="37">
        <f>E11</f>
        <v>0.33137956644433736</v>
      </c>
      <c r="T8" s="37">
        <f t="shared" ref="T8:V8" si="7">F11</f>
        <v>6.53837347791028E-3</v>
      </c>
      <c r="U8" s="37">
        <f t="shared" si="7"/>
        <v>1.2671609602289391E-2</v>
      </c>
      <c r="V8" s="38">
        <f t="shared" si="7"/>
        <v>7.8068918034286386E-3</v>
      </c>
      <c r="AX8" s="8"/>
      <c r="AY8" s="8"/>
      <c r="AZ8" s="8"/>
      <c r="BA8" s="8"/>
      <c r="BB8" s="8"/>
      <c r="BC8" s="8"/>
      <c r="BD8" s="8"/>
      <c r="BE8" s="8"/>
    </row>
    <row r="9" spans="1:57" x14ac:dyDescent="0.3">
      <c r="C9" s="321">
        <v>3</v>
      </c>
      <c r="D9" s="229" t="s">
        <v>12</v>
      </c>
      <c r="E9" s="53">
        <f>'Phasediagram PEG 10000 data'!W65</f>
        <v>0.24975024975024976</v>
      </c>
      <c r="F9" s="51">
        <v>1E-3</v>
      </c>
      <c r="G9" s="53">
        <f>'Phasediagram PEG 10000 data'!X65</f>
        <v>4.9950049950049952E-2</v>
      </c>
      <c r="H9" s="51">
        <v>1E-3</v>
      </c>
      <c r="I9" s="53">
        <f>'Phasediagram PEG 10000 data'!Y65</f>
        <v>0.70029970029970035</v>
      </c>
      <c r="J9" s="52">
        <v>1E-3</v>
      </c>
      <c r="K9" s="308">
        <f t="shared" ref="K9" si="8">(G10-G11)/(E10-E11)</f>
        <v>-0.45968261003827426</v>
      </c>
      <c r="L9" s="308">
        <f t="shared" ref="L9" si="9">SQRT(((E10-E11)^2)+((G10-G11)^2))</f>
        <v>0.17637350242802885</v>
      </c>
      <c r="M9" s="305">
        <f>(9.4-3.7)/3.7</f>
        <v>1.5405405405405406</v>
      </c>
      <c r="N9" s="305">
        <f t="shared" ref="N9" si="10">(SQRT(((E9-E11)^2)+((G9-G11)^2)))/(SQRT(((E9-E10)^2)+((G9-G10)^2)))</f>
        <v>1.0358197544038741</v>
      </c>
      <c r="O9" s="73"/>
      <c r="P9" s="74"/>
      <c r="R9" s="245" t="str">
        <f>D13</f>
        <v>Top</v>
      </c>
      <c r="S9" s="37">
        <f>E13</f>
        <v>0.13691669226407471</v>
      </c>
      <c r="T9" s="37">
        <f t="shared" ref="T9:V9" si="11">F13</f>
        <v>1.3271408326777116E-2</v>
      </c>
      <c r="U9" s="37">
        <f t="shared" si="11"/>
        <v>0.19659116876943217</v>
      </c>
      <c r="V9" s="38">
        <f t="shared" si="11"/>
        <v>1.308397036296856E-2</v>
      </c>
      <c r="AX9" s="8"/>
      <c r="AY9" s="8"/>
      <c r="AZ9" s="8"/>
      <c r="BA9" s="8"/>
      <c r="BB9" s="8"/>
      <c r="BC9" s="8"/>
      <c r="BD9" s="8"/>
      <c r="BE9" s="8"/>
    </row>
    <row r="10" spans="1:57" x14ac:dyDescent="0.3">
      <c r="C10" s="319"/>
      <c r="D10" s="151" t="s">
        <v>10</v>
      </c>
      <c r="E10" s="30">
        <f>'Phasediagram PEG 10000 data'!W66</f>
        <v>0.17112661819258931</v>
      </c>
      <c r="F10" s="30">
        <f>'Phasediagram PEG 10000 data'!W48</f>
        <v>5.7278380088919886E-3</v>
      </c>
      <c r="G10" s="30">
        <f>'Phasediagram PEG 10000 data'!X66</f>
        <v>8.6337103120981432E-2</v>
      </c>
      <c r="H10" s="30">
        <f>'Phasediagram PEG 10000 data'!X48</f>
        <v>6.7397303874434326E-3</v>
      </c>
      <c r="I10" s="30">
        <f>'Phasediagram PEG 10000 data'!Y66</f>
        <v>0.74253627868642924</v>
      </c>
      <c r="J10" s="49">
        <f>'Phasediagram PEG 10000 data'!Y48</f>
        <v>1.2122857473815991E-3</v>
      </c>
      <c r="K10" s="309"/>
      <c r="L10" s="309"/>
      <c r="M10" s="306"/>
      <c r="N10" s="306"/>
      <c r="O10" s="4">
        <f>'Phasediagram PEG 10000 data'!Z74</f>
        <v>1.0862000000000001</v>
      </c>
      <c r="P10" s="4">
        <f>'Phasediagram PEG 10000 data'!AA74</f>
        <v>2.4248711305965001E-3</v>
      </c>
      <c r="R10" s="246" t="str">
        <f>D14</f>
        <v>Bottom</v>
      </c>
      <c r="S10" s="58">
        <f>E14</f>
        <v>0.48986493746420751</v>
      </c>
      <c r="T10" s="58">
        <f t="shared" ref="T10:V10" si="12">F14</f>
        <v>2.1629812844043934E-2</v>
      </c>
      <c r="U10" s="58">
        <f t="shared" si="12"/>
        <v>2.0447826056263752E-3</v>
      </c>
      <c r="V10" s="59">
        <f t="shared" si="12"/>
        <v>2.4964616522679933E-2</v>
      </c>
      <c r="AX10" s="8"/>
      <c r="AY10" s="8"/>
      <c r="AZ10" s="8"/>
      <c r="BA10" s="8"/>
      <c r="BB10" s="8"/>
      <c r="BC10" s="8"/>
      <c r="BD10" s="8"/>
      <c r="BE10" s="8"/>
    </row>
    <row r="11" spans="1:57" ht="15" thickBot="1" x14ac:dyDescent="0.35">
      <c r="C11" s="322"/>
      <c r="D11" s="230" t="s">
        <v>11</v>
      </c>
      <c r="E11" s="54">
        <f>'Phasediagram PEG 10000 data'!W67</f>
        <v>0.33137956644433736</v>
      </c>
      <c r="F11" s="54">
        <f>'Phasediagram PEG 10000 data'!W57</f>
        <v>6.53837347791028E-3</v>
      </c>
      <c r="G11" s="54">
        <f>'Phasediagram PEG 10000 data'!X67</f>
        <v>1.2671609602289391E-2</v>
      </c>
      <c r="H11" s="54">
        <f>'Phasediagram PEG 10000 data'!X57</f>
        <v>7.8068918034286386E-3</v>
      </c>
      <c r="I11" s="54">
        <f>'Phasediagram PEG 10000 data'!Y67</f>
        <v>0.65594882395337328</v>
      </c>
      <c r="J11" s="57">
        <f>'Phasediagram PEG 10000 data'!Y57</f>
        <v>1.4197742389185906E-3</v>
      </c>
      <c r="K11" s="310"/>
      <c r="L11" s="310"/>
      <c r="M11" s="307"/>
      <c r="N11" s="307"/>
      <c r="O11" s="75">
        <f>'Phasediagram PEG 10000 data'!Z83</f>
        <v>1.1401333333333332</v>
      </c>
      <c r="P11" s="75">
        <f>'Phasediagram PEG 10000 data'!AA83</f>
        <v>2.0526405757787729E-3</v>
      </c>
      <c r="R11" s="245" t="s">
        <v>10</v>
      </c>
      <c r="S11" s="30">
        <f t="shared" ref="S11:V12" si="13">E16</f>
        <v>0.13133916557971617</v>
      </c>
      <c r="T11" s="30">
        <f>F16</f>
        <v>2.2767032302116151E-2</v>
      </c>
      <c r="U11" s="30">
        <f t="shared" si="13"/>
        <v>0.24394454389649806</v>
      </c>
      <c r="V11" s="30">
        <f t="shared" si="13"/>
        <v>2.4656726721818387E-2</v>
      </c>
      <c r="AX11" s="8"/>
      <c r="AY11" s="8"/>
      <c r="BB11" s="8"/>
      <c r="BC11" s="8"/>
    </row>
    <row r="12" spans="1:57" ht="15" thickBot="1" x14ac:dyDescent="0.35">
      <c r="C12" s="318">
        <v>4</v>
      </c>
      <c r="D12" s="227" t="s">
        <v>12</v>
      </c>
      <c r="E12" s="28">
        <f>'Phasediagram PEG 10000 data'!W95</f>
        <v>0.30029910269192422</v>
      </c>
      <c r="F12" s="28">
        <v>1E-3</v>
      </c>
      <c r="G12" s="28">
        <f>'Phasediagram PEG 10000 data'!X95</f>
        <v>9.9900299102691936E-2</v>
      </c>
      <c r="H12" s="28">
        <v>1E-3</v>
      </c>
      <c r="I12" s="28">
        <f>'Phasediagram PEG 10000 data'!Y95</f>
        <v>0.59980059820538378</v>
      </c>
      <c r="J12" s="46">
        <v>1E-3</v>
      </c>
      <c r="K12" s="308">
        <f t="shared" ref="K12" si="14">(G13-G14)/(E13-E14)</f>
        <v>-0.55120372125236616</v>
      </c>
      <c r="L12" s="308">
        <f t="shared" ref="L12" si="15">SQRT(((E13-E14)^2)+((G13-G14)^2))</f>
        <v>0.40301459050417732</v>
      </c>
      <c r="M12" s="305">
        <f>(9-3.9)/3.9</f>
        <v>1.3076923076923077</v>
      </c>
      <c r="N12" s="305">
        <f t="shared" ref="N12" si="16">(SQRT(((E12-E14)^2)+((G12-G14)^2)))/(SQRT(((E12-E13)^2)+((G12-G13)^2)))</f>
        <v>1.1236929783205372</v>
      </c>
      <c r="O12" s="68"/>
      <c r="P12" s="69"/>
      <c r="R12" s="247" t="s">
        <v>11</v>
      </c>
      <c r="S12" s="32">
        <f t="shared" si="13"/>
        <v>0.55815312075381984</v>
      </c>
      <c r="T12" s="32">
        <f t="shared" si="13"/>
        <v>1.3498743237831866E-2</v>
      </c>
      <c r="U12" s="32">
        <f t="shared" si="13"/>
        <v>0</v>
      </c>
      <c r="V12" s="32">
        <f t="shared" si="13"/>
        <v>1.4691096385176702E-2</v>
      </c>
      <c r="AX12" s="8"/>
      <c r="AY12" s="8"/>
      <c r="BB12" s="8"/>
      <c r="BC12" s="8"/>
    </row>
    <row r="13" spans="1:57" x14ac:dyDescent="0.3">
      <c r="C13" s="319"/>
      <c r="D13" s="151" t="s">
        <v>10</v>
      </c>
      <c r="E13" s="7">
        <f>'Phasediagram PEG 10000 data'!W96</f>
        <v>0.13691669226407471</v>
      </c>
      <c r="F13" s="30">
        <f>'Phasediagram PEG 10000 data'!W105</f>
        <v>1.3271408326777116E-2</v>
      </c>
      <c r="G13" s="7">
        <f>'Phasediagram PEG 10000 data'!X96</f>
        <v>0.19659116876943217</v>
      </c>
      <c r="H13" s="30">
        <f>'Phasediagram PEG 10000 data'!X105</f>
        <v>1.308397036296856E-2</v>
      </c>
      <c r="I13" s="7">
        <f>'Phasediagram PEG 10000 data'!Y96</f>
        <v>0.66649213896649306</v>
      </c>
      <c r="J13" s="49">
        <f>'Phasediagram PEG 10000 data'!Y105</f>
        <v>4.1736306035257848E-4</v>
      </c>
      <c r="K13" s="309"/>
      <c r="L13" s="309"/>
      <c r="M13" s="306"/>
      <c r="N13" s="306"/>
      <c r="O13" s="4">
        <f>'Phasediagram PEG 10000 data'!Z104</f>
        <v>1.0883333333333332</v>
      </c>
      <c r="P13" s="4">
        <f>'Phasediagram PEG 10000 data'!AA104</f>
        <v>2.5324559884296496E-3</v>
      </c>
      <c r="AX13" s="8"/>
      <c r="AY13" s="8"/>
      <c r="BB13" s="8"/>
      <c r="BC13" s="8"/>
    </row>
    <row r="14" spans="1:57" ht="15" thickBot="1" x14ac:dyDescent="0.35">
      <c r="C14" s="322"/>
      <c r="D14" s="230" t="s">
        <v>11</v>
      </c>
      <c r="E14" s="56">
        <f>'Phasediagram PEG 10000 data'!W97</f>
        <v>0.48986493746420751</v>
      </c>
      <c r="F14" s="54">
        <f>'Phasediagram PEG 10000 data'!W114</f>
        <v>2.1629812844043934E-2</v>
      </c>
      <c r="G14" s="56">
        <f>'Phasediagram PEG 10000 data'!X97</f>
        <v>2.0447826056263752E-3</v>
      </c>
      <c r="H14" s="54">
        <f>'Phasediagram PEG 10000 data'!X114</f>
        <v>2.4964616522679933E-2</v>
      </c>
      <c r="I14" s="56">
        <f>'Phasediagram PEG 10000 data'!Y97</f>
        <v>0.50809027993016598</v>
      </c>
      <c r="J14" s="57">
        <f>'Phasediagram PEG 10000 data'!Y114</f>
        <v>3.3350946380460698E-3</v>
      </c>
      <c r="K14" s="309"/>
      <c r="L14" s="309"/>
      <c r="M14" s="307"/>
      <c r="N14" s="307"/>
      <c r="O14" s="75">
        <f>'Phasediagram PEG 10000 data'!Z113</f>
        <v>1.2078666666666666</v>
      </c>
      <c r="P14" s="75">
        <f>'Phasediagram PEG 10000 data'!AA113</f>
        <v>4.1633319989318069E-4</v>
      </c>
      <c r="S14" s="12"/>
      <c r="AX14" s="8"/>
      <c r="AY14" s="8"/>
    </row>
    <row r="15" spans="1:57" x14ac:dyDescent="0.3">
      <c r="C15" s="318">
        <v>5</v>
      </c>
      <c r="D15" s="227" t="s">
        <v>12</v>
      </c>
      <c r="E15" s="28">
        <f>'Phasediagram PEG 10000 data'!W153</f>
        <v>0.3</v>
      </c>
      <c r="F15" s="64">
        <v>1E-3</v>
      </c>
      <c r="G15" s="28">
        <f>'Phasediagram PEG 10000 data'!X153</f>
        <v>0.15</v>
      </c>
      <c r="H15" s="28">
        <v>1E-3</v>
      </c>
      <c r="I15" s="28">
        <f>'Phasediagram PEG 10000 data'!Y153</f>
        <v>0.55000000000000004</v>
      </c>
      <c r="J15" s="28">
        <v>1E-3</v>
      </c>
      <c r="K15" s="311">
        <f>(I16-I17)/(E16-E17)</f>
        <v>-0.43167428377038636</v>
      </c>
      <c r="L15" s="311">
        <f>SQRT(((E16-E17)^2)+((I16-I17)^2))</f>
        <v>0.46488302620867095</v>
      </c>
      <c r="M15" s="305">
        <f t="shared" ref="M15" si="17">(14-4.9)/4.9</f>
        <v>1.857142857142857</v>
      </c>
      <c r="N15" s="305">
        <f t="shared" ref="N15" si="18">(SQRT(((E15-E17)^2)+((G15-G17)^2)))/(SQRT(((E15-E16)^2)+((G15-G16)^2)))</f>
        <v>1.5465075317240999</v>
      </c>
      <c r="O15" s="68"/>
      <c r="P15" s="69"/>
      <c r="S15" s="12"/>
      <c r="AX15" s="8"/>
      <c r="AY15" s="8"/>
    </row>
    <row r="16" spans="1:57" x14ac:dyDescent="0.3">
      <c r="C16" s="319"/>
      <c r="D16" s="151" t="s">
        <v>10</v>
      </c>
      <c r="E16" s="7">
        <f>'Phasediagram PEG 10000 data'!W154</f>
        <v>0.13133916557971617</v>
      </c>
      <c r="F16" s="6">
        <f>'Phasediagram PEG 10000 data'!W163</f>
        <v>2.2767032302116151E-2</v>
      </c>
      <c r="G16" s="7">
        <f>'Phasediagram PEG 10000 data'!X154</f>
        <v>0.24394454389649806</v>
      </c>
      <c r="H16" s="6">
        <f>'Phasediagram PEG 10000 data'!X163</f>
        <v>2.4656726721818387E-2</v>
      </c>
      <c r="I16" s="7">
        <f>'Phasediagram PEG 10000 data'!Y154</f>
        <v>0.62471629052378574</v>
      </c>
      <c r="J16" s="6">
        <f>'Phasediagram PEG 10000 data'!Y163</f>
        <v>2.6724314770835492E-3</v>
      </c>
      <c r="K16" s="312"/>
      <c r="L16" s="312"/>
      <c r="M16" s="306"/>
      <c r="N16" s="306"/>
      <c r="O16" s="70">
        <f>'Phasediagram PEG 10000 data'!Z162</f>
        <v>1.0973333333333333</v>
      </c>
      <c r="P16" s="70">
        <f>'Phasediagram PEG 10000 data'!AA162</f>
        <v>4.6188021535164978E-4</v>
      </c>
      <c r="S16" s="12"/>
      <c r="AX16" s="8"/>
      <c r="AY16" s="8"/>
    </row>
    <row r="17" spans="1:51" ht="15" thickBot="1" x14ac:dyDescent="0.35">
      <c r="C17" s="320"/>
      <c r="D17" s="228" t="s">
        <v>11</v>
      </c>
      <c r="E17" s="29">
        <f>'Phasediagram PEG 10000 data'!W155</f>
        <v>0.55815312075381984</v>
      </c>
      <c r="F17" s="65">
        <f>'Phasediagram PEG 10000 data'!W172</f>
        <v>1.3498743237831866E-2</v>
      </c>
      <c r="G17" s="29">
        <v>0</v>
      </c>
      <c r="H17" s="65">
        <f>'Phasediagram PEG 10000 data'!X172</f>
        <v>1.4691096385176702E-2</v>
      </c>
      <c r="I17" s="29">
        <f>'Phasediagram PEG 10000 data'!Y155</f>
        <v>0.44047168212079874</v>
      </c>
      <c r="J17" s="65">
        <f>'Phasediagram PEG 10000 data'!Y172</f>
        <v>1.2855101699589323E-3</v>
      </c>
      <c r="K17" s="313"/>
      <c r="L17" s="313"/>
      <c r="M17" s="307"/>
      <c r="N17" s="307"/>
      <c r="O17" s="71">
        <f>'Phasediagram PEG 10000 data'!Z171</f>
        <v>1.2295999999999998</v>
      </c>
      <c r="P17" s="71">
        <f>'Phasediagram PEG 10000 data'!AA171</f>
        <v>8.5346353173407757E-3</v>
      </c>
      <c r="S17" s="12"/>
      <c r="AX17" s="8"/>
      <c r="AY17" s="8"/>
    </row>
    <row r="18" spans="1:51" x14ac:dyDescent="0.3">
      <c r="C18" s="22"/>
      <c r="D18" s="17"/>
      <c r="E18" s="21"/>
      <c r="I18" s="21"/>
      <c r="J18" s="63" t="s">
        <v>74</v>
      </c>
      <c r="K18" s="53">
        <f>AVERAGE(K3:K17)</f>
        <v>-0.47915181627392095</v>
      </c>
      <c r="L18" s="45"/>
      <c r="M18" s="45"/>
      <c r="N18" s="66"/>
      <c r="O18" s="19"/>
      <c r="P18" s="19"/>
      <c r="S18" s="12"/>
      <c r="AX18" s="8"/>
      <c r="AY18" s="8"/>
    </row>
    <row r="19" spans="1:51" x14ac:dyDescent="0.3">
      <c r="C19" s="22"/>
      <c r="D19" s="17"/>
      <c r="E19" s="21"/>
      <c r="I19" s="21"/>
      <c r="J19" s="2" t="s">
        <v>66</v>
      </c>
      <c r="K19" s="7">
        <f>_xlfn.STDEV.S(K3:K17)</f>
        <v>4.8241671865882442E-2</v>
      </c>
      <c r="L19" s="15"/>
      <c r="M19" s="15"/>
      <c r="N19" s="66"/>
      <c r="O19" s="19"/>
      <c r="P19" s="19"/>
      <c r="AX19" s="8"/>
      <c r="AY19" s="8"/>
    </row>
    <row r="20" spans="1:51" ht="18.600000000000001" thickBot="1" x14ac:dyDescent="0.4">
      <c r="A20" s="223" t="s">
        <v>67</v>
      </c>
      <c r="C20" s="22"/>
      <c r="D20" s="17"/>
      <c r="E20" s="21"/>
      <c r="F20" s="21"/>
      <c r="G20" s="21"/>
      <c r="H20" s="21"/>
      <c r="I20" s="21"/>
      <c r="J20" s="21"/>
      <c r="K20" s="21"/>
      <c r="L20" s="21"/>
      <c r="M20" s="21"/>
      <c r="N20" s="66"/>
      <c r="O20" s="19"/>
      <c r="P20" s="19"/>
      <c r="AX20" s="8"/>
      <c r="AY20" s="8"/>
    </row>
    <row r="21" spans="1:51" ht="15" thickBot="1" x14ac:dyDescent="0.35">
      <c r="C21" s="233" t="s">
        <v>96</v>
      </c>
      <c r="D21" s="234" t="s">
        <v>97</v>
      </c>
      <c r="E21" s="236" t="s">
        <v>17</v>
      </c>
      <c r="F21" s="236" t="s">
        <v>66</v>
      </c>
      <c r="G21" s="236" t="s">
        <v>18</v>
      </c>
      <c r="H21" s="236" t="s">
        <v>66</v>
      </c>
      <c r="I21" s="236" t="s">
        <v>44</v>
      </c>
      <c r="J21" s="236" t="s">
        <v>66</v>
      </c>
      <c r="K21" s="237" t="s">
        <v>71</v>
      </c>
      <c r="L21" s="234" t="s">
        <v>72</v>
      </c>
      <c r="M21" s="234" t="s">
        <v>70</v>
      </c>
      <c r="N21" s="238" t="s">
        <v>73</v>
      </c>
      <c r="O21" s="239" t="s">
        <v>69</v>
      </c>
      <c r="P21" s="239" t="s">
        <v>66</v>
      </c>
      <c r="R21" s="240"/>
      <c r="S21" s="236" t="s">
        <v>17</v>
      </c>
      <c r="T21" s="236" t="s">
        <v>66</v>
      </c>
      <c r="U21" s="236" t="s">
        <v>18</v>
      </c>
      <c r="V21" s="243" t="s">
        <v>66</v>
      </c>
      <c r="AX21" s="8"/>
      <c r="AY21" s="8"/>
    </row>
    <row r="22" spans="1:51" x14ac:dyDescent="0.3">
      <c r="C22" s="316">
        <v>1</v>
      </c>
      <c r="D22" s="92" t="s">
        <v>12</v>
      </c>
      <c r="E22" s="7">
        <f>'Phasediagram PEG 12000 data'!W5</f>
        <v>0.24975222993062438</v>
      </c>
      <c r="F22" s="7">
        <v>1E-3</v>
      </c>
      <c r="G22" s="7">
        <f>'Phasediagram PEG 12000 data'!X5</f>
        <v>4.9950445986124879E-2</v>
      </c>
      <c r="H22" s="7">
        <v>1E-3</v>
      </c>
      <c r="I22" s="7">
        <f>'Phasediagram PEG 12000 data'!Y5</f>
        <v>0.70029732408325074</v>
      </c>
      <c r="J22" s="7">
        <v>1E-3</v>
      </c>
      <c r="K22" s="308">
        <f>(G23-G24)/(E23-E24)</f>
        <v>-0.41971695393229491</v>
      </c>
      <c r="L22" s="308">
        <f>SQRT(((E23-E24)^2)+((G23-G24)^2))</f>
        <v>0.18256249595718882</v>
      </c>
      <c r="M22" s="305">
        <f>(9.5-4)/4</f>
        <v>1.375</v>
      </c>
      <c r="N22" s="305">
        <f>(SQRT(((E22-E24)^2)+((G22-G24)^2)))/(SQRT(((E22-E23)^2)+((G22-G23)^2)))</f>
        <v>1.4206384857270773</v>
      </c>
      <c r="O22" s="76"/>
      <c r="P22" s="76"/>
      <c r="R22" s="241" t="str">
        <f>D23</f>
        <v>Top</v>
      </c>
      <c r="S22" s="34">
        <f>E23</f>
        <v>0.17720705010776616</v>
      </c>
      <c r="T22" s="34">
        <f>F23</f>
        <v>8.8993276985716002E-3</v>
      </c>
      <c r="U22" s="34">
        <f>G23</f>
        <v>7.1653624479604452E-2</v>
      </c>
      <c r="V22" s="35">
        <f>H23</f>
        <v>1.113975451715027E-2</v>
      </c>
      <c r="AX22" s="8"/>
      <c r="AY22" s="8"/>
    </row>
    <row r="23" spans="1:51" x14ac:dyDescent="0.3">
      <c r="C23" s="316"/>
      <c r="D23" s="92" t="s">
        <v>10</v>
      </c>
      <c r="E23" s="7">
        <f>'Phasediagram PEG 12000 data'!W6</f>
        <v>0.17720705010776616</v>
      </c>
      <c r="F23" s="7">
        <f>'Phasediagram PEG 12000 data'!W15</f>
        <v>8.8993276985716002E-3</v>
      </c>
      <c r="G23" s="7">
        <f>'Phasediagram PEG 12000 data'!X6</f>
        <v>7.1653624479604452E-2</v>
      </c>
      <c r="H23" s="7">
        <f>'Phasediagram PEG 12000 data'!X15</f>
        <v>1.113975451715027E-2</v>
      </c>
      <c r="I23" s="7">
        <f>'Phasediagram PEG 12000 data'!Y6</f>
        <v>0.7511393254126294</v>
      </c>
      <c r="J23" s="7">
        <f>'Phasediagram PEG 12000 data'!Y15</f>
        <v>2.3645323501731551E-3</v>
      </c>
      <c r="K23" s="309"/>
      <c r="L23" s="309"/>
      <c r="M23" s="306"/>
      <c r="N23" s="306"/>
      <c r="O23" s="76">
        <f>'Phasediagram PEG 12000 data'!Z14</f>
        <v>1.0774666666666668</v>
      </c>
      <c r="P23" s="76">
        <f>'Phasediagram PEG 12000 data'!AA14</f>
        <v>1.1372481406154637E-3</v>
      </c>
      <c r="R23" s="241" t="str">
        <f t="shared" ref="R23" si="19">D24</f>
        <v>Bottom</v>
      </c>
      <c r="S23" s="34">
        <f>E24</f>
        <v>0.34554341064230315</v>
      </c>
      <c r="T23" s="34">
        <f>F24</f>
        <v>1.6711601382036355E-3</v>
      </c>
      <c r="U23" s="34">
        <f>G24</f>
        <v>1E-3</v>
      </c>
      <c r="V23" s="35">
        <f>H24</f>
        <v>1.716228676927848E-3</v>
      </c>
      <c r="AX23" s="8"/>
      <c r="AY23" s="8"/>
    </row>
    <row r="24" spans="1:51" ht="15" thickBot="1" x14ac:dyDescent="0.35">
      <c r="C24" s="316"/>
      <c r="D24" s="92" t="s">
        <v>11</v>
      </c>
      <c r="E24" s="7">
        <f>'Phasediagram PEG 12000 data'!W7</f>
        <v>0.34554341064230315</v>
      </c>
      <c r="F24" s="7">
        <f>'Phasediagram PEG 12000 data'!W24</f>
        <v>1.6711601382036355E-3</v>
      </c>
      <c r="G24" s="7">
        <f>'Phasediagram PEG 12000 data'!X7</f>
        <v>1E-3</v>
      </c>
      <c r="H24" s="7">
        <f>'Phasediagram PEG 12000 data'!X24</f>
        <v>1.716228676927848E-3</v>
      </c>
      <c r="I24" s="7">
        <f>'Phasediagram PEG 12000 data'!Y7</f>
        <v>0.65082524550651433</v>
      </c>
      <c r="J24" s="7">
        <f>'Phasediagram PEG 12000 data'!Y24</f>
        <v>1.6606708824955961E-3</v>
      </c>
      <c r="K24" s="310"/>
      <c r="L24" s="310"/>
      <c r="M24" s="307"/>
      <c r="N24" s="307"/>
      <c r="O24" s="76">
        <f>'Phasediagram PEG 12000 data'!Z23</f>
        <v>1.141</v>
      </c>
      <c r="P24" s="76">
        <f>'Phasediagram PEG 12000 data'!AA23</f>
        <v>3.104834939251999E-3</v>
      </c>
      <c r="R24" s="241" t="str">
        <f t="shared" ref="R24:V25" si="20">D26</f>
        <v>Top</v>
      </c>
      <c r="S24" s="34">
        <f t="shared" si="20"/>
        <v>0.15700016117635504</v>
      </c>
      <c r="T24" s="34">
        <f t="shared" si="20"/>
        <v>3.8102257089076626E-3</v>
      </c>
      <c r="U24" s="34">
        <f t="shared" si="20"/>
        <v>0.13116430539687685</v>
      </c>
      <c r="V24" s="35">
        <f t="shared" si="20"/>
        <v>2.8345958453633788E-3</v>
      </c>
    </row>
    <row r="25" spans="1:51" x14ac:dyDescent="0.3">
      <c r="C25" s="316">
        <v>2</v>
      </c>
      <c r="D25" s="92" t="s">
        <v>12</v>
      </c>
      <c r="E25" s="7">
        <f>'Phasediagram PEG 12000 data'!W31</f>
        <v>0.25172074729596855</v>
      </c>
      <c r="F25" s="7">
        <v>1E-3</v>
      </c>
      <c r="G25" s="7">
        <f>'Phasediagram PEG 12000 data'!X31</f>
        <v>9.9311701081612594E-2</v>
      </c>
      <c r="H25" s="7">
        <v>1E-3</v>
      </c>
      <c r="I25" s="7">
        <f>'Phasediagram PEG 12000 data'!Y31</f>
        <v>0.64896755162241893</v>
      </c>
      <c r="J25" s="7">
        <v>1E-3</v>
      </c>
      <c r="K25" s="308">
        <f>(G26-G27)/(E26-E27)</f>
        <v>-0.47831767895372357</v>
      </c>
      <c r="L25" s="308">
        <f t="shared" ref="L25" si="21">SQRT(((E26-E27)^2)+((G26-G27)^2))</f>
        <v>0.30165735444438879</v>
      </c>
      <c r="M25" s="305">
        <f>(9.45-3.3)/3.3</f>
        <v>1.8636363636363635</v>
      </c>
      <c r="N25" s="305">
        <f t="shared" ref="N25" si="22">(SQRT(((E25-E27)^2)+((G25-G27)^2)))/(SQRT(((E25-E26)^2)+((G25-G26)^2)))</f>
        <v>2.0296396567201973</v>
      </c>
      <c r="O25" s="76"/>
      <c r="P25" s="69"/>
      <c r="R25" s="241" t="str">
        <f t="shared" si="20"/>
        <v>Bottom</v>
      </c>
      <c r="S25" s="34">
        <f t="shared" si="20"/>
        <v>0.42912956622280746</v>
      </c>
      <c r="T25" s="34">
        <f t="shared" si="20"/>
        <v>2.1439710211055056E-2</v>
      </c>
      <c r="U25" s="34">
        <f t="shared" si="20"/>
        <v>1E-3</v>
      </c>
      <c r="V25" s="35">
        <f t="shared" si="20"/>
        <v>2.3367562882452106E-2</v>
      </c>
    </row>
    <row r="26" spans="1:51" x14ac:dyDescent="0.3">
      <c r="C26" s="316"/>
      <c r="D26" s="92" t="s">
        <v>10</v>
      </c>
      <c r="E26" s="7">
        <f>'Phasediagram PEG 12000 data'!W32</f>
        <v>0.15700016117635504</v>
      </c>
      <c r="F26" s="7">
        <f>'Phasediagram PEG 12000 data'!W41</f>
        <v>3.8102257089076626E-3</v>
      </c>
      <c r="G26" s="7">
        <f>'Phasediagram PEG 12000 data'!X32</f>
        <v>0.13116430539687685</v>
      </c>
      <c r="H26" s="7">
        <f>'Phasediagram PEG 12000 data'!X41</f>
        <v>2.8345958453633788E-3</v>
      </c>
      <c r="I26" s="7">
        <f>'Phasediagram PEG 12000 data'!Y32</f>
        <v>0.71183553342676797</v>
      </c>
      <c r="J26" s="7">
        <f>'Phasediagram PEG 12000 data'!Y41</f>
        <v>9.8162659077906237E-4</v>
      </c>
      <c r="K26" s="309"/>
      <c r="L26" s="309"/>
      <c r="M26" s="306"/>
      <c r="N26" s="306"/>
      <c r="O26" s="76">
        <f>'Phasediagram PEG 12000 data'!Z40</f>
        <v>1.0764666666666667</v>
      </c>
      <c r="P26" s="76">
        <f>'Phasediagram PEG 12000 data'!AA40</f>
        <v>2.6025628394590198E-3</v>
      </c>
      <c r="R26" s="241" t="str">
        <f t="shared" ref="R26:V27" si="23">D29</f>
        <v>Top</v>
      </c>
      <c r="S26" s="34">
        <f t="shared" si="23"/>
        <v>0.1273460846302151</v>
      </c>
      <c r="T26" s="34">
        <f t="shared" si="23"/>
        <v>8.9856538729373367E-3</v>
      </c>
      <c r="U26" s="34">
        <f t="shared" si="23"/>
        <v>0.24977483246073254</v>
      </c>
      <c r="V26" s="35">
        <f t="shared" si="23"/>
        <v>1.2260439706692014E-2</v>
      </c>
    </row>
    <row r="27" spans="1:51" ht="15" thickBot="1" x14ac:dyDescent="0.35">
      <c r="C27" s="316"/>
      <c r="D27" s="92" t="s">
        <v>11</v>
      </c>
      <c r="E27" s="7">
        <f>'Phasediagram PEG 12000 data'!W33</f>
        <v>0.42912956622280746</v>
      </c>
      <c r="F27" s="7">
        <f>'Phasediagram PEG 12000 data'!W50</f>
        <v>2.1439710211055056E-2</v>
      </c>
      <c r="G27" s="7">
        <f>'Phasediagram PEG 12000 data'!X33</f>
        <v>1E-3</v>
      </c>
      <c r="H27" s="7">
        <f>'Phasediagram PEG 12000 data'!X50</f>
        <v>2.3367562882452106E-2</v>
      </c>
      <c r="I27" s="7">
        <f>'Phasediagram PEG 12000 data'!Y33</f>
        <v>0.55560249270503437</v>
      </c>
      <c r="J27" s="7">
        <f>'Phasediagram PEG 12000 data'!Y50</f>
        <v>2.0426384707072907E-3</v>
      </c>
      <c r="K27" s="310"/>
      <c r="L27" s="310"/>
      <c r="M27" s="307"/>
      <c r="N27" s="307"/>
      <c r="O27" s="76">
        <f>'Phasediagram PEG 12000 data'!Z49</f>
        <v>1.1735333333333333</v>
      </c>
      <c r="P27" s="76">
        <f>'Phasediagram PEG 12000 data'!AA49</f>
        <v>3.3306655991458189E-3</v>
      </c>
      <c r="R27" s="241" t="str">
        <f t="shared" si="23"/>
        <v>Bottom</v>
      </c>
      <c r="S27" s="34">
        <f t="shared" si="23"/>
        <v>0.56385117312134425</v>
      </c>
      <c r="T27" s="34">
        <f t="shared" si="23"/>
        <v>3.0153006806095919E-2</v>
      </c>
      <c r="U27" s="34">
        <f t="shared" si="23"/>
        <v>1E-3</v>
      </c>
      <c r="V27" s="35">
        <f t="shared" si="23"/>
        <v>3.0599044695490751E-2</v>
      </c>
    </row>
    <row r="28" spans="1:51" x14ac:dyDescent="0.3">
      <c r="C28" s="316">
        <v>3</v>
      </c>
      <c r="D28" s="92" t="s">
        <v>12</v>
      </c>
      <c r="E28" s="7">
        <f>'Phasediagram PEG 12000 data'!W57</f>
        <v>0.29940119760479045</v>
      </c>
      <c r="F28" s="7">
        <v>1E-3</v>
      </c>
      <c r="G28" s="7">
        <f>'Phasediagram PEG 12000 data'!X57</f>
        <v>0.14990019960079842</v>
      </c>
      <c r="H28" s="7">
        <v>1E-3</v>
      </c>
      <c r="I28" s="7">
        <f>'Phasediagram PEG 12000 data'!Y57</f>
        <v>0.55069860279441107</v>
      </c>
      <c r="J28" s="7">
        <v>1E-3</v>
      </c>
      <c r="K28" s="308">
        <f t="shared" ref="K28" si="24">(G29-G30)/(E29-E30)</f>
        <v>-0.56992424377153228</v>
      </c>
      <c r="L28" s="308">
        <f t="shared" ref="L28" si="25">SQRT(((E29-E30)^2)+((G29-G30)^2))</f>
        <v>0.50241975433347963</v>
      </c>
      <c r="M28" s="305">
        <f>(8.95-3.4)/3.4</f>
        <v>1.6323529411764703</v>
      </c>
      <c r="N28" s="305">
        <f t="shared" ref="N28" si="26">(SQRT(((E28-E30)^2)+((G28-G30)^2)))/(SQRT(((E28-E29)^2)+((G28-G29)^2)))</f>
        <v>1.5255110089747395</v>
      </c>
      <c r="O28" s="76"/>
      <c r="P28" s="69"/>
      <c r="R28" s="241" t="str">
        <f t="shared" ref="R28:V29" si="27">D32</f>
        <v>Top</v>
      </c>
      <c r="S28" s="34">
        <f t="shared" si="27"/>
        <v>0.11217741051405894</v>
      </c>
      <c r="T28" s="34">
        <f t="shared" si="27"/>
        <v>2.7918980911004337E-3</v>
      </c>
      <c r="U28" s="34">
        <f t="shared" si="27"/>
        <v>0.31725463897325273</v>
      </c>
      <c r="V28" s="35">
        <f t="shared" si="27"/>
        <v>2.7922400337770225E-3</v>
      </c>
    </row>
    <row r="29" spans="1:51" x14ac:dyDescent="0.3">
      <c r="C29" s="316"/>
      <c r="D29" s="92" t="s">
        <v>10</v>
      </c>
      <c r="E29" s="7">
        <f>'Phasediagram PEG 12000 data'!W58</f>
        <v>0.1273460846302151</v>
      </c>
      <c r="F29" s="7">
        <f>'Phasediagram PEG 12000 data'!W67</f>
        <v>8.9856538729373367E-3</v>
      </c>
      <c r="G29" s="7">
        <f>'Phasediagram PEG 12000 data'!X58</f>
        <v>0.24977483246073254</v>
      </c>
      <c r="H29" s="7">
        <f>'Phasediagram PEG 12000 data'!X67</f>
        <v>1.2260439706692014E-2</v>
      </c>
      <c r="I29" s="7">
        <f>'Phasediagram PEG 12000 data'!Y58</f>
        <v>0.62287908290905236</v>
      </c>
      <c r="J29" s="7">
        <f>'Phasediagram PEG 12000 data'!Y67</f>
        <v>3.3160151345188039E-3</v>
      </c>
      <c r="K29" s="309"/>
      <c r="L29" s="309"/>
      <c r="M29" s="306"/>
      <c r="N29" s="306"/>
      <c r="O29" s="76">
        <f>'Phasediagram PEG 12000 data'!Z66</f>
        <v>1.0888666666666669</v>
      </c>
      <c r="P29" s="76">
        <f>'Phasediagram PEG 12000 data'!AA66</f>
        <v>4.888080741286248E-3</v>
      </c>
      <c r="R29" s="241" t="str">
        <f t="shared" si="27"/>
        <v>Bottom</v>
      </c>
      <c r="S29" s="34">
        <f t="shared" si="27"/>
        <v>0.62623819397190306</v>
      </c>
      <c r="T29" s="34">
        <f t="shared" si="27"/>
        <v>1.2206521335958367E-2</v>
      </c>
      <c r="U29" s="34">
        <f t="shared" si="27"/>
        <v>1E-3</v>
      </c>
      <c r="V29" s="35">
        <f t="shared" si="27"/>
        <v>9.5819862998198207E-3</v>
      </c>
    </row>
    <row r="30" spans="1:51" ht="15" thickBot="1" x14ac:dyDescent="0.35">
      <c r="C30" s="316"/>
      <c r="D30" s="92" t="s">
        <v>11</v>
      </c>
      <c r="E30" s="7">
        <f>'Phasediagram PEG 12000 data'!W59</f>
        <v>0.56385117312134425</v>
      </c>
      <c r="F30" s="7">
        <f>'Phasediagram PEG 12000 data'!W76</f>
        <v>3.0153006806095919E-2</v>
      </c>
      <c r="G30" s="7">
        <f>'Phasediagram PEG 12000 data'!X59</f>
        <v>1E-3</v>
      </c>
      <c r="H30" s="7">
        <f>'Phasediagram PEG 12000 data'!X76</f>
        <v>3.0599044695490751E-2</v>
      </c>
      <c r="I30" s="7">
        <f>'Phasediagram PEG 12000 data'!Y59</f>
        <v>0.42979546001220759</v>
      </c>
      <c r="J30" s="7">
        <f>'Phasediagram PEG 12000 data'!Y76</f>
        <v>2.981377023668848E-3</v>
      </c>
      <c r="K30" s="310"/>
      <c r="L30" s="310"/>
      <c r="M30" s="307"/>
      <c r="N30" s="307"/>
      <c r="O30" s="76">
        <f>'Phasediagram PEG 12000 data'!Z75</f>
        <v>1.2278666666666667</v>
      </c>
      <c r="P30" s="76">
        <f>'Phasediagram PEG 12000 data'!AA75</f>
        <v>8.6286344999271826E-3</v>
      </c>
      <c r="R30" s="241" t="s">
        <v>10</v>
      </c>
      <c r="S30" s="30">
        <f t="shared" ref="S30:V31" si="28">E35</f>
        <v>0.15213594567873995</v>
      </c>
      <c r="T30" s="30">
        <f t="shared" si="28"/>
        <v>9.7433656926237747E-3</v>
      </c>
      <c r="U30" s="30">
        <f t="shared" si="28"/>
        <v>0.17602279632989112</v>
      </c>
      <c r="V30" s="31">
        <f t="shared" si="28"/>
        <v>9.6012206840775105E-3</v>
      </c>
    </row>
    <row r="31" spans="1:51" ht="15" thickBot="1" x14ac:dyDescent="0.35">
      <c r="C31" s="316">
        <v>4</v>
      </c>
      <c r="D31" s="92" t="s">
        <v>12</v>
      </c>
      <c r="E31" s="7">
        <f>'Phasediagram PEG 12000 data'!W83</f>
        <v>0.3</v>
      </c>
      <c r="F31" s="7">
        <v>1E-3</v>
      </c>
      <c r="G31" s="7">
        <f>'Phasediagram PEG 12000 data'!X83</f>
        <v>0.2</v>
      </c>
      <c r="H31" s="7">
        <v>1E-3</v>
      </c>
      <c r="I31" s="7">
        <f>'Phasediagram PEG 12000 data'!Y83</f>
        <v>0.5</v>
      </c>
      <c r="J31" s="7">
        <v>1E-3</v>
      </c>
      <c r="K31" s="308">
        <f t="shared" ref="K31" si="29">(G32-G33)/(E32-E33)</f>
        <v>-0.61520864681790577</v>
      </c>
      <c r="L31" s="308">
        <f t="shared" ref="L31" si="30">SQRT(((E32-E33)^2)+((G32-G33)^2))</f>
        <v>0.6035523885806392</v>
      </c>
      <c r="M31" s="305">
        <f>(8.95-3)/3</f>
        <v>1.9833333333333332</v>
      </c>
      <c r="N31" s="305">
        <f t="shared" ref="N31" si="31">(SQRT(((E31-E33)^2)+((G31-G33)^2)))/(SQRT(((E31-E32)^2)+((G31-G32)^2)))</f>
        <v>1.7258833096869084</v>
      </c>
      <c r="O31" s="76"/>
      <c r="P31" s="74"/>
      <c r="R31" s="242" t="s">
        <v>11</v>
      </c>
      <c r="S31" s="32">
        <f t="shared" si="28"/>
        <v>0.47410315860533686</v>
      </c>
      <c r="T31" s="32">
        <f t="shared" si="28"/>
        <v>6.0159525913579103E-3</v>
      </c>
      <c r="U31" s="32">
        <f t="shared" si="28"/>
        <v>1E-3</v>
      </c>
      <c r="V31" s="33">
        <f t="shared" si="28"/>
        <v>9.3172366401192506E-3</v>
      </c>
    </row>
    <row r="32" spans="1:51" x14ac:dyDescent="0.3">
      <c r="C32" s="316"/>
      <c r="D32" s="92" t="s">
        <v>10</v>
      </c>
      <c r="E32" s="7">
        <f>'Phasediagram PEG 12000 data'!W84</f>
        <v>0.11217741051405894</v>
      </c>
      <c r="F32" s="7">
        <f>'Phasediagram PEG 12000 data'!W93</f>
        <v>2.7918980911004337E-3</v>
      </c>
      <c r="G32" s="7">
        <f>'Phasediagram PEG 12000 data'!X84</f>
        <v>0.31725463897325273</v>
      </c>
      <c r="H32" s="7">
        <f>'Phasediagram PEG 12000 data'!X93</f>
        <v>2.7922400337770225E-3</v>
      </c>
      <c r="I32" s="7">
        <f>'Phasediagram PEG 12000 data'!Y84</f>
        <v>0.57056795051268827</v>
      </c>
      <c r="J32" s="7">
        <f>'Phasediagram PEG 12000 data'!Y93</f>
        <v>4.1319406004257652E-4</v>
      </c>
      <c r="K32" s="309"/>
      <c r="L32" s="309"/>
      <c r="M32" s="306"/>
      <c r="N32" s="306"/>
      <c r="O32" s="76">
        <f>'Phasediagram PEG 12000 data'!Z92</f>
        <v>1.0706666666666667</v>
      </c>
      <c r="P32" s="76">
        <f>'Phasediagram PEG 12000 data'!AA92</f>
        <v>4.0513372277969483E-3</v>
      </c>
    </row>
    <row r="33" spans="1:22" ht="15" thickBot="1" x14ac:dyDescent="0.35">
      <c r="C33" s="316"/>
      <c r="D33" s="92" t="s">
        <v>11</v>
      </c>
      <c r="E33" s="7">
        <f>'Phasediagram PEG 12000 data'!W85</f>
        <v>0.62623819397190306</v>
      </c>
      <c r="F33" s="7">
        <f>'Phasediagram PEG 12000 data'!W102</f>
        <v>1.2206521335958367E-2</v>
      </c>
      <c r="G33" s="7">
        <f>'Phasediagram PEG 12000 data'!X85</f>
        <v>1E-3</v>
      </c>
      <c r="H33" s="7">
        <f>'Phasediagram PEG 12000 data'!X102</f>
        <v>9.5819862998198207E-3</v>
      </c>
      <c r="I33" s="7">
        <f>'Phasediagram PEG 12000 data'!Y85</f>
        <v>0.35372139423902266</v>
      </c>
      <c r="J33" s="7">
        <f>'Phasediagram PEG 12000 data'!Y102</f>
        <v>2.9663838081158628E-3</v>
      </c>
      <c r="K33" s="310"/>
      <c r="L33" s="310"/>
      <c r="M33" s="307"/>
      <c r="N33" s="307"/>
      <c r="O33" s="76">
        <f>'Phasediagram PEG 12000 data'!Z101</f>
        <v>1.2356</v>
      </c>
      <c r="P33" s="76">
        <f>'Phasediagram PEG 12000 data'!AA101</f>
        <v>7.8590839160808057E-2</v>
      </c>
    </row>
    <row r="34" spans="1:22" x14ac:dyDescent="0.3">
      <c r="C34" s="316">
        <v>5</v>
      </c>
      <c r="D34" s="92" t="s">
        <v>12</v>
      </c>
      <c r="E34" s="7">
        <f>'Phasediagram PEG 12000 data'!W114</f>
        <v>0.30029970029970027</v>
      </c>
      <c r="F34" s="7">
        <v>1E-3</v>
      </c>
      <c r="G34" s="7">
        <f>'Phasediagram PEG 12000 data'!X114</f>
        <v>9.9900099900099903E-2</v>
      </c>
      <c r="H34" s="7">
        <v>1E-3</v>
      </c>
      <c r="I34" s="7">
        <f>'Phasediagram PEG 12000 data'!Y114</f>
        <v>0.59980019980019983</v>
      </c>
      <c r="J34" s="7">
        <v>1E-3</v>
      </c>
      <c r="K34" s="308">
        <f t="shared" ref="K34" si="32">(G35-G36)/(E35-E36)</f>
        <v>-0.5436044084706021</v>
      </c>
      <c r="L34" s="308">
        <f t="shared" ref="L34" si="33">SQRT(((E35-E36)^2)+((G35-G36)^2))</f>
        <v>0.36646400291823361</v>
      </c>
      <c r="M34" s="305">
        <f>5/4</f>
        <v>1.25</v>
      </c>
      <c r="N34" s="305">
        <f t="shared" ref="N34" si="34">(SQRT(((E34-E36)^2)+((G34-G36)^2)))/(SQRT(((E34-E35)^2)+((G34-G35)^2)))</f>
        <v>1.2004947987676233</v>
      </c>
      <c r="O34" s="76"/>
      <c r="P34" s="69"/>
    </row>
    <row r="35" spans="1:22" x14ac:dyDescent="0.3">
      <c r="C35" s="316"/>
      <c r="D35" s="92" t="s">
        <v>10</v>
      </c>
      <c r="E35" s="7">
        <f>'Phasediagram PEG 12000 data'!W115</f>
        <v>0.15213594567873995</v>
      </c>
      <c r="F35" s="7">
        <f>'Phasediagram PEG 12000 data'!W124</f>
        <v>9.7433656926237747E-3</v>
      </c>
      <c r="G35" s="7">
        <f>'Phasediagram PEG 12000 data'!X115</f>
        <v>0.17602279632989112</v>
      </c>
      <c r="H35" s="7">
        <f>'Phasediagram PEG 12000 data'!X124</f>
        <v>9.6012206840775105E-3</v>
      </c>
      <c r="I35" s="7">
        <f>'Phasediagram PEG 12000 data'!Y115</f>
        <v>0.67184125799136896</v>
      </c>
      <c r="J35" s="7">
        <f>'Phasediagram PEG 12000 data'!Y124</f>
        <v>7.1100575817605006E-4</v>
      </c>
      <c r="K35" s="309"/>
      <c r="L35" s="309"/>
      <c r="M35" s="306"/>
      <c r="N35" s="306"/>
      <c r="O35" s="76">
        <f>'Phasediagram PEG 12000 data'!Z123</f>
        <v>1.0854666666666668</v>
      </c>
      <c r="P35" s="76">
        <f>'Phasediagram PEG 12000 data'!AA123</f>
        <v>4.22532050066421E-3</v>
      </c>
    </row>
    <row r="36" spans="1:22" ht="15" thickBot="1" x14ac:dyDescent="0.35">
      <c r="C36" s="317"/>
      <c r="D36" s="235" t="s">
        <v>11</v>
      </c>
      <c r="E36" s="29">
        <f>'Phasediagram PEG 12000 data'!W116</f>
        <v>0.47410315860533686</v>
      </c>
      <c r="F36" s="29">
        <f>'Phasediagram PEG 12000 data'!W133</f>
        <v>6.0159525913579103E-3</v>
      </c>
      <c r="G36" s="29">
        <f>'Phasediagram PEG 12000 data'!X116</f>
        <v>1E-3</v>
      </c>
      <c r="H36" s="29">
        <f>'Phasediagram PEG 12000 data'!X133</f>
        <v>9.3172366401192506E-3</v>
      </c>
      <c r="I36" s="29">
        <f>'Phasediagram PEG 12000 data'!Y116</f>
        <v>0.50565605246426637</v>
      </c>
      <c r="J36" s="56">
        <f>'Phasediagram PEG 12000 data'!Y133</f>
        <v>3.4742274679993731E-3</v>
      </c>
      <c r="K36" s="309"/>
      <c r="L36" s="310"/>
      <c r="M36" s="307"/>
      <c r="N36" s="307"/>
      <c r="O36" s="77">
        <f>'Phasediagram PEG 12000 data'!Z132</f>
        <v>1.1629333333333334</v>
      </c>
      <c r="P36" s="77">
        <f>'Phasediagram PEG 12000 data'!AA132</f>
        <v>7.9273282594663264E-2</v>
      </c>
    </row>
    <row r="37" spans="1:22" x14ac:dyDescent="0.3">
      <c r="J37" s="2" t="s">
        <v>74</v>
      </c>
      <c r="K37" s="30">
        <f>AVERAGE(K22:K36)</f>
        <v>-0.52535438638921172</v>
      </c>
      <c r="L37" s="45"/>
      <c r="M37" s="45"/>
      <c r="N37" s="67"/>
      <c r="O37" s="3"/>
      <c r="P37" s="3"/>
    </row>
    <row r="38" spans="1:22" x14ac:dyDescent="0.3">
      <c r="J38" s="2" t="s">
        <v>66</v>
      </c>
      <c r="K38" s="7">
        <f>_xlfn.STDEV.S(K22:K36)</f>
        <v>7.7079573482052119E-2</v>
      </c>
      <c r="L38" s="15"/>
      <c r="M38" s="15"/>
      <c r="N38" s="67"/>
      <c r="O38" s="3"/>
      <c r="P38" s="3"/>
    </row>
    <row r="39" spans="1:22" ht="18.600000000000001" thickBot="1" x14ac:dyDescent="0.4">
      <c r="A39" s="224" t="s">
        <v>68</v>
      </c>
      <c r="C39" s="22"/>
      <c r="D39" s="17"/>
      <c r="E39" s="21"/>
      <c r="F39" s="21"/>
      <c r="G39" s="21"/>
      <c r="H39" s="21"/>
      <c r="I39" s="21"/>
      <c r="J39" s="21"/>
      <c r="K39" s="21"/>
      <c r="L39" s="21"/>
      <c r="M39" s="21"/>
      <c r="N39" s="66"/>
      <c r="O39" s="19"/>
      <c r="P39" s="19"/>
    </row>
    <row r="40" spans="1:22" ht="15" thickBot="1" x14ac:dyDescent="0.35">
      <c r="C40" s="249" t="s">
        <v>96</v>
      </c>
      <c r="D40" s="250" t="s">
        <v>97</v>
      </c>
      <c r="E40" s="252" t="s">
        <v>17</v>
      </c>
      <c r="F40" s="252" t="s">
        <v>66</v>
      </c>
      <c r="G40" s="252" t="s">
        <v>18</v>
      </c>
      <c r="H40" s="252" t="s">
        <v>66</v>
      </c>
      <c r="I40" s="252" t="s">
        <v>44</v>
      </c>
      <c r="J40" s="252" t="s">
        <v>66</v>
      </c>
      <c r="K40" s="253" t="s">
        <v>71</v>
      </c>
      <c r="L40" s="250" t="s">
        <v>72</v>
      </c>
      <c r="M40" s="250" t="s">
        <v>70</v>
      </c>
      <c r="N40" s="254" t="s">
        <v>73</v>
      </c>
      <c r="O40" s="255" t="s">
        <v>69</v>
      </c>
      <c r="P40" s="255" t="s">
        <v>66</v>
      </c>
      <c r="R40" s="256"/>
      <c r="S40" s="252" t="s">
        <v>17</v>
      </c>
      <c r="T40" s="252" t="s">
        <v>66</v>
      </c>
      <c r="U40" s="252" t="s">
        <v>18</v>
      </c>
      <c r="V40" s="259" t="s">
        <v>66</v>
      </c>
    </row>
    <row r="41" spans="1:22" x14ac:dyDescent="0.3">
      <c r="C41" s="314">
        <v>1</v>
      </c>
      <c r="D41" s="162" t="s">
        <v>12</v>
      </c>
      <c r="E41" s="7">
        <f>'Phasediagram PEG 20000 data'!W5</f>
        <v>0.2543186180422265</v>
      </c>
      <c r="F41" s="7">
        <v>1E-3</v>
      </c>
      <c r="G41" s="7">
        <f>'Phasediagram PEG 20000 data'!X5</f>
        <v>4.894433781190019E-2</v>
      </c>
      <c r="H41" s="7">
        <v>1E-3</v>
      </c>
      <c r="I41" s="7">
        <f>'Phasediagram PEG 20000 data'!Y5</f>
        <v>0.69673704414587334</v>
      </c>
      <c r="J41" s="7">
        <v>1E-3</v>
      </c>
      <c r="K41" s="308">
        <f>(G42-G43)/(E42-E43)</f>
        <v>-0.48024116691581403</v>
      </c>
      <c r="L41" s="308">
        <f>SQRT(((E42-E43)^2)+((G42-G43)^2))</f>
        <v>0.22214566301333452</v>
      </c>
      <c r="M41" s="305">
        <f>(9.7-4.4)/4.4</f>
        <v>1.2045454545454541</v>
      </c>
      <c r="N41" s="305">
        <f>(SQRT(((E41-E43)^2)+((G41-G43)^2)))/(SQRT(((E41-E42)^2)+((G41-G42)^2)))</f>
        <v>0.9033817812048065</v>
      </c>
      <c r="O41" s="76"/>
      <c r="P41" s="76"/>
      <c r="R41" s="257" t="str">
        <f>D42</f>
        <v>Top</v>
      </c>
      <c r="S41" s="34">
        <f>E42</f>
        <v>0.14800253819463519</v>
      </c>
      <c r="T41" s="34">
        <f>F42</f>
        <v>9.8105846596029719E-4</v>
      </c>
      <c r="U41" s="34">
        <f>G42</f>
        <v>9.7168578571095635E-2</v>
      </c>
      <c r="V41" s="35">
        <f>H42</f>
        <v>1.9028909328900891E-3</v>
      </c>
    </row>
    <row r="42" spans="1:22" x14ac:dyDescent="0.3">
      <c r="C42" s="314"/>
      <c r="D42" s="162" t="s">
        <v>10</v>
      </c>
      <c r="E42" s="7">
        <f>'Phasediagram PEG 20000 data'!W6</f>
        <v>0.14800253819463519</v>
      </c>
      <c r="F42" s="30">
        <f>'Phasediagram PEG 20000 data'!W15</f>
        <v>9.8105846596029719E-4</v>
      </c>
      <c r="G42" s="7">
        <f>'Phasediagram PEG 20000 data'!X6</f>
        <v>9.7168578571095635E-2</v>
      </c>
      <c r="H42" s="30">
        <f>'Phasediagram PEG 20000 data'!X15</f>
        <v>1.9028909328900891E-3</v>
      </c>
      <c r="I42" s="7">
        <f>'Phasediagram PEG 20000 data'!Y6</f>
        <v>0.75482888323426922</v>
      </c>
      <c r="J42" s="30">
        <f>'Phasediagram PEG 20000 data'!Y15</f>
        <v>9.218324669296741E-4</v>
      </c>
      <c r="K42" s="309"/>
      <c r="L42" s="309"/>
      <c r="M42" s="306"/>
      <c r="N42" s="306"/>
      <c r="O42" s="78">
        <f>'Phasediagram PEG 20000 data'!Z14</f>
        <v>1.0681333333333332</v>
      </c>
      <c r="P42" s="78">
        <f>'Phasediagram PEG 20000 data'!AA14</f>
        <v>2.1385353243127459E-3</v>
      </c>
      <c r="R42" s="257" t="str">
        <f t="shared" ref="R42" si="35">D43</f>
        <v>Bottom</v>
      </c>
      <c r="S42" s="34">
        <f>E43</f>
        <v>0.34825313143033321</v>
      </c>
      <c r="T42" s="34">
        <f>F43</f>
        <v>8.4767953375795967E-3</v>
      </c>
      <c r="U42" s="34">
        <f>G43</f>
        <v>1E-3</v>
      </c>
      <c r="V42" s="35">
        <f>H43</f>
        <v>6.0269878015437525E-3</v>
      </c>
    </row>
    <row r="43" spans="1:22" ht="15" thickBot="1" x14ac:dyDescent="0.35">
      <c r="C43" s="314"/>
      <c r="D43" s="162" t="s">
        <v>11</v>
      </c>
      <c r="E43" s="7">
        <f>'Phasediagram PEG 20000 data'!W7</f>
        <v>0.34825313143033321</v>
      </c>
      <c r="F43" s="30">
        <f>'Phasediagram PEG 20000 data'!W24</f>
        <v>8.4767953375795967E-3</v>
      </c>
      <c r="G43" s="7">
        <f>'Phasediagram PEG 20000 data'!X7</f>
        <v>1E-3</v>
      </c>
      <c r="H43" s="30">
        <f>'Phasediagram PEG 20000 data'!X24</f>
        <v>6.0269878015437525E-3</v>
      </c>
      <c r="I43" s="7">
        <f>'Phasediagram PEG 20000 data'!Y7</f>
        <v>0.64975583297843031</v>
      </c>
      <c r="J43" s="30">
        <f>'Phasediagram PEG 20000 data'!Y24</f>
        <v>2.4498075360357917E-3</v>
      </c>
      <c r="K43" s="310"/>
      <c r="L43" s="310"/>
      <c r="M43" s="307"/>
      <c r="N43" s="307"/>
      <c r="O43" s="78">
        <f>'Phasediagram PEG 20000 data'!Z23</f>
        <v>1.1330666666666669</v>
      </c>
      <c r="P43" s="78">
        <f>'Phasediagram PEG 20000 data'!AA23</f>
        <v>3.1262330900515556E-3</v>
      </c>
      <c r="R43" s="257" t="str">
        <f t="shared" ref="R43:V44" si="36">D45</f>
        <v>Top</v>
      </c>
      <c r="S43" s="34">
        <f t="shared" si="36"/>
        <v>0.12424210937324466</v>
      </c>
      <c r="T43" s="34">
        <f t="shared" si="36"/>
        <v>2.7580938352412643E-3</v>
      </c>
      <c r="U43" s="34">
        <f t="shared" si="36"/>
        <v>0.16134175197834308</v>
      </c>
      <c r="V43" s="35">
        <f t="shared" si="36"/>
        <v>3.4802330808113577E-3</v>
      </c>
    </row>
    <row r="44" spans="1:22" x14ac:dyDescent="0.3">
      <c r="C44" s="314">
        <v>2</v>
      </c>
      <c r="D44" s="162" t="s">
        <v>12</v>
      </c>
      <c r="E44" s="7">
        <f>'Phasediagram PEG 20000 data'!W31</f>
        <v>0.24952471482889735</v>
      </c>
      <c r="F44" s="7">
        <v>1E-3</v>
      </c>
      <c r="G44" s="7">
        <f>'Phasediagram PEG 20000 data'!X31</f>
        <v>0.10019011406844107</v>
      </c>
      <c r="H44" s="7">
        <v>1E-3</v>
      </c>
      <c r="I44" s="7">
        <f>'Phasediagram PEG 20000 data'!Y31</f>
        <v>0.6502851711026616</v>
      </c>
      <c r="J44" s="7">
        <v>1E-3</v>
      </c>
      <c r="K44" s="308">
        <f>(G45-G46)/(E45-E46)</f>
        <v>-0.50929874452277291</v>
      </c>
      <c r="L44" s="308">
        <f t="shared" ref="L44" si="37">SQRT(((E45-E46)^2)+((G45-G46)^2))</f>
        <v>0.35330787166723332</v>
      </c>
      <c r="M44" s="305">
        <f>(9.7-3.45)/3.45</f>
        <v>1.8115942028985503</v>
      </c>
      <c r="N44" s="305">
        <f t="shared" ref="N44" si="38">(SQRT(((E44-E46)^2)+((G44-G46)^2)))/(SQRT(((E44-E45)^2)+((G44-G45)^2)))</f>
        <v>1.5345388253666821</v>
      </c>
      <c r="O44" s="76"/>
      <c r="P44" s="69"/>
      <c r="R44" s="257" t="str">
        <f t="shared" si="36"/>
        <v>Bottom</v>
      </c>
      <c r="S44" s="34">
        <f t="shared" si="36"/>
        <v>0.43907059403520421</v>
      </c>
      <c r="T44" s="34">
        <f t="shared" si="36"/>
        <v>9.8507089460942616E-3</v>
      </c>
      <c r="U44" s="34">
        <f t="shared" si="36"/>
        <v>1E-3</v>
      </c>
      <c r="V44" s="35">
        <f t="shared" si="36"/>
        <v>1.0004296120469245E-2</v>
      </c>
    </row>
    <row r="45" spans="1:22" x14ac:dyDescent="0.3">
      <c r="C45" s="314"/>
      <c r="D45" s="162" t="s">
        <v>10</v>
      </c>
      <c r="E45" s="7">
        <f>'Phasediagram PEG 20000 data'!W32</f>
        <v>0.12424210937324466</v>
      </c>
      <c r="F45" s="30">
        <f>'Phasediagram PEG 20000 data'!W41</f>
        <v>2.7580938352412643E-3</v>
      </c>
      <c r="G45" s="7">
        <f>'Phasediagram PEG 20000 data'!X32</f>
        <v>0.16134175197834308</v>
      </c>
      <c r="H45" s="30">
        <f>'Phasediagram PEG 20000 data'!X41</f>
        <v>3.4802330808113577E-3</v>
      </c>
      <c r="I45" s="7">
        <f>'Phasediagram PEG 20000 data'!Y32</f>
        <v>0.71441613864841236</v>
      </c>
      <c r="J45" s="30">
        <f>'Phasediagram PEG 20000 data'!Y41</f>
        <v>7.7475980829896842E-4</v>
      </c>
      <c r="K45" s="309"/>
      <c r="L45" s="309"/>
      <c r="M45" s="306"/>
      <c r="N45" s="306"/>
      <c r="O45" s="78">
        <f>'Phasediagram PEG 20000 data'!Z40</f>
        <v>1.0664666666666667</v>
      </c>
      <c r="P45" s="78">
        <f>'Phasediagram PEG 20000 data'!AA40</f>
        <v>5.7769657549039859E-3</v>
      </c>
      <c r="R45" s="257" t="str">
        <f t="shared" ref="R45:V46" si="39">D48</f>
        <v>Top</v>
      </c>
      <c r="S45" s="34">
        <f t="shared" si="39"/>
        <v>0.12944037758466811</v>
      </c>
      <c r="T45" s="34">
        <f t="shared" si="39"/>
        <v>8.1942257047657226E-3</v>
      </c>
      <c r="U45" s="34">
        <f t="shared" si="39"/>
        <v>0.25018011666158002</v>
      </c>
      <c r="V45" s="35">
        <f t="shared" si="39"/>
        <v>8.4414611329540722E-3</v>
      </c>
    </row>
    <row r="46" spans="1:22" ht="15" thickBot="1" x14ac:dyDescent="0.35">
      <c r="C46" s="314"/>
      <c r="D46" s="162" t="s">
        <v>11</v>
      </c>
      <c r="E46" s="7">
        <f>'Phasediagram PEG 20000 data'!W33</f>
        <v>0.43907059403520421</v>
      </c>
      <c r="F46" s="30">
        <f>'Phasediagram PEG 20000 data'!W50</f>
        <v>9.8507089460942616E-3</v>
      </c>
      <c r="G46" s="7">
        <f>'Phasediagram PEG 20000 data'!X33</f>
        <v>1E-3</v>
      </c>
      <c r="H46" s="30">
        <f>'Phasediagram PEG 20000 data'!X50</f>
        <v>1.0004296120469245E-2</v>
      </c>
      <c r="I46" s="7">
        <f>'Phasediagram PEG 20000 data'!Y33</f>
        <v>0.55917693210282249</v>
      </c>
      <c r="J46" s="30">
        <f>'Phasediagram PEG 20000 data'!Y50</f>
        <v>2.5220344439417573E-3</v>
      </c>
      <c r="K46" s="310"/>
      <c r="L46" s="310"/>
      <c r="M46" s="307"/>
      <c r="N46" s="307"/>
      <c r="O46" s="78">
        <f>'Phasediagram PEG 20000 data'!Z49</f>
        <v>1.1772666666666669</v>
      </c>
      <c r="P46" s="78">
        <f>'Phasediagram PEG 20000 data'!AA49</f>
        <v>1.7009801096230981E-3</v>
      </c>
      <c r="R46" s="257" t="str">
        <f t="shared" si="39"/>
        <v>Bottom</v>
      </c>
      <c r="S46" s="34">
        <f t="shared" si="39"/>
        <v>0.56291456354761793</v>
      </c>
      <c r="T46" s="34">
        <f t="shared" si="39"/>
        <v>5.6617579431991341E-3</v>
      </c>
      <c r="U46" s="34">
        <f t="shared" si="39"/>
        <v>1E-3</v>
      </c>
      <c r="V46" s="35">
        <f t="shared" si="39"/>
        <v>5.7267881517027042E-3</v>
      </c>
    </row>
    <row r="47" spans="1:22" x14ac:dyDescent="0.3">
      <c r="C47" s="314">
        <v>3</v>
      </c>
      <c r="D47" s="162" t="s">
        <v>12</v>
      </c>
      <c r="E47" s="7">
        <f>'Phasediagram PEG 20000 data'!W57</f>
        <v>0.30089197224975217</v>
      </c>
      <c r="F47" s="7">
        <v>1E-3</v>
      </c>
      <c r="G47" s="7">
        <f>'Phasediagram PEG 20000 data'!X57</f>
        <v>0.14945490584737364</v>
      </c>
      <c r="H47" s="7">
        <v>1E-3</v>
      </c>
      <c r="I47" s="7">
        <f>'Phasediagram PEG 20000 data'!Y57</f>
        <v>0.54965312190287419</v>
      </c>
      <c r="J47" s="7">
        <v>1E-3</v>
      </c>
      <c r="K47" s="308">
        <f t="shared" ref="K47" si="40">(G48-G49)/(E48-E49)</f>
        <v>-0.57484418849079533</v>
      </c>
      <c r="L47" s="308">
        <f t="shared" ref="L47" si="41">SQRT(((E48-E49)^2)+((G48-G49)^2))</f>
        <v>0.4999906003473672</v>
      </c>
      <c r="M47" s="305">
        <f>(9-3.5)/3.5</f>
        <v>1.5714285714285714</v>
      </c>
      <c r="N47" s="305">
        <f t="shared" ref="N47" si="42">(SQRT(((E47-E49)^2)+((G47-G49)^2)))/(SQRT(((E47-E48)^2)+((G47-G48)^2)))</f>
        <v>1.5144883255897972</v>
      </c>
      <c r="O47" s="76"/>
      <c r="P47" s="69"/>
      <c r="R47" s="257" t="str">
        <f t="shared" ref="R47:V48" si="43">D51</f>
        <v>Top</v>
      </c>
      <c r="S47" s="34">
        <f t="shared" si="43"/>
        <v>0.1275901410544604</v>
      </c>
      <c r="T47" s="34">
        <f t="shared" si="43"/>
        <v>4.815430496337334E-3</v>
      </c>
      <c r="U47" s="34">
        <f t="shared" si="43"/>
        <v>0.30791031364825089</v>
      </c>
      <c r="V47" s="35">
        <f t="shared" si="43"/>
        <v>3.4698515979618254E-3</v>
      </c>
    </row>
    <row r="48" spans="1:22" x14ac:dyDescent="0.3">
      <c r="C48" s="314"/>
      <c r="D48" s="162" t="s">
        <v>10</v>
      </c>
      <c r="E48" s="7">
        <f>'Phasediagram PEG 20000 data'!W58</f>
        <v>0.12944037758466811</v>
      </c>
      <c r="F48" s="30">
        <f>'Phasediagram PEG 20000 data'!W67</f>
        <v>8.1942257047657226E-3</v>
      </c>
      <c r="G48" s="7">
        <f>'Phasediagram PEG 20000 data'!X58</f>
        <v>0.25018011666158002</v>
      </c>
      <c r="H48" s="30">
        <f>'Phasediagram PEG 20000 data'!X67</f>
        <v>8.4414611329540722E-3</v>
      </c>
      <c r="I48" s="7">
        <f>'Phasediagram PEG 20000 data'!Y58</f>
        <v>0.62037950575375189</v>
      </c>
      <c r="J48" s="30">
        <f>'Phasediagram PEG 20000 data'!Y67</f>
        <v>1.3339334611049921E-3</v>
      </c>
      <c r="K48" s="309"/>
      <c r="L48" s="309"/>
      <c r="M48" s="306"/>
      <c r="N48" s="306"/>
      <c r="O48" s="78">
        <f>'Phasediagram PEG 20000 data'!Z66</f>
        <v>1.0808666666666664</v>
      </c>
      <c r="P48" s="78">
        <f>'Phasediagram PEG 20000 data'!AA66</f>
        <v>2.2479620400116186E-3</v>
      </c>
      <c r="R48" s="257" t="str">
        <f t="shared" si="43"/>
        <v>Bottom</v>
      </c>
      <c r="S48" s="34">
        <f t="shared" si="43"/>
        <v>0.64014366446238091</v>
      </c>
      <c r="T48" s="34">
        <f t="shared" si="43"/>
        <v>3.0891954878820693E-2</v>
      </c>
      <c r="U48" s="34">
        <f t="shared" si="43"/>
        <v>1E-3</v>
      </c>
      <c r="V48" s="35">
        <f t="shared" si="43"/>
        <v>3.5353692166164491E-2</v>
      </c>
    </row>
    <row r="49" spans="2:46" ht="15" thickBot="1" x14ac:dyDescent="0.35">
      <c r="C49" s="314"/>
      <c r="D49" s="162" t="s">
        <v>11</v>
      </c>
      <c r="E49" s="7">
        <f>'Phasediagram PEG 20000 data'!W59</f>
        <v>0.56291456354761793</v>
      </c>
      <c r="F49" s="30">
        <f>'Phasediagram PEG 20000 data'!W76</f>
        <v>5.6617579431991341E-3</v>
      </c>
      <c r="G49" s="7">
        <f>'Phasediagram PEG 20000 data'!X59</f>
        <v>1E-3</v>
      </c>
      <c r="H49" s="30">
        <f>'Phasediagram PEG 20000 data'!X76</f>
        <v>5.7267881517027042E-3</v>
      </c>
      <c r="I49" s="7">
        <f>'Phasediagram PEG 20000 data'!Y59</f>
        <v>0.431215250194248</v>
      </c>
      <c r="J49" s="30">
        <f>'Phasediagram PEG 20000 data'!Y76</f>
        <v>7.3455494166353217E-5</v>
      </c>
      <c r="K49" s="310"/>
      <c r="L49" s="310"/>
      <c r="M49" s="307"/>
      <c r="N49" s="307"/>
      <c r="O49" s="78">
        <f>'Phasediagram PEG 20000 data'!Z75</f>
        <v>1.2367333333333335</v>
      </c>
      <c r="P49" s="78">
        <f>'Phasediagram PEG 20000 data'!AA75</f>
        <v>5.4123315986118999E-3</v>
      </c>
      <c r="R49" s="257" t="s">
        <v>10</v>
      </c>
      <c r="S49" s="30">
        <f t="shared" ref="S49:V50" si="44">E54</f>
        <v>0.13852663503088306</v>
      </c>
      <c r="T49" s="30">
        <f t="shared" si="44"/>
        <v>1.1878619801761969E-2</v>
      </c>
      <c r="U49" s="30">
        <f t="shared" si="44"/>
        <v>0.18894888454608902</v>
      </c>
      <c r="V49" s="31">
        <f t="shared" si="44"/>
        <v>1.1064377070880252E-2</v>
      </c>
    </row>
    <row r="50" spans="2:46" ht="15" thickBot="1" x14ac:dyDescent="0.35">
      <c r="C50" s="314">
        <v>4</v>
      </c>
      <c r="D50" s="162" t="s">
        <v>12</v>
      </c>
      <c r="E50" s="7">
        <f>'Phasediagram PEG 20000 data'!W83</f>
        <v>0.3</v>
      </c>
      <c r="F50" s="7">
        <v>1E-3</v>
      </c>
      <c r="G50" s="7">
        <f>'Phasediagram PEG 20000 data'!X83</f>
        <v>0.19999999999999998</v>
      </c>
      <c r="H50" s="7">
        <v>1E-3</v>
      </c>
      <c r="I50" s="7">
        <f>'Phasediagram PEG 20000 data'!Y83</f>
        <v>0.5</v>
      </c>
      <c r="J50" s="7">
        <v>1E-3</v>
      </c>
      <c r="K50" s="308">
        <f t="shared" ref="K50" si="45">(G51-G52)/(E51-E52)</f>
        <v>-0.59878685762929285</v>
      </c>
      <c r="L50" s="308">
        <f t="shared" ref="L50" si="46">SQRT(((E51-E52)^2)+((G51-G52)^2))</f>
        <v>0.59741531197446007</v>
      </c>
      <c r="M50" s="305">
        <f>(9-3)/3</f>
        <v>2</v>
      </c>
      <c r="N50" s="305">
        <f t="shared" ref="N50" si="47">(SQRT(((E50-E52)^2)+((G50-G52)^2)))/(SQRT(((E50-E51)^2)+((G50-G51)^2)))</f>
        <v>1.9375023673880387</v>
      </c>
      <c r="O50" s="76"/>
      <c r="P50" s="74"/>
      <c r="R50" s="258" t="s">
        <v>11</v>
      </c>
      <c r="S50" s="32">
        <f t="shared" si="44"/>
        <v>0.48533153600175966</v>
      </c>
      <c r="T50" s="32">
        <f t="shared" si="44"/>
        <v>2.4917758437263821E-2</v>
      </c>
      <c r="U50" s="32">
        <f t="shared" si="44"/>
        <v>1E-3</v>
      </c>
      <c r="V50" s="33">
        <f t="shared" si="44"/>
        <v>3.3851198264168894E-2</v>
      </c>
    </row>
    <row r="51" spans="2:46" x14ac:dyDescent="0.3">
      <c r="C51" s="314"/>
      <c r="D51" s="162" t="s">
        <v>10</v>
      </c>
      <c r="E51" s="7">
        <f>'Phasediagram PEG 20000 data'!W84</f>
        <v>0.1275901410544604</v>
      </c>
      <c r="F51" s="30">
        <f>'Phasediagram PEG 20000 data'!W93</f>
        <v>4.815430496337334E-3</v>
      </c>
      <c r="G51" s="7">
        <f>'Phasediagram PEG 20000 data'!X84</f>
        <v>0.30791031364825089</v>
      </c>
      <c r="H51" s="30">
        <f>'Phasediagram PEG 20000 data'!X93</f>
        <v>3.4698515979618254E-3</v>
      </c>
      <c r="I51" s="7">
        <f>'Phasediagram PEG 20000 data'!Y84</f>
        <v>0.56449954529728863</v>
      </c>
      <c r="J51" s="30">
        <f>'Phasediagram PEG 20000 data'!Y93</f>
        <v>1.3462762687418417E-3</v>
      </c>
      <c r="K51" s="309"/>
      <c r="L51" s="309"/>
      <c r="M51" s="306"/>
      <c r="N51" s="306"/>
      <c r="O51" s="78">
        <f>'Phasediagram PEG 20000 data'!Z92</f>
        <v>1.0639333333333332</v>
      </c>
      <c r="P51" s="78">
        <f>'Phasediagram PEG 20000 data'!AA92</f>
        <v>2.218858565419007E-2</v>
      </c>
    </row>
    <row r="52" spans="2:46" ht="15" thickBot="1" x14ac:dyDescent="0.35">
      <c r="C52" s="314"/>
      <c r="D52" s="162" t="s">
        <v>11</v>
      </c>
      <c r="E52" s="7">
        <f>'Phasediagram PEG 20000 data'!W85</f>
        <v>0.64014366446238091</v>
      </c>
      <c r="F52" s="30">
        <f>'Phasediagram PEG 20000 data'!W102</f>
        <v>3.0891954878820693E-2</v>
      </c>
      <c r="G52" s="7">
        <f>'Phasediagram PEG 20000 data'!X85</f>
        <v>1E-3</v>
      </c>
      <c r="H52" s="30">
        <f>'Phasediagram PEG 20000 data'!X102</f>
        <v>3.5353692166164491E-2</v>
      </c>
      <c r="I52" s="7">
        <f>'Phasediagram PEG 20000 data'!Y85</f>
        <v>0.35124984374877977</v>
      </c>
      <c r="J52" s="30">
        <f>'Phasediagram PEG 20000 data'!Y102</f>
        <v>5.9073064208716875E-3</v>
      </c>
      <c r="K52" s="310"/>
      <c r="L52" s="310"/>
      <c r="M52" s="307"/>
      <c r="N52" s="307"/>
      <c r="O52" s="78">
        <f>'Phasediagram PEG 20000 data'!Z101</f>
        <v>1.2558666666666667</v>
      </c>
      <c r="P52" s="78">
        <f>'Phasediagram PEG 20000 data'!AA101</f>
        <v>1.3613718571108713E-3</v>
      </c>
    </row>
    <row r="53" spans="2:46" x14ac:dyDescent="0.3">
      <c r="C53" s="314">
        <v>5</v>
      </c>
      <c r="D53" s="162" t="s">
        <v>12</v>
      </c>
      <c r="E53" s="7">
        <f>'Phasediagram PEG 20000 data'!W114</f>
        <v>0.30029850746268655</v>
      </c>
      <c r="F53" s="7">
        <v>1E-3</v>
      </c>
      <c r="G53" s="7">
        <f>'Phasediagram PEG 20000 data'!X114</f>
        <v>9.9900497512437805E-2</v>
      </c>
      <c r="H53" s="7">
        <v>1E-3</v>
      </c>
      <c r="I53" s="7">
        <f>'Phasediagram PEG 20000 data'!Y114</f>
        <v>0.59980099502487572</v>
      </c>
      <c r="J53" s="7">
        <v>1E-3</v>
      </c>
      <c r="K53" s="308">
        <f t="shared" ref="K53" si="48">(G54-G55)/(E54-E55)</f>
        <v>-0.54194414213849962</v>
      </c>
      <c r="L53" s="308">
        <f t="shared" ref="L53" si="49">SQRT(((E54-E55)^2)+((G54-G55)^2))</f>
        <v>0.3944596589507457</v>
      </c>
      <c r="M53" s="305">
        <f>5/4</f>
        <v>1.25</v>
      </c>
      <c r="N53" s="305">
        <f t="shared" ref="N53" si="50">(SQRT(((E53-E55)^2)+((G53-G55)^2)))/(SQRT(((E53-E54)^2)+((G53-G54)^2)))</f>
        <v>1.1361669326017358</v>
      </c>
      <c r="O53" s="76"/>
      <c r="P53" s="69"/>
    </row>
    <row r="54" spans="2:46" x14ac:dyDescent="0.3">
      <c r="C54" s="314"/>
      <c r="D54" s="162" t="s">
        <v>10</v>
      </c>
      <c r="E54" s="7">
        <f>'Phasediagram PEG 20000 data'!W115</f>
        <v>0.13852663503088306</v>
      </c>
      <c r="F54" s="30">
        <f>'Phasediagram PEG 20000 data'!W124</f>
        <v>1.1878619801761969E-2</v>
      </c>
      <c r="G54" s="7">
        <f>'Phasediagram PEG 20000 data'!X115</f>
        <v>0.18894888454608902</v>
      </c>
      <c r="H54" s="30">
        <f>'Phasediagram PEG 20000 data'!X124</f>
        <v>1.1064377070880252E-2</v>
      </c>
      <c r="I54" s="7">
        <f>'Phasediagram PEG 20000 data'!Y115</f>
        <v>0.67252448042302804</v>
      </c>
      <c r="J54" s="30">
        <f>'Phasediagram PEG 20000 data'!Y124</f>
        <v>1.6416882415555951E-3</v>
      </c>
      <c r="K54" s="309"/>
      <c r="L54" s="309"/>
      <c r="M54" s="306"/>
      <c r="N54" s="306"/>
      <c r="O54" s="78">
        <f>'Phasediagram PEG 20000 data'!Z123</f>
        <v>1.0826</v>
      </c>
      <c r="P54" s="78">
        <f>'Phasediagram PEG 20000 data'!AA123</f>
        <v>7.6393717019136694E-3</v>
      </c>
    </row>
    <row r="55" spans="2:46" ht="15" thickBot="1" x14ac:dyDescent="0.35">
      <c r="C55" s="315"/>
      <c r="D55" s="251" t="s">
        <v>11</v>
      </c>
      <c r="E55" s="29">
        <f>'Phasediagram PEG 20000 data'!W116</f>
        <v>0.48533153600175966</v>
      </c>
      <c r="F55" s="32">
        <f>'Phasediagram PEG 20000 data'!W133</f>
        <v>2.4917758437263821E-2</v>
      </c>
      <c r="G55" s="29">
        <f>'Phasediagram PEG 20000 data'!X116</f>
        <v>1E-3</v>
      </c>
      <c r="H55" s="32">
        <f>'Phasediagram PEG 20000 data'!X133</f>
        <v>3.3851198264168894E-2</v>
      </c>
      <c r="I55" s="29">
        <f>'Phasediagram PEG 20000 data'!Y116</f>
        <v>0.51016495756070568</v>
      </c>
      <c r="J55" s="54">
        <f>'Phasediagram PEG 20000 data'!Y133</f>
        <v>9.160975018786488E-3</v>
      </c>
      <c r="K55" s="309"/>
      <c r="L55" s="310"/>
      <c r="M55" s="307"/>
      <c r="N55" s="307"/>
      <c r="O55" s="79">
        <f>'Phasediagram PEG 20000 data'!Z132</f>
        <v>1.2092666666666667</v>
      </c>
      <c r="P55" s="79">
        <f>'Phasediagram PEG 20000 data'!AA132</f>
        <v>1.5357517160444029E-2</v>
      </c>
    </row>
    <row r="56" spans="2:46" x14ac:dyDescent="0.3">
      <c r="J56" s="2" t="s">
        <v>74</v>
      </c>
      <c r="K56" s="30">
        <f>AVERAGE(K41:K55)</f>
        <v>-0.54102301993943491</v>
      </c>
      <c r="L56" s="45"/>
      <c r="M56" s="45"/>
    </row>
    <row r="57" spans="2:46" x14ac:dyDescent="0.3">
      <c r="J57" s="2" t="s">
        <v>66</v>
      </c>
      <c r="K57" s="7">
        <f>_xlfn.STDEV.S(K41:K55)</f>
        <v>4.7912013526470239E-2</v>
      </c>
      <c r="L57" s="15"/>
      <c r="M57" s="15"/>
    </row>
    <row r="59" spans="2:46" x14ac:dyDescent="0.3">
      <c r="B59" s="17"/>
      <c r="C59" s="21"/>
      <c r="D59" s="17"/>
      <c r="E59" s="21"/>
      <c r="F59" s="17"/>
      <c r="G59" s="17"/>
      <c r="H59" s="17"/>
      <c r="I59" s="17"/>
      <c r="J59" s="17"/>
      <c r="K59" s="17"/>
      <c r="L59" s="17"/>
      <c r="M59" s="17"/>
      <c r="N59" s="17"/>
      <c r="O59" s="17"/>
      <c r="P59" s="17"/>
      <c r="Q59" s="17"/>
      <c r="R59" s="17"/>
      <c r="S59" s="17"/>
      <c r="T59" s="17"/>
      <c r="U59" s="17"/>
      <c r="V59" s="17"/>
      <c r="W59" s="17"/>
      <c r="X59" s="17"/>
      <c r="Y59" s="17"/>
      <c r="Z59" s="17"/>
      <c r="AA59" s="17"/>
      <c r="AI59" s="39"/>
      <c r="AJ59" s="39"/>
      <c r="AK59" s="39"/>
      <c r="AL59" s="39"/>
      <c r="AT59" s="39"/>
    </row>
    <row r="60" spans="2:46" x14ac:dyDescent="0.3">
      <c r="B60" s="125"/>
      <c r="C60" s="125"/>
      <c r="D60" s="17"/>
      <c r="E60" s="126"/>
      <c r="F60" s="17"/>
      <c r="G60" s="17"/>
      <c r="H60" s="17"/>
      <c r="I60" s="17"/>
      <c r="J60" s="17"/>
      <c r="K60" s="17"/>
      <c r="L60" s="17"/>
      <c r="M60" s="17"/>
      <c r="N60" s="17"/>
      <c r="O60" s="17"/>
      <c r="P60" s="17"/>
      <c r="Q60" s="17"/>
      <c r="R60" s="17"/>
      <c r="S60" s="17"/>
      <c r="T60" s="17"/>
      <c r="U60" s="17"/>
      <c r="V60" s="17"/>
      <c r="W60" s="17"/>
      <c r="X60" s="17"/>
      <c r="Y60" s="17"/>
      <c r="Z60" s="17"/>
      <c r="AA60" s="17"/>
      <c r="AI60" s="39"/>
      <c r="AJ60" s="39"/>
      <c r="AK60" s="39"/>
      <c r="AL60" s="39"/>
      <c r="AT60" s="39"/>
    </row>
    <row r="61" spans="2:46" x14ac:dyDescent="0.3">
      <c r="B61" s="125"/>
      <c r="C61" s="125"/>
      <c r="D61" s="17"/>
      <c r="E61" s="126"/>
      <c r="F61" s="17"/>
      <c r="G61" s="17"/>
      <c r="H61" s="17"/>
      <c r="I61" s="17"/>
      <c r="J61" s="17"/>
      <c r="K61" s="17"/>
      <c r="L61" s="17"/>
      <c r="M61" s="17"/>
      <c r="N61" s="17"/>
      <c r="O61" s="17"/>
      <c r="P61" s="17"/>
      <c r="Q61" s="17"/>
      <c r="R61" s="17"/>
      <c r="S61" s="17"/>
      <c r="T61" s="17"/>
      <c r="U61" s="17"/>
      <c r="V61" s="17"/>
      <c r="W61" s="17"/>
      <c r="X61" s="17"/>
      <c r="Y61" s="17"/>
      <c r="Z61" s="17"/>
      <c r="AA61" s="17"/>
      <c r="AI61" s="39"/>
      <c r="AJ61" s="39"/>
      <c r="AK61" s="39"/>
      <c r="AL61" s="39"/>
      <c r="AT61" s="39"/>
    </row>
    <row r="62" spans="2:46" x14ac:dyDescent="0.3">
      <c r="B62" s="125"/>
      <c r="C62" s="125"/>
      <c r="D62" s="17"/>
      <c r="E62" s="126"/>
      <c r="F62" s="17"/>
      <c r="G62" s="17"/>
      <c r="H62" s="17"/>
      <c r="I62" s="17"/>
      <c r="J62" s="17"/>
      <c r="K62" s="17"/>
      <c r="L62" s="17"/>
      <c r="M62" s="17"/>
      <c r="N62" s="17"/>
      <c r="O62" s="17"/>
      <c r="P62" s="17"/>
      <c r="Q62" s="17"/>
      <c r="R62" s="17"/>
      <c r="S62" s="17"/>
      <c r="T62" s="17"/>
      <c r="U62" s="17"/>
      <c r="V62" s="17"/>
      <c r="W62" s="17"/>
      <c r="X62" s="17"/>
      <c r="Y62" s="17"/>
      <c r="Z62" s="17"/>
      <c r="AA62" s="17"/>
      <c r="AI62" s="39"/>
      <c r="AJ62" s="39"/>
      <c r="AK62" s="39"/>
      <c r="AL62" s="39"/>
      <c r="AT62" s="39"/>
    </row>
    <row r="63" spans="2:46" x14ac:dyDescent="0.3">
      <c r="B63" s="125"/>
      <c r="C63" s="125"/>
      <c r="D63" s="17"/>
      <c r="E63" s="126"/>
      <c r="F63" s="17"/>
      <c r="G63" s="17"/>
      <c r="H63" s="17"/>
      <c r="I63" s="17"/>
      <c r="J63" s="17"/>
      <c r="K63" s="17"/>
      <c r="L63" s="17"/>
      <c r="M63" s="17"/>
      <c r="N63" s="17"/>
      <c r="O63" s="17"/>
      <c r="P63" s="17"/>
      <c r="Q63" s="17"/>
      <c r="R63" s="17"/>
      <c r="S63" s="17"/>
      <c r="T63" s="17"/>
      <c r="U63" s="17"/>
      <c r="V63" s="17"/>
      <c r="W63" s="17"/>
      <c r="X63" s="17"/>
      <c r="Y63" s="17"/>
      <c r="Z63" s="17"/>
      <c r="AA63" s="17"/>
      <c r="AI63" s="39"/>
      <c r="AJ63" s="39"/>
      <c r="AK63" s="39"/>
      <c r="AL63" s="39"/>
      <c r="AT63" s="39"/>
    </row>
    <row r="64" spans="2:46" x14ac:dyDescent="0.3">
      <c r="B64" s="125"/>
      <c r="C64" s="125"/>
      <c r="D64" s="17"/>
      <c r="E64" s="126"/>
      <c r="F64" s="17"/>
      <c r="G64" s="17"/>
      <c r="H64" s="17"/>
      <c r="I64" s="17"/>
      <c r="J64" s="17"/>
      <c r="K64" s="17"/>
      <c r="L64" s="17"/>
      <c r="M64" s="17"/>
      <c r="N64" s="17"/>
      <c r="O64" s="17"/>
      <c r="P64" s="17"/>
      <c r="Q64" s="17"/>
      <c r="R64" s="17"/>
      <c r="S64" s="17"/>
      <c r="T64" s="17"/>
      <c r="U64" s="17"/>
      <c r="V64" s="17"/>
      <c r="W64" s="17"/>
      <c r="X64" s="17"/>
      <c r="Y64" s="17"/>
      <c r="Z64" s="17"/>
      <c r="AA64" s="17"/>
      <c r="AI64" s="39"/>
      <c r="AJ64" s="39"/>
      <c r="AK64" s="39"/>
      <c r="AL64" s="39"/>
      <c r="AT64" s="39"/>
    </row>
    <row r="65" spans="2:46" x14ac:dyDescent="0.3">
      <c r="B65" s="125"/>
      <c r="C65" s="125"/>
      <c r="D65" s="17"/>
      <c r="E65" s="126"/>
      <c r="F65" s="17"/>
      <c r="G65" s="17"/>
      <c r="H65" s="17"/>
      <c r="I65" s="17"/>
      <c r="J65" s="17"/>
      <c r="K65" s="17"/>
      <c r="L65" s="17"/>
      <c r="M65" s="17"/>
      <c r="N65" s="17"/>
      <c r="O65" s="17"/>
      <c r="P65" s="17"/>
      <c r="Q65" s="17"/>
      <c r="R65" s="17"/>
      <c r="S65" s="17"/>
      <c r="T65" s="17"/>
      <c r="U65" s="17"/>
      <c r="V65" s="17"/>
      <c r="W65" s="17"/>
      <c r="X65" s="17"/>
      <c r="Y65" s="17"/>
      <c r="Z65" s="17"/>
      <c r="AA65" s="17"/>
      <c r="AI65" s="80"/>
      <c r="AJ65" s="80"/>
      <c r="AK65" s="82"/>
      <c r="AL65" s="39"/>
      <c r="AT65" s="39"/>
    </row>
    <row r="66" spans="2:46" x14ac:dyDescent="0.3">
      <c r="B66" s="21"/>
      <c r="C66" s="21"/>
      <c r="D66" s="17"/>
      <c r="E66" s="126"/>
      <c r="F66" s="17"/>
      <c r="G66" s="17"/>
      <c r="H66" s="17"/>
      <c r="I66" s="17"/>
      <c r="J66" s="17"/>
      <c r="K66" s="17"/>
      <c r="L66" s="17"/>
      <c r="M66" s="17"/>
      <c r="N66" s="17"/>
      <c r="O66" s="17"/>
      <c r="P66" s="17"/>
      <c r="Q66" s="17"/>
      <c r="R66" s="17"/>
      <c r="S66" s="17"/>
      <c r="T66" s="17"/>
      <c r="U66" s="17"/>
      <c r="V66" s="17"/>
      <c r="W66" s="17"/>
      <c r="X66" s="17"/>
      <c r="Y66" s="17"/>
      <c r="Z66" s="17"/>
      <c r="AA66" s="17"/>
      <c r="AI66" s="39"/>
      <c r="AJ66" s="39"/>
      <c r="AK66" s="39"/>
      <c r="AL66" s="39"/>
      <c r="AT66" s="39"/>
    </row>
    <row r="67" spans="2:46" x14ac:dyDescent="0.3">
      <c r="B67" s="21"/>
      <c r="C67" s="21"/>
      <c r="D67" s="17"/>
      <c r="E67" s="126"/>
      <c r="F67" s="17"/>
      <c r="G67" s="17"/>
      <c r="H67" s="17"/>
      <c r="I67" s="17"/>
      <c r="J67" s="17"/>
      <c r="K67" s="17"/>
      <c r="L67" s="17"/>
      <c r="M67" s="17"/>
      <c r="N67" s="17"/>
      <c r="O67" s="17"/>
      <c r="P67" s="17"/>
      <c r="Q67" s="17"/>
      <c r="R67" s="17"/>
      <c r="S67" s="17"/>
      <c r="T67" s="17"/>
      <c r="U67" s="17"/>
      <c r="V67" s="17"/>
      <c r="W67" s="17"/>
      <c r="X67" s="17"/>
      <c r="Y67" s="17"/>
      <c r="Z67" s="17"/>
      <c r="AA67" s="17"/>
      <c r="AI67" s="39"/>
      <c r="AJ67" s="39"/>
      <c r="AK67" s="39"/>
      <c r="AL67" s="39"/>
      <c r="AT67" s="39"/>
    </row>
    <row r="68" spans="2:46" x14ac:dyDescent="0.3">
      <c r="B68" s="17"/>
      <c r="C68" s="17"/>
      <c r="D68" s="17"/>
      <c r="E68" s="17"/>
      <c r="F68" s="17"/>
      <c r="G68" s="127"/>
      <c r="H68" s="17"/>
      <c r="I68" s="17"/>
      <c r="J68" s="17"/>
      <c r="K68" s="17"/>
      <c r="L68" s="17"/>
      <c r="M68" s="17"/>
      <c r="N68" s="17"/>
      <c r="O68" s="17"/>
      <c r="P68" s="17"/>
      <c r="Q68" s="17"/>
      <c r="R68" s="17"/>
      <c r="S68" s="17"/>
      <c r="T68" s="17"/>
      <c r="U68" s="17"/>
      <c r="V68" s="17"/>
      <c r="W68" s="17"/>
      <c r="X68" s="17"/>
      <c r="Y68" s="17"/>
      <c r="Z68" s="17"/>
      <c r="AA68" s="17"/>
      <c r="AI68" s="39"/>
      <c r="AJ68" s="39"/>
      <c r="AK68" s="39"/>
      <c r="AL68" s="39"/>
      <c r="AT68" s="39"/>
    </row>
    <row r="69" spans="2:46" x14ac:dyDescent="0.3">
      <c r="B69" s="17"/>
      <c r="C69" s="80"/>
      <c r="D69" s="80"/>
      <c r="E69" s="80"/>
      <c r="F69" s="17"/>
      <c r="G69" s="17"/>
      <c r="H69" s="17"/>
      <c r="I69" s="17"/>
      <c r="J69" s="17"/>
      <c r="K69" s="17"/>
      <c r="L69" s="17"/>
      <c r="M69" s="17"/>
      <c r="N69" s="17"/>
      <c r="O69" s="17"/>
      <c r="P69" s="17"/>
      <c r="Q69" s="17"/>
      <c r="R69" s="17"/>
      <c r="S69" s="17"/>
      <c r="T69" s="17"/>
      <c r="U69" s="17"/>
      <c r="V69" s="17"/>
      <c r="W69" s="17"/>
      <c r="X69" s="17"/>
      <c r="Y69" s="17"/>
      <c r="Z69" s="17"/>
      <c r="AA69" s="17"/>
      <c r="AI69" s="39"/>
      <c r="AJ69" s="39"/>
      <c r="AK69" s="39"/>
      <c r="AL69" s="39"/>
      <c r="AT69" s="39"/>
    </row>
    <row r="70" spans="2:46" x14ac:dyDescent="0.3">
      <c r="B70" s="17"/>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I70" s="39"/>
      <c r="AJ70" s="39"/>
      <c r="AK70" s="39"/>
      <c r="AL70" s="39"/>
      <c r="AT70" s="39"/>
    </row>
    <row r="71" spans="2:46" x14ac:dyDescent="0.3">
      <c r="B71" s="17"/>
      <c r="C71" s="21"/>
      <c r="D71" s="17"/>
      <c r="E71" s="21"/>
      <c r="F71" s="17"/>
      <c r="G71" s="17"/>
      <c r="H71" s="17"/>
      <c r="I71" s="17"/>
      <c r="J71" s="17"/>
      <c r="K71" s="17"/>
      <c r="L71" s="17"/>
      <c r="M71" s="17"/>
      <c r="N71" s="17"/>
      <c r="O71" s="17"/>
      <c r="P71" s="17"/>
      <c r="Q71" s="17"/>
      <c r="R71" s="17"/>
      <c r="S71" s="17"/>
      <c r="T71" s="17"/>
      <c r="U71" s="17"/>
      <c r="V71" s="17"/>
      <c r="W71" s="17"/>
      <c r="X71" s="17"/>
      <c r="Y71" s="17"/>
      <c r="Z71" s="17"/>
      <c r="AA71" s="17"/>
      <c r="AI71" s="39"/>
      <c r="AJ71" s="39"/>
      <c r="AK71" s="39"/>
      <c r="AL71" s="39"/>
      <c r="AT71" s="39"/>
    </row>
    <row r="72" spans="2:46" x14ac:dyDescent="0.3">
      <c r="B72" s="21"/>
      <c r="C72" s="21"/>
      <c r="D72" s="17"/>
      <c r="E72" s="126"/>
      <c r="F72" s="17"/>
      <c r="G72" s="17"/>
      <c r="H72" s="17"/>
      <c r="I72" s="17"/>
      <c r="J72" s="17"/>
      <c r="K72" s="17"/>
      <c r="L72" s="17"/>
      <c r="M72" s="17"/>
      <c r="N72" s="17"/>
      <c r="O72" s="17"/>
      <c r="P72" s="17"/>
      <c r="Q72" s="17"/>
      <c r="R72" s="17"/>
      <c r="S72" s="17"/>
      <c r="T72" s="17"/>
      <c r="U72" s="17"/>
      <c r="V72" s="17"/>
      <c r="W72" s="17"/>
      <c r="X72" s="17"/>
      <c r="Y72" s="17"/>
      <c r="Z72" s="17"/>
      <c r="AA72" s="17"/>
      <c r="AI72" s="39"/>
      <c r="AJ72" s="39"/>
      <c r="AK72" s="39"/>
      <c r="AL72" s="39"/>
      <c r="AT72" s="39"/>
    </row>
    <row r="73" spans="2:46" x14ac:dyDescent="0.3">
      <c r="B73" s="21"/>
      <c r="C73" s="21"/>
      <c r="D73" s="17"/>
      <c r="E73" s="126"/>
      <c r="F73" s="17"/>
      <c r="G73" s="17"/>
      <c r="H73" s="17"/>
      <c r="I73" s="17"/>
      <c r="J73" s="17"/>
      <c r="K73" s="17"/>
      <c r="L73" s="17"/>
      <c r="M73" s="17"/>
      <c r="N73" s="17"/>
      <c r="O73" s="17"/>
      <c r="P73" s="17"/>
      <c r="Q73" s="17"/>
      <c r="R73" s="17"/>
      <c r="S73" s="17"/>
      <c r="T73" s="17"/>
      <c r="U73" s="17"/>
      <c r="V73" s="17"/>
      <c r="W73" s="17"/>
      <c r="X73" s="17"/>
      <c r="Y73" s="17"/>
      <c r="Z73" s="17"/>
      <c r="AA73" s="17"/>
      <c r="AI73" s="39"/>
      <c r="AJ73" s="39"/>
      <c r="AK73" s="39"/>
      <c r="AL73" s="39"/>
      <c r="AT73" s="39"/>
    </row>
    <row r="74" spans="2:46" x14ac:dyDescent="0.3">
      <c r="B74" s="21"/>
      <c r="C74" s="21"/>
      <c r="D74" s="17"/>
      <c r="E74" s="126"/>
      <c r="F74" s="17"/>
      <c r="G74" s="17"/>
      <c r="H74" s="17"/>
      <c r="I74" s="17"/>
      <c r="J74" s="17"/>
      <c r="K74" s="17"/>
      <c r="L74" s="17"/>
      <c r="M74" s="17"/>
      <c r="N74" s="17"/>
      <c r="O74" s="17"/>
      <c r="P74" s="17"/>
      <c r="Q74" s="17"/>
      <c r="R74" s="17"/>
      <c r="S74" s="17"/>
      <c r="T74" s="17"/>
      <c r="U74" s="17"/>
      <c r="V74" s="17"/>
      <c r="W74" s="17"/>
      <c r="X74" s="17"/>
      <c r="Y74" s="17"/>
      <c r="Z74" s="17"/>
      <c r="AA74" s="17"/>
      <c r="AI74" s="39"/>
      <c r="AJ74" s="39"/>
      <c r="AK74" s="39"/>
      <c r="AL74" s="39"/>
      <c r="AT74" s="39"/>
    </row>
    <row r="75" spans="2:46" x14ac:dyDescent="0.3">
      <c r="B75" s="21"/>
      <c r="C75" s="21"/>
      <c r="D75" s="17"/>
      <c r="E75" s="126"/>
      <c r="F75" s="17"/>
      <c r="G75" s="17"/>
      <c r="H75" s="17"/>
      <c r="I75" s="17"/>
      <c r="J75" s="17"/>
      <c r="K75" s="17"/>
      <c r="L75" s="17"/>
      <c r="M75" s="17"/>
      <c r="N75" s="17"/>
      <c r="O75" s="17"/>
      <c r="P75" s="17"/>
      <c r="Q75" s="17"/>
      <c r="R75" s="17"/>
      <c r="S75" s="17"/>
      <c r="T75" s="17"/>
      <c r="U75" s="17"/>
      <c r="V75" s="17"/>
      <c r="W75" s="17"/>
      <c r="X75" s="17"/>
      <c r="Y75" s="17"/>
      <c r="Z75" s="17"/>
      <c r="AA75" s="17"/>
      <c r="AI75" s="39"/>
      <c r="AJ75" s="39"/>
      <c r="AK75" s="39"/>
      <c r="AL75" s="39"/>
      <c r="AT75" s="39"/>
    </row>
    <row r="76" spans="2:46" x14ac:dyDescent="0.3">
      <c r="B76" s="21"/>
      <c r="C76" s="21"/>
      <c r="D76" s="17"/>
      <c r="E76" s="126"/>
      <c r="F76" s="17"/>
      <c r="G76" s="17"/>
      <c r="H76" s="17"/>
      <c r="I76" s="17"/>
      <c r="J76" s="17"/>
      <c r="K76" s="17"/>
      <c r="L76" s="17"/>
      <c r="M76" s="17"/>
      <c r="N76" s="17"/>
      <c r="O76" s="17"/>
      <c r="P76" s="17"/>
      <c r="Q76" s="17"/>
      <c r="R76" s="17"/>
      <c r="S76" s="17"/>
      <c r="T76" s="17"/>
      <c r="U76" s="17"/>
      <c r="V76" s="17"/>
      <c r="W76" s="17"/>
      <c r="X76" s="17"/>
      <c r="Y76" s="17"/>
      <c r="Z76" s="17"/>
      <c r="AA76" s="17"/>
      <c r="AI76" s="39"/>
      <c r="AJ76" s="39"/>
      <c r="AK76" s="39"/>
      <c r="AL76" s="39"/>
      <c r="AT76" s="39"/>
    </row>
    <row r="77" spans="2:46" x14ac:dyDescent="0.3">
      <c r="B77" s="21"/>
      <c r="C77" s="21"/>
      <c r="D77" s="17"/>
      <c r="E77" s="126"/>
      <c r="F77" s="17"/>
      <c r="G77" s="17"/>
      <c r="H77" s="17"/>
      <c r="I77" s="17"/>
      <c r="J77" s="17"/>
      <c r="K77" s="17"/>
      <c r="L77" s="17"/>
      <c r="M77" s="17"/>
      <c r="N77" s="17"/>
      <c r="O77" s="17"/>
      <c r="P77" s="17"/>
      <c r="Q77" s="17"/>
      <c r="R77" s="17"/>
      <c r="S77" s="17"/>
      <c r="T77" s="17"/>
      <c r="U77" s="17"/>
      <c r="V77" s="17"/>
      <c r="W77" s="17"/>
      <c r="X77" s="17"/>
      <c r="Y77" s="17"/>
      <c r="Z77" s="17"/>
      <c r="AA77" s="17"/>
    </row>
    <row r="78" spans="2:46" x14ac:dyDescent="0.3">
      <c r="B78" s="21"/>
      <c r="C78" s="21"/>
      <c r="D78" s="17"/>
      <c r="E78" s="126"/>
      <c r="F78" s="17"/>
      <c r="G78" s="17"/>
      <c r="H78" s="17"/>
      <c r="I78" s="17"/>
      <c r="J78" s="17"/>
      <c r="K78" s="17"/>
      <c r="L78" s="17"/>
      <c r="M78" s="17"/>
      <c r="N78" s="17"/>
      <c r="O78" s="17"/>
      <c r="P78" s="17"/>
      <c r="Q78" s="17"/>
      <c r="R78" s="17"/>
      <c r="S78" s="17"/>
      <c r="T78" s="17"/>
      <c r="U78" s="17"/>
      <c r="V78" s="17"/>
      <c r="W78" s="17"/>
      <c r="X78" s="17"/>
      <c r="Y78" s="17"/>
      <c r="Z78" s="17"/>
      <c r="AA78" s="17"/>
    </row>
    <row r="79" spans="2:46" x14ac:dyDescent="0.3">
      <c r="B79" s="21"/>
      <c r="C79" s="21"/>
      <c r="D79" s="17"/>
      <c r="E79" s="126"/>
      <c r="F79" s="17"/>
      <c r="G79" s="17"/>
      <c r="H79" s="17"/>
      <c r="I79" s="17"/>
      <c r="J79" s="17"/>
      <c r="K79" s="17"/>
      <c r="L79" s="17"/>
      <c r="M79" s="17"/>
      <c r="N79" s="17"/>
      <c r="O79" s="17"/>
      <c r="P79" s="17"/>
      <c r="Q79" s="17"/>
      <c r="R79" s="17"/>
      <c r="S79" s="17"/>
      <c r="T79" s="17"/>
      <c r="U79" s="17"/>
      <c r="V79" s="17"/>
      <c r="W79" s="17"/>
      <c r="X79" s="17"/>
      <c r="Y79" s="17"/>
      <c r="Z79" s="17"/>
      <c r="AA79" s="17"/>
    </row>
    <row r="80" spans="2:46" x14ac:dyDescent="0.3">
      <c r="B80" s="21"/>
      <c r="C80" s="21"/>
      <c r="D80" s="17"/>
      <c r="E80" s="126"/>
      <c r="F80" s="17"/>
      <c r="G80" s="17"/>
      <c r="H80" s="17"/>
      <c r="I80" s="17"/>
      <c r="J80" s="17"/>
      <c r="K80" s="17"/>
      <c r="L80" s="17"/>
      <c r="M80" s="17"/>
      <c r="N80" s="17"/>
      <c r="O80" s="17"/>
      <c r="P80" s="17"/>
      <c r="Q80" s="17"/>
      <c r="R80" s="17"/>
      <c r="S80" s="17"/>
      <c r="T80" s="17"/>
      <c r="U80" s="17"/>
      <c r="V80" s="17"/>
      <c r="W80" s="17"/>
      <c r="X80" s="17"/>
      <c r="Y80" s="17"/>
      <c r="Z80" s="17"/>
      <c r="AA80" s="17"/>
    </row>
    <row r="81" spans="2:27" x14ac:dyDescent="0.3">
      <c r="B81" s="21"/>
      <c r="C81" s="21"/>
      <c r="D81" s="17"/>
      <c r="E81" s="126"/>
      <c r="F81" s="17"/>
      <c r="G81" s="17"/>
      <c r="H81" s="17"/>
      <c r="I81" s="17"/>
      <c r="J81" s="17"/>
      <c r="K81" s="17"/>
      <c r="L81" s="17"/>
      <c r="M81" s="17"/>
      <c r="N81" s="17"/>
      <c r="O81" s="17"/>
      <c r="P81" s="17"/>
      <c r="Q81" s="17"/>
      <c r="R81" s="17"/>
      <c r="S81" s="17"/>
      <c r="T81" s="17"/>
      <c r="U81" s="17"/>
      <c r="V81" s="17"/>
      <c r="W81" s="17"/>
      <c r="X81" s="17"/>
      <c r="Y81" s="17"/>
      <c r="Z81" s="17"/>
      <c r="AA81" s="17"/>
    </row>
    <row r="82" spans="2:27" x14ac:dyDescent="0.3">
      <c r="B82" s="17"/>
      <c r="C82" s="17"/>
      <c r="D82" s="17"/>
      <c r="E82" s="17"/>
      <c r="F82" s="17"/>
      <c r="G82" s="127"/>
      <c r="H82" s="17"/>
      <c r="I82" s="17"/>
      <c r="J82" s="17"/>
      <c r="K82" s="17"/>
      <c r="L82" s="17"/>
      <c r="M82" s="17"/>
      <c r="N82" s="17"/>
      <c r="O82" s="17"/>
      <c r="P82" s="17"/>
      <c r="Q82" s="17"/>
      <c r="R82" s="17"/>
      <c r="S82" s="17"/>
      <c r="T82" s="17"/>
      <c r="U82" s="17"/>
      <c r="V82" s="17"/>
      <c r="W82" s="17"/>
      <c r="X82" s="17"/>
      <c r="Y82" s="17"/>
      <c r="Z82" s="17"/>
      <c r="AA82" s="17"/>
    </row>
    <row r="83" spans="2:27" x14ac:dyDescent="0.3">
      <c r="B83" s="17"/>
      <c r="C83" s="80"/>
      <c r="D83" s="80"/>
      <c r="E83" s="80"/>
      <c r="F83" s="17"/>
      <c r="G83" s="17"/>
      <c r="H83" s="17"/>
      <c r="I83" s="17"/>
      <c r="J83" s="17"/>
      <c r="K83" s="17"/>
      <c r="L83" s="17"/>
      <c r="M83" s="17"/>
      <c r="N83" s="17"/>
      <c r="O83" s="17"/>
      <c r="P83" s="17"/>
      <c r="Q83" s="17"/>
      <c r="R83" s="17"/>
      <c r="S83" s="17"/>
      <c r="T83" s="17"/>
      <c r="U83" s="17"/>
      <c r="V83" s="17"/>
      <c r="W83" s="17"/>
      <c r="X83" s="17"/>
      <c r="Y83" s="17"/>
      <c r="Z83" s="17"/>
      <c r="AA83" s="17"/>
    </row>
    <row r="84" spans="2:27" x14ac:dyDescent="0.3">
      <c r="B84" s="17"/>
      <c r="C84" s="17"/>
      <c r="D84" s="17"/>
      <c r="E84" s="17"/>
      <c r="F84" s="17"/>
      <c r="G84" s="17"/>
      <c r="H84" s="17"/>
      <c r="I84" s="17"/>
      <c r="J84" s="17"/>
      <c r="K84" s="17"/>
      <c r="L84" s="17"/>
      <c r="M84" s="17"/>
      <c r="N84" s="17"/>
      <c r="O84" s="17"/>
      <c r="P84" s="17"/>
      <c r="Q84" s="17"/>
      <c r="R84" s="17"/>
      <c r="S84" s="17"/>
      <c r="T84" s="17"/>
      <c r="U84" s="17"/>
      <c r="V84" s="17"/>
      <c r="W84" s="17"/>
      <c r="X84" s="17"/>
      <c r="Y84" s="17"/>
      <c r="Z84" s="17"/>
      <c r="AA84" s="17"/>
    </row>
    <row r="85" spans="2:27" x14ac:dyDescent="0.3">
      <c r="B85" s="17"/>
      <c r="C85" s="21"/>
      <c r="D85" s="17"/>
      <c r="E85" s="21"/>
      <c r="F85" s="17"/>
      <c r="G85" s="17"/>
      <c r="H85" s="17"/>
      <c r="I85" s="17"/>
      <c r="J85" s="17"/>
      <c r="K85" s="17"/>
      <c r="L85" s="17"/>
      <c r="M85" s="17"/>
      <c r="N85" s="17"/>
      <c r="O85" s="17"/>
      <c r="P85" s="17"/>
      <c r="Q85" s="17"/>
      <c r="R85" s="17"/>
      <c r="S85" s="17"/>
      <c r="T85" s="17"/>
      <c r="U85" s="17"/>
      <c r="V85" s="17"/>
      <c r="W85" s="17"/>
      <c r="X85" s="17"/>
      <c r="Y85" s="17"/>
      <c r="Z85" s="17"/>
      <c r="AA85" s="17"/>
    </row>
    <row r="86" spans="2:27" x14ac:dyDescent="0.3">
      <c r="B86" s="21"/>
      <c r="C86" s="21"/>
      <c r="D86" s="17"/>
      <c r="E86" s="126"/>
      <c r="F86" s="17"/>
      <c r="G86" s="17"/>
      <c r="H86" s="17"/>
      <c r="I86" s="17"/>
      <c r="J86" s="17"/>
      <c r="K86" s="17"/>
      <c r="L86" s="17"/>
      <c r="M86" s="17"/>
      <c r="N86" s="17"/>
      <c r="O86" s="17"/>
      <c r="P86" s="17"/>
      <c r="Q86" s="17"/>
      <c r="R86" s="17"/>
      <c r="S86" s="17"/>
      <c r="T86" s="17"/>
      <c r="U86" s="17"/>
      <c r="V86" s="17"/>
      <c r="W86" s="17"/>
      <c r="X86" s="17"/>
      <c r="Y86" s="17"/>
      <c r="Z86" s="17"/>
      <c r="AA86" s="17"/>
    </row>
    <row r="87" spans="2:27" x14ac:dyDescent="0.3">
      <c r="B87" s="21"/>
      <c r="C87" s="21"/>
      <c r="D87" s="17"/>
      <c r="E87" s="126"/>
      <c r="F87" s="17"/>
      <c r="G87" s="17"/>
      <c r="H87" s="17"/>
      <c r="I87" s="17"/>
      <c r="J87" s="17"/>
      <c r="K87" s="17"/>
      <c r="L87" s="17"/>
      <c r="M87" s="17"/>
      <c r="N87" s="17"/>
      <c r="O87" s="17"/>
      <c r="P87" s="17"/>
      <c r="Q87" s="17"/>
      <c r="R87" s="17"/>
      <c r="S87" s="17"/>
      <c r="T87" s="17"/>
      <c r="U87" s="17"/>
      <c r="V87" s="17"/>
      <c r="W87" s="17"/>
      <c r="X87" s="17"/>
      <c r="Y87" s="17"/>
      <c r="Z87" s="17"/>
      <c r="AA87" s="17"/>
    </row>
    <row r="88" spans="2:27" x14ac:dyDescent="0.3">
      <c r="B88" s="21"/>
      <c r="C88" s="21"/>
      <c r="D88" s="17"/>
      <c r="E88" s="126"/>
      <c r="F88" s="17"/>
      <c r="G88" s="17"/>
      <c r="H88" s="17"/>
      <c r="I88" s="17"/>
      <c r="J88" s="17"/>
      <c r="K88" s="17"/>
      <c r="L88" s="17"/>
      <c r="M88" s="17"/>
      <c r="N88" s="17"/>
      <c r="O88" s="17"/>
      <c r="P88" s="17"/>
      <c r="Q88" s="17"/>
      <c r="R88" s="17"/>
      <c r="S88" s="17"/>
      <c r="T88" s="17"/>
      <c r="U88" s="17"/>
      <c r="V88" s="17"/>
      <c r="W88" s="17"/>
      <c r="X88" s="17"/>
      <c r="Y88" s="17"/>
      <c r="Z88" s="17"/>
      <c r="AA88" s="17"/>
    </row>
    <row r="89" spans="2:27" x14ac:dyDescent="0.3">
      <c r="B89" s="21"/>
      <c r="C89" s="21"/>
      <c r="D89" s="17"/>
      <c r="E89" s="126"/>
      <c r="F89" s="17"/>
      <c r="G89" s="17"/>
      <c r="H89" s="17"/>
      <c r="I89" s="17"/>
      <c r="J89" s="17"/>
      <c r="K89" s="17"/>
      <c r="L89" s="17"/>
      <c r="M89" s="17"/>
      <c r="N89" s="17"/>
      <c r="O89" s="17"/>
      <c r="P89" s="17"/>
      <c r="Q89" s="17"/>
      <c r="R89" s="17"/>
      <c r="S89" s="17"/>
      <c r="T89" s="17"/>
      <c r="U89" s="17"/>
      <c r="V89" s="17"/>
      <c r="W89" s="17"/>
      <c r="X89" s="17"/>
      <c r="Y89" s="17"/>
      <c r="Z89" s="17"/>
      <c r="AA89" s="17"/>
    </row>
    <row r="90" spans="2:27" x14ac:dyDescent="0.3">
      <c r="B90" s="21"/>
      <c r="C90" s="21"/>
      <c r="D90" s="17"/>
      <c r="E90" s="126"/>
      <c r="F90" s="17"/>
      <c r="G90" s="17"/>
      <c r="H90" s="17"/>
      <c r="I90" s="17"/>
      <c r="J90" s="17"/>
      <c r="K90" s="17"/>
      <c r="L90" s="17"/>
      <c r="M90" s="17"/>
      <c r="N90" s="17"/>
      <c r="O90" s="17"/>
      <c r="P90" s="17"/>
      <c r="Q90" s="17"/>
      <c r="R90" s="17"/>
      <c r="S90" s="17"/>
      <c r="T90" s="17"/>
      <c r="U90" s="17"/>
      <c r="V90" s="17"/>
      <c r="W90" s="17"/>
      <c r="X90" s="17"/>
      <c r="Y90" s="17"/>
      <c r="Z90" s="17"/>
      <c r="AA90" s="17"/>
    </row>
    <row r="91" spans="2:27" x14ac:dyDescent="0.3">
      <c r="B91" s="21"/>
      <c r="C91" s="21"/>
      <c r="D91" s="17"/>
      <c r="E91" s="126"/>
      <c r="F91" s="17"/>
      <c r="G91" s="17"/>
      <c r="H91" s="17"/>
      <c r="I91" s="17"/>
      <c r="J91" s="17"/>
      <c r="K91" s="17"/>
      <c r="L91" s="17"/>
      <c r="M91" s="17"/>
      <c r="N91" s="17"/>
      <c r="O91" s="17"/>
      <c r="P91" s="17"/>
      <c r="Q91" s="17"/>
      <c r="R91" s="17"/>
      <c r="S91" s="17"/>
      <c r="T91" s="17"/>
      <c r="U91" s="17"/>
      <c r="V91" s="17"/>
      <c r="W91" s="17"/>
      <c r="X91" s="17"/>
      <c r="Y91" s="17"/>
      <c r="Z91" s="17"/>
      <c r="AA91" s="17"/>
    </row>
    <row r="92" spans="2:27" x14ac:dyDescent="0.3">
      <c r="B92" s="21"/>
      <c r="C92" s="21"/>
      <c r="D92" s="17"/>
      <c r="E92" s="126"/>
      <c r="F92" s="17"/>
      <c r="G92" s="17"/>
      <c r="H92" s="17"/>
      <c r="I92" s="17"/>
      <c r="J92" s="17"/>
      <c r="K92" s="17"/>
      <c r="L92" s="17"/>
      <c r="M92" s="17"/>
      <c r="N92" s="17"/>
      <c r="O92" s="17"/>
      <c r="P92" s="17"/>
      <c r="Q92" s="17"/>
      <c r="R92" s="17"/>
      <c r="S92" s="17"/>
      <c r="T92" s="17"/>
      <c r="U92" s="17"/>
      <c r="V92" s="17"/>
      <c r="W92" s="17"/>
      <c r="X92" s="17"/>
      <c r="Y92" s="17"/>
      <c r="Z92" s="17"/>
      <c r="AA92" s="17"/>
    </row>
    <row r="93" spans="2:27" x14ac:dyDescent="0.3">
      <c r="B93" s="21"/>
      <c r="C93" s="21"/>
      <c r="D93" s="17"/>
      <c r="E93" s="126"/>
      <c r="F93" s="17"/>
      <c r="G93" s="17"/>
      <c r="H93" s="17"/>
      <c r="I93" s="17"/>
      <c r="J93" s="17"/>
      <c r="K93" s="17"/>
      <c r="L93" s="17"/>
      <c r="M93" s="17"/>
      <c r="N93" s="17"/>
      <c r="O93" s="17"/>
      <c r="P93" s="17"/>
      <c r="Q93" s="17"/>
      <c r="R93" s="17"/>
      <c r="S93" s="17"/>
      <c r="T93" s="17"/>
      <c r="U93" s="17"/>
      <c r="V93" s="17"/>
      <c r="W93" s="17"/>
      <c r="X93" s="17"/>
      <c r="Y93" s="17"/>
      <c r="Z93" s="17"/>
      <c r="AA93" s="17"/>
    </row>
    <row r="94" spans="2:27" x14ac:dyDescent="0.3">
      <c r="B94" s="21"/>
      <c r="C94" s="21"/>
      <c r="D94" s="17"/>
      <c r="E94" s="126"/>
      <c r="F94" s="17"/>
      <c r="G94" s="17"/>
      <c r="H94" s="17"/>
      <c r="I94" s="17"/>
      <c r="J94" s="17"/>
      <c r="K94" s="17"/>
      <c r="L94" s="17"/>
      <c r="M94" s="17"/>
      <c r="N94" s="17"/>
      <c r="O94" s="17"/>
      <c r="P94" s="17"/>
      <c r="Q94" s="17"/>
      <c r="R94" s="17"/>
      <c r="S94" s="17"/>
      <c r="T94" s="17"/>
      <c r="U94" s="17"/>
      <c r="V94" s="17"/>
      <c r="W94" s="17"/>
      <c r="X94" s="17"/>
      <c r="Y94" s="17"/>
      <c r="Z94" s="17"/>
      <c r="AA94" s="17"/>
    </row>
    <row r="95" spans="2:27" x14ac:dyDescent="0.3">
      <c r="B95" s="21"/>
      <c r="C95" s="21"/>
      <c r="D95" s="17"/>
      <c r="E95" s="126"/>
      <c r="F95" s="17"/>
      <c r="G95" s="17"/>
      <c r="H95" s="17"/>
      <c r="I95" s="17"/>
      <c r="J95" s="17"/>
      <c r="K95" s="17"/>
      <c r="L95" s="17"/>
      <c r="M95" s="17"/>
      <c r="N95" s="17"/>
      <c r="O95" s="17"/>
      <c r="P95" s="17"/>
      <c r="Q95" s="17"/>
      <c r="R95" s="17"/>
      <c r="S95" s="17"/>
      <c r="T95" s="17"/>
      <c r="U95" s="17"/>
      <c r="V95" s="17"/>
      <c r="W95" s="17"/>
      <c r="X95" s="17"/>
      <c r="Y95" s="17"/>
      <c r="Z95" s="17"/>
      <c r="AA95" s="17"/>
    </row>
    <row r="96" spans="2:27" x14ac:dyDescent="0.3">
      <c r="B96" s="17"/>
      <c r="C96" s="17"/>
      <c r="D96" s="17"/>
      <c r="E96" s="17"/>
      <c r="F96" s="17"/>
      <c r="G96" s="127"/>
      <c r="H96" s="17"/>
      <c r="I96" s="17"/>
      <c r="J96" s="17"/>
      <c r="K96" s="17"/>
      <c r="L96" s="17"/>
      <c r="M96" s="17"/>
      <c r="N96" s="17"/>
      <c r="O96" s="17"/>
      <c r="P96" s="17"/>
      <c r="Q96" s="17"/>
      <c r="R96" s="17"/>
      <c r="S96" s="17"/>
      <c r="T96" s="17"/>
      <c r="U96" s="17"/>
      <c r="V96" s="17"/>
      <c r="W96" s="17"/>
      <c r="X96" s="17"/>
      <c r="Y96" s="17"/>
      <c r="Z96" s="17"/>
      <c r="AA96" s="17"/>
    </row>
    <row r="97" spans="2:27" x14ac:dyDescent="0.3">
      <c r="B97" s="17"/>
      <c r="C97" s="80"/>
      <c r="D97" s="80"/>
      <c r="E97" s="80"/>
      <c r="F97" s="17"/>
      <c r="G97" s="17"/>
      <c r="H97" s="17"/>
      <c r="I97" s="17"/>
      <c r="J97" s="17"/>
      <c r="K97" s="17"/>
      <c r="L97" s="17"/>
      <c r="M97" s="17"/>
      <c r="N97" s="17"/>
      <c r="O97" s="17"/>
      <c r="P97" s="17"/>
      <c r="Q97" s="17"/>
      <c r="R97" s="17"/>
      <c r="S97" s="17"/>
      <c r="T97" s="17"/>
      <c r="U97" s="17"/>
      <c r="V97" s="17"/>
      <c r="W97" s="17"/>
      <c r="X97" s="17"/>
      <c r="Y97" s="17"/>
      <c r="Z97" s="17"/>
      <c r="AA97" s="17"/>
    </row>
    <row r="98" spans="2:27" x14ac:dyDescent="0.3">
      <c r="B98" s="17"/>
      <c r="C98" s="17"/>
      <c r="D98" s="17"/>
      <c r="E98" s="17"/>
      <c r="F98" s="17"/>
      <c r="G98" s="17"/>
      <c r="H98" s="17"/>
      <c r="I98" s="17"/>
      <c r="J98" s="17"/>
      <c r="K98" s="17"/>
      <c r="L98" s="17"/>
      <c r="M98" s="17"/>
      <c r="N98" s="17"/>
      <c r="O98" s="17"/>
      <c r="P98" s="17"/>
      <c r="Q98" s="17"/>
      <c r="R98" s="17"/>
      <c r="S98" s="17"/>
      <c r="T98" s="17"/>
      <c r="U98" s="17"/>
      <c r="V98" s="17"/>
      <c r="W98" s="17"/>
      <c r="X98" s="17"/>
      <c r="Y98" s="17"/>
      <c r="Z98" s="17"/>
      <c r="AA98" s="17"/>
    </row>
    <row r="99" spans="2:27" x14ac:dyDescent="0.3">
      <c r="B99" s="17"/>
      <c r="C99" s="80"/>
      <c r="D99" s="80"/>
      <c r="E99" s="80"/>
      <c r="F99" s="17"/>
      <c r="G99" s="17"/>
      <c r="H99" s="17"/>
      <c r="I99" s="17"/>
      <c r="J99" s="17"/>
      <c r="K99" s="17"/>
      <c r="L99" s="17"/>
      <c r="M99" s="17"/>
      <c r="N99" s="17"/>
      <c r="O99" s="17"/>
      <c r="P99" s="17"/>
      <c r="Q99" s="17"/>
      <c r="R99" s="17"/>
      <c r="S99" s="17"/>
      <c r="T99" s="17"/>
      <c r="U99" s="17"/>
      <c r="V99" s="17"/>
      <c r="W99" s="17"/>
      <c r="X99" s="17"/>
      <c r="Y99" s="17"/>
      <c r="Z99" s="17"/>
      <c r="AA99" s="17"/>
    </row>
    <row r="100" spans="2:27" x14ac:dyDescent="0.3">
      <c r="B100" s="17"/>
      <c r="C100" s="80"/>
      <c r="D100" s="80"/>
      <c r="E100" s="80"/>
      <c r="F100" s="17"/>
      <c r="G100" s="17"/>
      <c r="H100" s="17"/>
      <c r="I100" s="17"/>
      <c r="J100" s="17"/>
      <c r="K100" s="17"/>
      <c r="L100" s="17"/>
      <c r="M100" s="17"/>
      <c r="N100" s="17"/>
      <c r="O100" s="17"/>
      <c r="P100" s="17"/>
      <c r="Q100" s="17"/>
      <c r="R100" s="17"/>
      <c r="S100" s="17"/>
      <c r="T100" s="17"/>
      <c r="U100" s="17"/>
      <c r="V100" s="17"/>
      <c r="W100" s="17"/>
      <c r="X100" s="17"/>
      <c r="Y100" s="17"/>
      <c r="Z100" s="17"/>
      <c r="AA100" s="17"/>
    </row>
    <row r="101" spans="2:27" x14ac:dyDescent="0.3">
      <c r="B101" s="17"/>
      <c r="C101" s="80"/>
      <c r="D101" s="80"/>
      <c r="E101" s="80"/>
      <c r="F101" s="17"/>
      <c r="G101" s="17"/>
      <c r="H101" s="17"/>
      <c r="I101" s="17"/>
      <c r="J101" s="17"/>
      <c r="K101" s="17"/>
      <c r="L101" s="17"/>
      <c r="M101" s="17"/>
      <c r="N101" s="17"/>
      <c r="O101" s="17"/>
      <c r="P101" s="17"/>
      <c r="Q101" s="17"/>
      <c r="R101" s="17"/>
      <c r="S101" s="17"/>
      <c r="T101" s="17"/>
      <c r="U101" s="17"/>
      <c r="V101" s="17"/>
      <c r="W101" s="17"/>
      <c r="X101" s="17"/>
      <c r="Y101" s="17"/>
      <c r="Z101" s="17"/>
      <c r="AA101" s="17"/>
    </row>
    <row r="102" spans="2:27" x14ac:dyDescent="0.3">
      <c r="B102" s="17"/>
      <c r="C102" s="17"/>
      <c r="D102" s="17"/>
      <c r="E102" s="17"/>
      <c r="F102" s="17"/>
      <c r="G102" s="17"/>
      <c r="H102" s="17"/>
      <c r="I102" s="17"/>
      <c r="J102" s="17"/>
      <c r="K102" s="17"/>
      <c r="L102" s="17"/>
      <c r="M102" s="17"/>
      <c r="N102" s="17"/>
      <c r="O102" s="17"/>
      <c r="P102" s="17"/>
      <c r="Q102" s="17"/>
      <c r="R102" s="17"/>
      <c r="S102" s="17"/>
      <c r="T102" s="17"/>
      <c r="U102" s="17"/>
      <c r="V102" s="17"/>
      <c r="W102" s="17"/>
      <c r="X102" s="17"/>
      <c r="Y102" s="17"/>
      <c r="Z102" s="17"/>
      <c r="AA102" s="17"/>
    </row>
    <row r="103" spans="2:27" x14ac:dyDescent="0.3">
      <c r="B103" s="17"/>
      <c r="C103" s="17"/>
      <c r="D103" s="17"/>
      <c r="E103" s="17"/>
      <c r="F103" s="17"/>
      <c r="G103" s="17"/>
      <c r="H103" s="17"/>
      <c r="I103" s="17"/>
      <c r="J103" s="17"/>
      <c r="K103" s="17"/>
      <c r="L103" s="17"/>
      <c r="M103" s="17"/>
      <c r="N103" s="17"/>
      <c r="O103" s="17"/>
      <c r="P103" s="17"/>
      <c r="Q103" s="17"/>
      <c r="R103" s="17"/>
      <c r="S103" s="17"/>
      <c r="T103" s="17"/>
      <c r="U103" s="17"/>
      <c r="V103" s="17"/>
      <c r="W103" s="17"/>
      <c r="X103" s="17"/>
      <c r="Y103" s="17"/>
      <c r="Z103" s="17"/>
      <c r="AA103" s="17"/>
    </row>
    <row r="104" spans="2:27" x14ac:dyDescent="0.3">
      <c r="B104" s="17"/>
      <c r="C104" s="17"/>
      <c r="D104" s="17"/>
      <c r="E104" s="17"/>
      <c r="F104" s="17"/>
      <c r="G104" s="17"/>
      <c r="H104" s="17"/>
      <c r="I104" s="17"/>
      <c r="J104" s="17"/>
      <c r="K104" s="17"/>
      <c r="L104" s="17"/>
      <c r="M104" s="17"/>
      <c r="N104" s="17"/>
      <c r="O104" s="17"/>
      <c r="P104" s="17"/>
      <c r="Q104" s="17"/>
      <c r="R104" s="17"/>
      <c r="S104" s="17"/>
      <c r="T104" s="17"/>
      <c r="U104" s="17"/>
      <c r="V104" s="17"/>
      <c r="W104" s="17"/>
      <c r="X104" s="17"/>
      <c r="Y104" s="17"/>
      <c r="Z104" s="17"/>
      <c r="AA104" s="17"/>
    </row>
    <row r="105" spans="2:27" x14ac:dyDescent="0.3">
      <c r="B105" s="17"/>
      <c r="C105" s="17"/>
      <c r="D105" s="17"/>
      <c r="E105" s="17"/>
      <c r="F105" s="80"/>
      <c r="G105" s="17"/>
      <c r="H105" s="17"/>
      <c r="I105" s="17"/>
      <c r="J105" s="17"/>
      <c r="K105" s="17"/>
      <c r="L105" s="17"/>
      <c r="M105" s="17"/>
      <c r="N105" s="17"/>
      <c r="O105" s="17"/>
      <c r="P105" s="17"/>
      <c r="Q105" s="17"/>
      <c r="R105" s="17"/>
      <c r="S105" s="17"/>
      <c r="T105" s="17"/>
      <c r="U105" s="17"/>
      <c r="V105" s="17"/>
      <c r="W105" s="17"/>
      <c r="X105" s="17"/>
      <c r="Y105" s="17"/>
      <c r="Z105" s="17"/>
      <c r="AA105" s="17"/>
    </row>
    <row r="106" spans="2:27" x14ac:dyDescent="0.3">
      <c r="B106" s="17"/>
      <c r="C106" s="80"/>
      <c r="D106" s="80"/>
      <c r="E106" s="80"/>
      <c r="F106" s="17"/>
      <c r="G106" s="17"/>
      <c r="H106" s="17"/>
      <c r="I106" s="17"/>
      <c r="J106" s="17"/>
      <c r="K106" s="17"/>
      <c r="L106" s="17"/>
      <c r="M106" s="17"/>
      <c r="N106" s="17"/>
      <c r="O106" s="17"/>
      <c r="P106" s="17"/>
      <c r="Q106" s="17"/>
      <c r="R106" s="17"/>
      <c r="S106" s="17"/>
      <c r="T106" s="17"/>
      <c r="U106" s="17"/>
      <c r="V106" s="17"/>
      <c r="W106" s="17"/>
      <c r="X106" s="17"/>
      <c r="Y106" s="17"/>
      <c r="Z106" s="17"/>
      <c r="AA106" s="17"/>
    </row>
    <row r="107" spans="2:27" x14ac:dyDescent="0.3">
      <c r="B107" s="17"/>
      <c r="C107" s="80"/>
      <c r="D107" s="80"/>
      <c r="E107" s="80"/>
      <c r="F107" s="80"/>
      <c r="G107" s="17"/>
      <c r="H107" s="17"/>
      <c r="I107" s="17"/>
      <c r="J107" s="17"/>
      <c r="K107" s="17"/>
      <c r="L107" s="17"/>
      <c r="M107" s="17"/>
      <c r="N107" s="17"/>
      <c r="O107" s="17"/>
      <c r="P107" s="17"/>
      <c r="Q107" s="17"/>
      <c r="R107" s="17"/>
      <c r="S107" s="17"/>
      <c r="T107" s="17"/>
      <c r="U107" s="17"/>
      <c r="V107" s="17"/>
      <c r="W107" s="17"/>
      <c r="X107" s="17"/>
      <c r="Y107" s="17"/>
      <c r="Z107" s="17"/>
      <c r="AA107" s="17"/>
    </row>
    <row r="108" spans="2:27" x14ac:dyDescent="0.3">
      <c r="B108" s="17"/>
      <c r="C108" s="80"/>
      <c r="D108" s="80"/>
      <c r="E108" s="80"/>
      <c r="F108" s="80"/>
      <c r="G108" s="17"/>
      <c r="H108" s="17"/>
      <c r="I108" s="17"/>
      <c r="J108" s="17"/>
      <c r="K108" s="17"/>
      <c r="L108" s="17"/>
      <c r="M108" s="17"/>
      <c r="N108" s="17"/>
      <c r="O108" s="17"/>
      <c r="P108" s="17"/>
      <c r="Q108" s="17"/>
      <c r="R108" s="17"/>
      <c r="S108" s="17"/>
      <c r="T108" s="17"/>
      <c r="U108" s="17"/>
      <c r="V108" s="17"/>
      <c r="W108" s="17"/>
      <c r="X108" s="17"/>
      <c r="Y108" s="17"/>
      <c r="Z108" s="17"/>
      <c r="AA108" s="17"/>
    </row>
    <row r="109" spans="2:27" x14ac:dyDescent="0.3">
      <c r="B109" s="17"/>
      <c r="C109" s="17"/>
      <c r="D109" s="17"/>
      <c r="E109" s="17"/>
      <c r="F109" s="80"/>
      <c r="G109" s="17"/>
      <c r="H109" s="17"/>
      <c r="I109" s="17"/>
      <c r="J109" s="17"/>
      <c r="K109" s="17"/>
      <c r="L109" s="17"/>
      <c r="M109" s="17"/>
      <c r="N109" s="17"/>
      <c r="O109" s="17"/>
      <c r="P109" s="17"/>
      <c r="Q109" s="17"/>
      <c r="R109" s="17"/>
      <c r="S109" s="17"/>
      <c r="T109" s="17"/>
      <c r="U109" s="17"/>
      <c r="V109" s="17"/>
      <c r="W109" s="17"/>
      <c r="X109" s="17"/>
      <c r="Y109" s="17"/>
      <c r="Z109" s="17"/>
      <c r="AA109" s="17"/>
    </row>
    <row r="110" spans="2:27" x14ac:dyDescent="0.3">
      <c r="B110" s="17"/>
      <c r="C110" s="17"/>
      <c r="D110" s="17"/>
      <c r="E110" s="17"/>
      <c r="F110" s="80"/>
      <c r="G110" s="17"/>
      <c r="H110" s="17"/>
      <c r="I110" s="17"/>
      <c r="J110" s="17"/>
      <c r="K110" s="17"/>
      <c r="L110" s="17"/>
      <c r="M110" s="17"/>
      <c r="N110" s="17"/>
      <c r="O110" s="17"/>
      <c r="P110" s="17"/>
      <c r="Q110" s="17"/>
      <c r="R110" s="17"/>
      <c r="S110" s="17"/>
      <c r="T110" s="17"/>
      <c r="U110" s="17"/>
      <c r="V110" s="17"/>
      <c r="W110" s="17"/>
      <c r="X110" s="17"/>
      <c r="Y110" s="17"/>
      <c r="Z110" s="17"/>
      <c r="AA110" s="17"/>
    </row>
    <row r="111" spans="2:27" x14ac:dyDescent="0.3">
      <c r="B111" s="17"/>
      <c r="C111" s="17"/>
      <c r="D111" s="17"/>
      <c r="E111" s="17"/>
      <c r="F111" s="80"/>
      <c r="G111" s="17"/>
      <c r="H111" s="17"/>
      <c r="I111" s="17"/>
      <c r="J111" s="17"/>
      <c r="K111" s="17"/>
      <c r="L111" s="17"/>
      <c r="M111" s="17"/>
      <c r="N111" s="17"/>
      <c r="O111" s="17"/>
      <c r="P111" s="17"/>
      <c r="Q111" s="17"/>
      <c r="R111" s="17"/>
      <c r="S111" s="17"/>
      <c r="T111" s="17"/>
      <c r="U111" s="17"/>
      <c r="V111" s="17"/>
      <c r="W111" s="17"/>
      <c r="X111" s="17"/>
      <c r="Y111" s="17"/>
      <c r="Z111" s="17"/>
      <c r="AA111" s="17"/>
    </row>
    <row r="112" spans="2:27" x14ac:dyDescent="0.3">
      <c r="B112" s="17"/>
      <c r="C112" s="17"/>
      <c r="D112" s="17"/>
      <c r="E112" s="17"/>
      <c r="F112" s="80"/>
      <c r="G112" s="17"/>
      <c r="H112" s="17"/>
      <c r="I112" s="17"/>
      <c r="J112" s="17"/>
      <c r="K112" s="17"/>
      <c r="L112" s="17"/>
      <c r="M112" s="17"/>
      <c r="N112" s="17"/>
      <c r="O112" s="17"/>
      <c r="P112" s="17"/>
      <c r="Q112" s="17"/>
      <c r="R112" s="17"/>
      <c r="S112" s="17"/>
      <c r="T112" s="17"/>
      <c r="U112" s="17"/>
      <c r="V112" s="17"/>
      <c r="W112" s="17"/>
      <c r="X112" s="17"/>
      <c r="Y112" s="17"/>
      <c r="Z112" s="17"/>
      <c r="AA112" s="17"/>
    </row>
    <row r="113" spans="2:27" x14ac:dyDescent="0.3">
      <c r="B113" s="17"/>
      <c r="C113" s="17"/>
      <c r="D113" s="17"/>
      <c r="E113" s="17"/>
      <c r="F113" s="80"/>
      <c r="G113" s="17"/>
      <c r="H113" s="17"/>
      <c r="I113" s="17"/>
      <c r="J113" s="17"/>
      <c r="K113" s="17"/>
      <c r="L113" s="17"/>
      <c r="M113" s="17"/>
      <c r="N113" s="17"/>
      <c r="O113" s="17"/>
      <c r="P113" s="17"/>
      <c r="Q113" s="17"/>
      <c r="R113" s="17"/>
      <c r="S113" s="17"/>
      <c r="T113" s="17"/>
      <c r="U113" s="17"/>
      <c r="V113" s="17"/>
      <c r="W113" s="17"/>
      <c r="X113" s="17"/>
      <c r="Y113" s="17"/>
      <c r="Z113" s="17"/>
      <c r="AA113" s="17"/>
    </row>
    <row r="114" spans="2:27" x14ac:dyDescent="0.3">
      <c r="B114" s="17"/>
      <c r="C114" s="17"/>
      <c r="D114" s="17"/>
      <c r="E114" s="17"/>
      <c r="F114" s="80"/>
      <c r="G114" s="17"/>
      <c r="H114" s="17"/>
      <c r="I114" s="17"/>
      <c r="J114" s="17"/>
      <c r="K114" s="17"/>
      <c r="L114" s="17"/>
      <c r="M114" s="17"/>
      <c r="N114" s="17"/>
      <c r="O114" s="17"/>
      <c r="P114" s="17"/>
      <c r="Q114" s="17"/>
      <c r="R114" s="17"/>
      <c r="S114" s="17"/>
      <c r="T114" s="17"/>
      <c r="U114" s="17"/>
      <c r="V114" s="17"/>
      <c r="W114" s="17"/>
      <c r="X114" s="17"/>
      <c r="Y114" s="17"/>
      <c r="Z114" s="17"/>
      <c r="AA114" s="17"/>
    </row>
    <row r="115" spans="2:27" x14ac:dyDescent="0.3">
      <c r="B115" s="17"/>
      <c r="C115" s="17"/>
      <c r="D115" s="17"/>
      <c r="E115" s="17"/>
      <c r="F115" s="80"/>
      <c r="G115" s="17"/>
      <c r="H115" s="17"/>
      <c r="I115" s="17"/>
      <c r="J115" s="17"/>
      <c r="K115" s="17"/>
      <c r="L115" s="17"/>
      <c r="M115" s="17"/>
      <c r="N115" s="17"/>
      <c r="O115" s="17"/>
      <c r="P115" s="17"/>
      <c r="Q115" s="17"/>
      <c r="R115" s="17"/>
      <c r="S115" s="17"/>
      <c r="T115" s="17"/>
      <c r="U115" s="17"/>
      <c r="V115" s="17"/>
      <c r="W115" s="17"/>
      <c r="X115" s="17"/>
      <c r="Y115" s="17"/>
      <c r="Z115" s="17"/>
      <c r="AA115" s="17"/>
    </row>
    <row r="116" spans="2:27" x14ac:dyDescent="0.3">
      <c r="B116" s="17"/>
      <c r="C116" s="17"/>
      <c r="D116" s="17"/>
      <c r="E116" s="17"/>
      <c r="F116" s="80"/>
      <c r="G116" s="17"/>
      <c r="H116" s="17"/>
      <c r="I116" s="17"/>
      <c r="J116" s="17"/>
      <c r="K116" s="17"/>
      <c r="L116" s="17"/>
      <c r="M116" s="17"/>
      <c r="N116" s="17"/>
      <c r="O116" s="17"/>
      <c r="P116" s="17"/>
      <c r="Q116" s="17"/>
      <c r="R116" s="17"/>
      <c r="S116" s="17"/>
      <c r="T116" s="17"/>
      <c r="U116" s="17"/>
      <c r="V116" s="17"/>
      <c r="W116" s="17"/>
      <c r="X116" s="17"/>
      <c r="Y116" s="17"/>
      <c r="Z116" s="17"/>
      <c r="AA116" s="17"/>
    </row>
    <row r="117" spans="2:27" x14ac:dyDescent="0.3">
      <c r="B117" s="17"/>
      <c r="C117" s="17"/>
      <c r="D117" s="17"/>
      <c r="E117" s="17"/>
      <c r="F117" s="80"/>
      <c r="G117" s="17"/>
      <c r="H117" s="17"/>
      <c r="I117" s="17"/>
      <c r="J117" s="17"/>
      <c r="K117" s="17"/>
      <c r="L117" s="17"/>
      <c r="M117" s="17"/>
      <c r="N117" s="17"/>
      <c r="O117" s="17"/>
      <c r="P117" s="17"/>
      <c r="Q117" s="17"/>
      <c r="R117" s="17"/>
      <c r="S117" s="17"/>
      <c r="T117" s="17"/>
      <c r="U117" s="17"/>
      <c r="V117" s="17"/>
      <c r="W117" s="17"/>
      <c r="X117" s="17"/>
      <c r="Y117" s="17"/>
      <c r="Z117" s="17"/>
      <c r="AA117" s="17"/>
    </row>
    <row r="118" spans="2:27" x14ac:dyDescent="0.3">
      <c r="B118" s="17"/>
      <c r="C118" s="17"/>
      <c r="D118" s="17"/>
      <c r="E118" s="17"/>
      <c r="F118" s="80"/>
      <c r="G118" s="17"/>
      <c r="H118" s="17"/>
      <c r="I118" s="17"/>
      <c r="J118" s="17"/>
      <c r="K118" s="17"/>
      <c r="L118" s="17"/>
      <c r="M118" s="17"/>
      <c r="N118" s="17"/>
      <c r="O118" s="17"/>
      <c r="P118" s="17"/>
      <c r="Q118" s="17"/>
      <c r="R118" s="17"/>
      <c r="S118" s="17"/>
      <c r="T118" s="17"/>
      <c r="U118" s="17"/>
      <c r="V118" s="17"/>
      <c r="W118" s="17"/>
      <c r="X118" s="17"/>
      <c r="Y118" s="17"/>
      <c r="Z118" s="17"/>
      <c r="AA118" s="17"/>
    </row>
    <row r="119" spans="2:27" x14ac:dyDescent="0.3">
      <c r="B119" s="17"/>
      <c r="C119" s="17"/>
      <c r="D119" s="17"/>
      <c r="E119" s="17"/>
      <c r="F119" s="80"/>
      <c r="G119" s="17"/>
      <c r="H119" s="17"/>
      <c r="I119" s="17"/>
      <c r="J119" s="17"/>
      <c r="K119" s="17"/>
      <c r="L119" s="17"/>
      <c r="M119" s="17"/>
      <c r="N119" s="17"/>
      <c r="O119" s="17"/>
      <c r="P119" s="17"/>
      <c r="Q119" s="17"/>
      <c r="R119" s="17"/>
      <c r="S119" s="17"/>
      <c r="T119" s="17"/>
      <c r="U119" s="17"/>
      <c r="V119" s="17"/>
      <c r="W119" s="17"/>
      <c r="X119" s="17"/>
      <c r="Y119" s="17"/>
      <c r="Z119" s="17"/>
      <c r="AA119" s="17"/>
    </row>
    <row r="120" spans="2:27" x14ac:dyDescent="0.3">
      <c r="B120" s="17"/>
      <c r="C120" s="17"/>
      <c r="D120" s="17"/>
      <c r="E120" s="17"/>
      <c r="F120" s="80"/>
      <c r="G120" s="17"/>
      <c r="H120" s="17"/>
      <c r="I120" s="17"/>
      <c r="J120" s="17"/>
      <c r="K120" s="17"/>
      <c r="L120" s="17"/>
      <c r="M120" s="17"/>
      <c r="N120" s="17"/>
      <c r="O120" s="17"/>
      <c r="P120" s="17"/>
      <c r="Q120" s="17"/>
      <c r="R120" s="17"/>
      <c r="S120" s="17"/>
      <c r="T120" s="17"/>
      <c r="U120" s="17"/>
      <c r="V120" s="17"/>
      <c r="W120" s="17"/>
      <c r="X120" s="17"/>
      <c r="Y120" s="17"/>
      <c r="Z120" s="17"/>
      <c r="AA120" s="17"/>
    </row>
    <row r="121" spans="2:27" x14ac:dyDescent="0.3">
      <c r="B121" s="17"/>
      <c r="C121" s="17"/>
      <c r="D121" s="17"/>
      <c r="E121" s="17"/>
      <c r="F121" s="80"/>
      <c r="G121" s="17"/>
      <c r="H121" s="17"/>
      <c r="I121" s="17"/>
      <c r="J121" s="17"/>
      <c r="K121" s="17"/>
      <c r="L121" s="17"/>
      <c r="M121" s="17"/>
      <c r="N121" s="17"/>
      <c r="O121" s="17"/>
      <c r="P121" s="17"/>
      <c r="Q121" s="17"/>
      <c r="R121" s="17"/>
      <c r="S121" s="17"/>
      <c r="T121" s="17"/>
      <c r="U121" s="17"/>
      <c r="V121" s="17"/>
      <c r="W121" s="17"/>
      <c r="X121" s="17"/>
      <c r="Y121" s="17"/>
      <c r="Z121" s="17"/>
      <c r="AA121" s="17"/>
    </row>
    <row r="122" spans="2:27" x14ac:dyDescent="0.3">
      <c r="B122" s="17"/>
      <c r="C122" s="17"/>
      <c r="D122" s="17"/>
      <c r="E122" s="17"/>
      <c r="F122" s="80"/>
      <c r="G122" s="17"/>
      <c r="H122" s="17"/>
      <c r="I122" s="17"/>
      <c r="J122" s="17"/>
      <c r="K122" s="17"/>
      <c r="L122" s="17"/>
      <c r="M122" s="17"/>
      <c r="N122" s="17"/>
      <c r="O122" s="17"/>
      <c r="P122" s="17"/>
      <c r="Q122" s="17"/>
      <c r="R122" s="17"/>
      <c r="S122" s="17"/>
      <c r="T122" s="17"/>
      <c r="U122" s="17"/>
      <c r="V122" s="17"/>
      <c r="W122" s="17"/>
      <c r="X122" s="17"/>
      <c r="Y122" s="17"/>
      <c r="Z122" s="17"/>
      <c r="AA122" s="17"/>
    </row>
    <row r="123" spans="2:27" x14ac:dyDescent="0.3">
      <c r="B123" s="17"/>
      <c r="C123" s="17"/>
      <c r="D123" s="17"/>
      <c r="E123" s="17"/>
      <c r="F123" s="80"/>
      <c r="G123" s="17"/>
      <c r="H123" s="17"/>
      <c r="I123" s="17"/>
      <c r="J123" s="17"/>
      <c r="K123" s="17"/>
      <c r="L123" s="17"/>
      <c r="M123" s="17"/>
      <c r="N123" s="17"/>
      <c r="O123" s="17"/>
      <c r="P123" s="17"/>
      <c r="Q123" s="17"/>
      <c r="R123" s="17"/>
      <c r="S123" s="17"/>
      <c r="T123" s="17"/>
      <c r="U123" s="17"/>
      <c r="V123" s="17"/>
      <c r="W123" s="17"/>
      <c r="X123" s="17"/>
      <c r="Y123" s="17"/>
      <c r="Z123" s="17"/>
      <c r="AA123" s="17"/>
    </row>
    <row r="124" spans="2:27" x14ac:dyDescent="0.3">
      <c r="B124" s="17"/>
      <c r="C124" s="17"/>
      <c r="D124" s="17"/>
      <c r="E124" s="17"/>
      <c r="F124" s="80"/>
      <c r="G124" s="17"/>
      <c r="H124" s="17"/>
      <c r="I124" s="17"/>
      <c r="J124" s="17"/>
      <c r="K124" s="17"/>
      <c r="L124" s="17"/>
      <c r="M124" s="17"/>
      <c r="N124" s="17"/>
      <c r="O124" s="17"/>
      <c r="P124" s="17"/>
      <c r="Q124" s="17"/>
      <c r="R124" s="17"/>
      <c r="S124" s="17"/>
      <c r="T124" s="17"/>
      <c r="U124" s="17"/>
      <c r="V124" s="17"/>
      <c r="W124" s="17"/>
      <c r="X124" s="17"/>
      <c r="Y124" s="17"/>
      <c r="Z124" s="17"/>
      <c r="AA124" s="17"/>
    </row>
    <row r="125" spans="2:27" x14ac:dyDescent="0.3">
      <c r="B125" s="17"/>
      <c r="C125" s="17"/>
      <c r="D125" s="17"/>
      <c r="E125" s="17"/>
      <c r="F125" s="80"/>
      <c r="G125" s="17"/>
      <c r="H125" s="17"/>
      <c r="I125" s="17"/>
      <c r="J125" s="17"/>
      <c r="K125" s="17"/>
      <c r="L125" s="17"/>
      <c r="M125" s="17"/>
      <c r="N125" s="17"/>
      <c r="O125" s="17"/>
      <c r="P125" s="17"/>
      <c r="Q125" s="17"/>
      <c r="R125" s="17"/>
      <c r="S125" s="17"/>
      <c r="T125" s="17"/>
      <c r="U125" s="17"/>
      <c r="V125" s="17"/>
      <c r="W125" s="17"/>
      <c r="X125" s="17"/>
      <c r="Y125" s="17"/>
      <c r="Z125" s="17"/>
      <c r="AA125" s="17"/>
    </row>
    <row r="126" spans="2:27" x14ac:dyDescent="0.3">
      <c r="B126" s="17"/>
      <c r="C126" s="17"/>
      <c r="D126" s="17"/>
      <c r="E126" s="17"/>
      <c r="F126" s="80"/>
      <c r="G126" s="17"/>
      <c r="H126" s="17"/>
      <c r="I126" s="17"/>
      <c r="J126" s="17"/>
      <c r="K126" s="17"/>
      <c r="L126" s="17"/>
      <c r="M126" s="17"/>
      <c r="N126" s="17"/>
      <c r="O126" s="17"/>
      <c r="P126" s="17"/>
      <c r="Q126" s="17"/>
      <c r="R126" s="17"/>
      <c r="S126" s="17"/>
      <c r="T126" s="17"/>
      <c r="U126" s="17"/>
      <c r="V126" s="17"/>
      <c r="W126" s="17"/>
      <c r="X126" s="17"/>
      <c r="Y126" s="17"/>
      <c r="Z126" s="17"/>
      <c r="AA126" s="17"/>
    </row>
    <row r="127" spans="2:27" x14ac:dyDescent="0.3">
      <c r="B127" s="17"/>
      <c r="C127" s="17"/>
      <c r="D127" s="17"/>
      <c r="E127" s="17"/>
      <c r="F127" s="80"/>
      <c r="G127" s="17"/>
      <c r="H127" s="17"/>
      <c r="I127" s="17"/>
      <c r="J127" s="17"/>
      <c r="K127" s="17"/>
      <c r="L127" s="17"/>
      <c r="M127" s="17"/>
      <c r="N127" s="17"/>
      <c r="O127" s="17"/>
      <c r="P127" s="17"/>
      <c r="Q127" s="17"/>
      <c r="R127" s="17"/>
      <c r="S127" s="17"/>
      <c r="T127" s="17"/>
      <c r="U127" s="17"/>
      <c r="V127" s="17"/>
      <c r="W127" s="17"/>
      <c r="X127" s="17"/>
      <c r="Y127" s="17"/>
      <c r="Z127" s="17"/>
      <c r="AA127" s="17"/>
    </row>
    <row r="128" spans="2:27" x14ac:dyDescent="0.3">
      <c r="B128" s="17"/>
      <c r="C128" s="17"/>
      <c r="D128" s="17"/>
      <c r="E128" s="17"/>
      <c r="F128" s="80"/>
      <c r="G128" s="17"/>
      <c r="H128" s="17"/>
      <c r="I128" s="17"/>
      <c r="J128" s="17"/>
      <c r="K128" s="17"/>
      <c r="L128" s="17"/>
      <c r="M128" s="17"/>
      <c r="N128" s="17"/>
      <c r="O128" s="17"/>
      <c r="P128" s="17"/>
      <c r="Q128" s="17"/>
      <c r="R128" s="17"/>
      <c r="S128" s="17"/>
      <c r="T128" s="17"/>
      <c r="U128" s="17"/>
      <c r="V128" s="17"/>
      <c r="W128" s="17"/>
      <c r="X128" s="17"/>
      <c r="Y128" s="17"/>
      <c r="Z128" s="17"/>
      <c r="AA128" s="17"/>
    </row>
    <row r="129" spans="2:27" x14ac:dyDescent="0.3">
      <c r="B129" s="17"/>
      <c r="C129" s="17"/>
      <c r="D129" s="17"/>
      <c r="E129" s="17"/>
      <c r="F129" s="80"/>
      <c r="G129" s="17"/>
      <c r="H129" s="17"/>
      <c r="I129" s="17"/>
      <c r="J129" s="17"/>
      <c r="K129" s="17"/>
      <c r="L129" s="17"/>
      <c r="M129" s="17"/>
      <c r="N129" s="17"/>
      <c r="O129" s="17"/>
      <c r="P129" s="17"/>
      <c r="Q129" s="17"/>
      <c r="R129" s="17"/>
      <c r="S129" s="17"/>
      <c r="T129" s="17"/>
      <c r="U129" s="17"/>
      <c r="V129" s="17"/>
      <c r="W129" s="17"/>
      <c r="X129" s="17"/>
      <c r="Y129" s="17"/>
      <c r="Z129" s="17"/>
      <c r="AA129" s="17"/>
    </row>
    <row r="130" spans="2:27" x14ac:dyDescent="0.3">
      <c r="B130" s="17"/>
      <c r="C130" s="17"/>
      <c r="D130" s="17"/>
      <c r="E130" s="17"/>
      <c r="F130" s="80"/>
      <c r="G130" s="17"/>
      <c r="H130" s="17"/>
      <c r="I130" s="17"/>
      <c r="J130" s="17"/>
      <c r="K130" s="17"/>
      <c r="L130" s="17"/>
      <c r="M130" s="17"/>
      <c r="N130" s="17"/>
      <c r="O130" s="17"/>
      <c r="P130" s="17"/>
      <c r="Q130" s="17"/>
      <c r="R130" s="17"/>
      <c r="S130" s="17"/>
      <c r="T130" s="17"/>
      <c r="U130" s="17"/>
      <c r="V130" s="17"/>
      <c r="W130" s="17"/>
      <c r="X130" s="17"/>
      <c r="Y130" s="17"/>
      <c r="Z130" s="17"/>
      <c r="AA130" s="17"/>
    </row>
    <row r="131" spans="2:27" x14ac:dyDescent="0.3">
      <c r="B131" s="17"/>
      <c r="C131" s="17"/>
      <c r="D131" s="17"/>
      <c r="E131" s="17"/>
      <c r="F131" s="80"/>
      <c r="G131" s="17"/>
      <c r="H131" s="17"/>
      <c r="I131" s="17"/>
      <c r="J131" s="17"/>
      <c r="K131" s="17"/>
      <c r="L131" s="17"/>
      <c r="M131" s="17"/>
      <c r="N131" s="17"/>
      <c r="O131" s="17"/>
      <c r="P131" s="17"/>
      <c r="Q131" s="17"/>
      <c r="R131" s="17"/>
      <c r="S131" s="17"/>
      <c r="T131" s="17"/>
      <c r="U131" s="17"/>
      <c r="V131" s="17"/>
      <c r="W131" s="17"/>
      <c r="X131" s="17"/>
      <c r="Y131" s="17"/>
      <c r="Z131" s="17"/>
      <c r="AA131" s="17"/>
    </row>
    <row r="132" spans="2:27" x14ac:dyDescent="0.3">
      <c r="B132" s="17"/>
      <c r="C132" s="17"/>
      <c r="D132" s="17"/>
      <c r="E132" s="17"/>
      <c r="F132" s="80"/>
      <c r="G132" s="17"/>
      <c r="H132" s="17"/>
      <c r="I132" s="17"/>
      <c r="J132" s="17"/>
      <c r="K132" s="17"/>
      <c r="L132" s="17"/>
      <c r="M132" s="17"/>
      <c r="N132" s="17"/>
      <c r="O132" s="17"/>
      <c r="P132" s="17"/>
      <c r="Q132" s="17"/>
      <c r="R132" s="17"/>
      <c r="S132" s="17"/>
      <c r="T132" s="17"/>
      <c r="U132" s="17"/>
      <c r="V132" s="17"/>
      <c r="W132" s="17"/>
      <c r="X132" s="17"/>
      <c r="Y132" s="17"/>
      <c r="Z132" s="17"/>
      <c r="AA132" s="17"/>
    </row>
    <row r="133" spans="2:27" x14ac:dyDescent="0.3">
      <c r="B133" s="17"/>
      <c r="C133" s="17"/>
      <c r="D133" s="17"/>
      <c r="E133" s="17"/>
      <c r="F133" s="80"/>
      <c r="G133" s="17"/>
      <c r="H133" s="17"/>
      <c r="I133" s="17"/>
      <c r="J133" s="17"/>
      <c r="K133" s="17"/>
      <c r="L133" s="17"/>
      <c r="M133" s="17"/>
      <c r="N133" s="17"/>
      <c r="O133" s="17"/>
      <c r="P133" s="17"/>
      <c r="Q133" s="17"/>
      <c r="R133" s="17"/>
      <c r="S133" s="17"/>
      <c r="T133" s="17"/>
      <c r="U133" s="17"/>
      <c r="V133" s="17"/>
      <c r="W133" s="17"/>
      <c r="X133" s="17"/>
      <c r="Y133" s="17"/>
      <c r="Z133" s="17"/>
      <c r="AA133" s="17"/>
    </row>
    <row r="134" spans="2:27" x14ac:dyDescent="0.3">
      <c r="B134" s="17"/>
      <c r="C134" s="17"/>
      <c r="D134" s="17"/>
      <c r="E134" s="17"/>
      <c r="F134" s="80"/>
      <c r="G134" s="17"/>
      <c r="H134" s="17"/>
      <c r="I134" s="17"/>
      <c r="J134" s="17"/>
      <c r="K134" s="17"/>
      <c r="L134" s="17"/>
      <c r="M134" s="17"/>
      <c r="N134" s="17"/>
      <c r="O134" s="17"/>
      <c r="P134" s="17"/>
      <c r="Q134" s="17"/>
      <c r="R134" s="17"/>
      <c r="S134" s="17"/>
      <c r="T134" s="17"/>
      <c r="U134" s="17"/>
      <c r="V134" s="17"/>
      <c r="W134" s="17"/>
      <c r="X134" s="17"/>
      <c r="Y134" s="17"/>
      <c r="Z134" s="17"/>
      <c r="AA134" s="17"/>
    </row>
    <row r="135" spans="2:27" x14ac:dyDescent="0.3">
      <c r="B135" s="17"/>
      <c r="C135" s="17"/>
      <c r="D135" s="17"/>
      <c r="E135" s="17"/>
      <c r="F135" s="80"/>
      <c r="G135" s="17"/>
      <c r="H135" s="17"/>
      <c r="I135" s="17"/>
      <c r="J135" s="17"/>
      <c r="K135" s="17"/>
      <c r="L135" s="17"/>
      <c r="M135" s="17"/>
      <c r="N135" s="17"/>
      <c r="O135" s="17"/>
      <c r="P135" s="17"/>
      <c r="Q135" s="17"/>
      <c r="R135" s="17"/>
      <c r="S135" s="17"/>
      <c r="T135" s="17"/>
      <c r="U135" s="17"/>
      <c r="V135" s="17"/>
      <c r="W135" s="17"/>
      <c r="X135" s="17"/>
      <c r="Y135" s="17"/>
      <c r="Z135" s="17"/>
      <c r="AA135" s="17"/>
    </row>
    <row r="136" spans="2:27" x14ac:dyDescent="0.3">
      <c r="B136" s="17"/>
      <c r="C136" s="17"/>
      <c r="D136" s="17"/>
      <c r="E136" s="17"/>
      <c r="F136" s="80"/>
      <c r="G136" s="17"/>
      <c r="H136" s="17"/>
      <c r="I136" s="17"/>
      <c r="J136" s="17"/>
      <c r="K136" s="17"/>
      <c r="L136" s="17"/>
      <c r="M136" s="17"/>
      <c r="N136" s="17"/>
      <c r="O136" s="17"/>
      <c r="P136" s="17"/>
      <c r="Q136" s="17"/>
      <c r="R136" s="17"/>
      <c r="S136" s="17"/>
      <c r="T136" s="17"/>
      <c r="U136" s="17"/>
      <c r="V136" s="17"/>
      <c r="W136" s="17"/>
      <c r="X136" s="17"/>
      <c r="Y136" s="17"/>
      <c r="Z136" s="17"/>
      <c r="AA136" s="17"/>
    </row>
    <row r="137" spans="2:27" x14ac:dyDescent="0.3">
      <c r="B137" s="17"/>
      <c r="C137" s="17"/>
      <c r="D137" s="17"/>
      <c r="E137" s="17"/>
      <c r="F137" s="17"/>
      <c r="G137" s="17"/>
      <c r="H137" s="17"/>
      <c r="I137" s="17"/>
      <c r="J137" s="17"/>
      <c r="K137" s="17"/>
      <c r="L137" s="17"/>
      <c r="M137" s="17"/>
      <c r="N137" s="17"/>
      <c r="O137" s="17"/>
      <c r="P137" s="17"/>
      <c r="Q137" s="17"/>
      <c r="R137" s="17"/>
      <c r="S137" s="17"/>
      <c r="T137" s="17"/>
      <c r="U137" s="17"/>
      <c r="V137" s="17"/>
      <c r="W137" s="17"/>
      <c r="X137" s="17"/>
      <c r="Y137" s="17"/>
      <c r="Z137" s="17"/>
      <c r="AA137" s="17"/>
    </row>
    <row r="138" spans="2:27" x14ac:dyDescent="0.3">
      <c r="B138" s="17"/>
      <c r="C138" s="17"/>
      <c r="D138" s="17"/>
      <c r="E138" s="17"/>
      <c r="F138" s="17"/>
      <c r="G138" s="17"/>
      <c r="H138" s="17"/>
      <c r="I138" s="17"/>
      <c r="J138" s="17"/>
      <c r="K138" s="17"/>
      <c r="L138" s="17"/>
      <c r="M138" s="17"/>
      <c r="N138" s="17"/>
      <c r="O138" s="17"/>
      <c r="P138" s="17"/>
      <c r="Q138" s="17"/>
      <c r="R138" s="17"/>
      <c r="S138" s="17"/>
      <c r="T138" s="17"/>
      <c r="U138" s="17"/>
      <c r="V138" s="17"/>
      <c r="W138" s="17"/>
      <c r="X138" s="17"/>
      <c r="Y138" s="17"/>
      <c r="Z138" s="17"/>
      <c r="AA138" s="17"/>
    </row>
    <row r="139" spans="2:27" x14ac:dyDescent="0.3">
      <c r="B139" s="17"/>
      <c r="C139" s="17"/>
      <c r="D139" s="17"/>
      <c r="E139" s="17"/>
      <c r="F139" s="17"/>
      <c r="G139" s="17"/>
      <c r="H139" s="17"/>
      <c r="I139" s="17"/>
      <c r="J139" s="17"/>
      <c r="K139" s="17"/>
      <c r="L139" s="17"/>
      <c r="M139" s="17"/>
      <c r="N139" s="17"/>
      <c r="O139" s="17"/>
      <c r="P139" s="17"/>
      <c r="Q139" s="17"/>
      <c r="R139" s="17"/>
      <c r="S139" s="17"/>
      <c r="T139" s="17"/>
      <c r="U139" s="17"/>
      <c r="V139" s="17"/>
      <c r="W139" s="17"/>
      <c r="X139" s="17"/>
      <c r="Y139" s="17"/>
      <c r="Z139" s="17"/>
      <c r="AA139" s="17"/>
    </row>
    <row r="140" spans="2:27" x14ac:dyDescent="0.3">
      <c r="B140" s="17"/>
      <c r="C140" s="17"/>
      <c r="D140" s="17"/>
      <c r="E140" s="17"/>
      <c r="F140" s="17"/>
      <c r="G140" s="17"/>
      <c r="H140" s="17"/>
      <c r="I140" s="17"/>
      <c r="J140" s="17"/>
      <c r="K140" s="17"/>
      <c r="L140" s="17"/>
      <c r="M140" s="17"/>
      <c r="N140" s="17"/>
      <c r="O140" s="17"/>
      <c r="P140" s="17"/>
      <c r="Q140" s="17"/>
      <c r="R140" s="17"/>
      <c r="S140" s="17"/>
      <c r="T140" s="17"/>
      <c r="U140" s="17"/>
      <c r="V140" s="17"/>
      <c r="W140" s="17"/>
      <c r="X140" s="17"/>
      <c r="Y140" s="17"/>
      <c r="Z140" s="17"/>
      <c r="AA140" s="17"/>
    </row>
    <row r="141" spans="2:27" x14ac:dyDescent="0.3">
      <c r="B141" s="17"/>
      <c r="C141" s="17"/>
      <c r="D141" s="17"/>
      <c r="E141" s="17"/>
      <c r="F141" s="17"/>
      <c r="G141" s="17"/>
      <c r="H141" s="17"/>
      <c r="I141" s="17"/>
      <c r="J141" s="17"/>
      <c r="K141" s="17"/>
      <c r="L141" s="17"/>
      <c r="M141" s="17"/>
      <c r="N141" s="17"/>
      <c r="O141" s="17"/>
      <c r="P141" s="17"/>
      <c r="Q141" s="17"/>
      <c r="R141" s="17"/>
      <c r="S141" s="17"/>
      <c r="T141" s="17"/>
      <c r="U141" s="17"/>
      <c r="V141" s="17"/>
      <c r="W141" s="17"/>
      <c r="X141" s="17"/>
      <c r="Y141" s="17"/>
      <c r="Z141" s="17"/>
      <c r="AA141" s="17"/>
    </row>
    <row r="142" spans="2:27" x14ac:dyDescent="0.3">
      <c r="B142" s="17"/>
      <c r="C142" s="17"/>
      <c r="D142" s="17"/>
      <c r="E142" s="17"/>
      <c r="F142" s="17"/>
      <c r="G142" s="17"/>
      <c r="H142" s="17"/>
      <c r="I142" s="17"/>
      <c r="J142" s="17"/>
      <c r="K142" s="17"/>
      <c r="L142" s="17"/>
      <c r="M142" s="17"/>
      <c r="N142" s="17"/>
      <c r="O142" s="17"/>
      <c r="P142" s="17"/>
      <c r="Q142" s="17"/>
      <c r="R142" s="17"/>
      <c r="S142" s="17"/>
      <c r="T142" s="17"/>
      <c r="U142" s="17"/>
      <c r="V142" s="17"/>
      <c r="W142" s="17"/>
      <c r="X142" s="17"/>
      <c r="Y142" s="17"/>
      <c r="Z142" s="17"/>
      <c r="AA142" s="17"/>
    </row>
    <row r="143" spans="2:27" x14ac:dyDescent="0.3">
      <c r="B143" s="17"/>
      <c r="C143" s="17"/>
      <c r="D143" s="17"/>
      <c r="E143" s="17"/>
      <c r="F143" s="17"/>
      <c r="G143" s="17"/>
      <c r="H143" s="17"/>
      <c r="I143" s="17"/>
      <c r="J143" s="17"/>
      <c r="K143" s="17"/>
      <c r="L143" s="17"/>
      <c r="M143" s="17"/>
      <c r="N143" s="17"/>
      <c r="O143" s="17"/>
      <c r="P143" s="17"/>
      <c r="Q143" s="17"/>
      <c r="R143" s="17"/>
      <c r="S143" s="17"/>
      <c r="T143" s="17"/>
      <c r="U143" s="17"/>
      <c r="V143" s="17"/>
      <c r="W143" s="17"/>
      <c r="X143" s="17"/>
      <c r="Y143" s="17"/>
      <c r="Z143" s="17"/>
      <c r="AA143" s="17"/>
    </row>
    <row r="144" spans="2:27" x14ac:dyDescent="0.3">
      <c r="B144" s="17"/>
      <c r="C144" s="17"/>
      <c r="D144" s="17"/>
      <c r="E144" s="17"/>
      <c r="F144" s="17"/>
      <c r="G144" s="17"/>
      <c r="H144" s="17"/>
      <c r="I144" s="17"/>
      <c r="J144" s="17"/>
      <c r="K144" s="17"/>
      <c r="L144" s="17"/>
      <c r="M144" s="17"/>
      <c r="N144" s="17"/>
      <c r="O144" s="17"/>
      <c r="P144" s="17"/>
      <c r="Q144" s="17"/>
      <c r="R144" s="17"/>
      <c r="S144" s="17"/>
      <c r="T144" s="17"/>
      <c r="U144" s="17"/>
      <c r="V144" s="17"/>
      <c r="W144" s="17"/>
      <c r="X144" s="17"/>
      <c r="Y144" s="17"/>
      <c r="Z144" s="17"/>
      <c r="AA144" s="17"/>
    </row>
    <row r="145" spans="2:27" x14ac:dyDescent="0.3">
      <c r="B145" s="17"/>
      <c r="C145" s="17"/>
      <c r="D145" s="17"/>
      <c r="E145" s="17"/>
      <c r="F145" s="17"/>
      <c r="G145" s="17"/>
      <c r="H145" s="17"/>
      <c r="I145" s="17"/>
      <c r="J145" s="17"/>
      <c r="K145" s="17"/>
      <c r="L145" s="17"/>
      <c r="M145" s="17"/>
      <c r="N145" s="17"/>
      <c r="O145" s="17"/>
      <c r="P145" s="17"/>
      <c r="Q145" s="17"/>
      <c r="R145" s="17"/>
      <c r="S145" s="17"/>
      <c r="T145" s="17"/>
      <c r="U145" s="17"/>
      <c r="V145" s="17"/>
      <c r="W145" s="17"/>
      <c r="X145" s="17"/>
      <c r="Y145" s="17"/>
      <c r="Z145" s="17"/>
      <c r="AA145" s="17"/>
    </row>
    <row r="146" spans="2:27" x14ac:dyDescent="0.3">
      <c r="B146" s="17"/>
      <c r="C146" s="17"/>
      <c r="D146" s="17"/>
      <c r="E146" s="17"/>
      <c r="F146" s="17"/>
      <c r="G146" s="17"/>
      <c r="H146" s="17"/>
      <c r="I146" s="17"/>
      <c r="J146" s="17"/>
      <c r="K146" s="17"/>
      <c r="L146" s="17"/>
      <c r="M146" s="17"/>
      <c r="N146" s="17"/>
      <c r="O146" s="17"/>
      <c r="P146" s="17"/>
      <c r="Q146" s="17"/>
      <c r="R146" s="17"/>
      <c r="S146" s="17"/>
      <c r="T146" s="17"/>
      <c r="U146" s="17"/>
      <c r="V146" s="17"/>
      <c r="W146" s="17"/>
      <c r="X146" s="17"/>
      <c r="Y146" s="17"/>
      <c r="Z146" s="17"/>
      <c r="AA146" s="17"/>
    </row>
    <row r="147" spans="2:27" x14ac:dyDescent="0.3">
      <c r="B147" s="17"/>
      <c r="C147" s="17"/>
      <c r="D147" s="17"/>
      <c r="E147" s="17"/>
      <c r="F147" s="17"/>
      <c r="G147" s="17"/>
      <c r="H147" s="17"/>
      <c r="I147" s="17"/>
      <c r="J147" s="17"/>
      <c r="K147" s="17"/>
      <c r="L147" s="17"/>
      <c r="M147" s="17"/>
      <c r="N147" s="17"/>
      <c r="O147" s="17"/>
      <c r="P147" s="17"/>
      <c r="Q147" s="17"/>
      <c r="R147" s="17"/>
      <c r="S147" s="17"/>
      <c r="T147" s="17"/>
      <c r="U147" s="17"/>
      <c r="V147" s="17"/>
      <c r="W147" s="17"/>
      <c r="X147" s="17"/>
      <c r="Y147" s="17"/>
      <c r="Z147" s="17"/>
      <c r="AA147" s="17"/>
    </row>
    <row r="148" spans="2:27" x14ac:dyDescent="0.3">
      <c r="B148" s="17"/>
      <c r="C148" s="17"/>
      <c r="D148" s="17"/>
      <c r="E148" s="17"/>
      <c r="F148" s="17"/>
      <c r="G148" s="17"/>
      <c r="H148" s="17"/>
      <c r="I148" s="17"/>
      <c r="J148" s="17"/>
      <c r="K148" s="17"/>
      <c r="L148" s="17"/>
      <c r="M148" s="17"/>
      <c r="N148" s="17"/>
      <c r="O148" s="17"/>
      <c r="P148" s="17"/>
      <c r="Q148" s="17"/>
      <c r="R148" s="17"/>
      <c r="S148" s="17"/>
      <c r="T148" s="17"/>
      <c r="U148" s="17"/>
      <c r="V148" s="17"/>
      <c r="W148" s="17"/>
      <c r="X148" s="17"/>
      <c r="Y148" s="17"/>
      <c r="Z148" s="17"/>
      <c r="AA148" s="17"/>
    </row>
    <row r="149" spans="2:27" x14ac:dyDescent="0.3">
      <c r="B149" s="17"/>
      <c r="C149" s="17"/>
      <c r="D149" s="17"/>
      <c r="E149" s="17"/>
      <c r="F149" s="17"/>
      <c r="G149" s="17"/>
      <c r="H149" s="17"/>
      <c r="I149" s="17"/>
      <c r="J149" s="17"/>
      <c r="K149" s="17"/>
      <c r="L149" s="17"/>
      <c r="M149" s="17"/>
      <c r="N149" s="17"/>
      <c r="O149" s="17"/>
      <c r="P149" s="17"/>
      <c r="Q149" s="17"/>
      <c r="R149" s="17"/>
      <c r="S149" s="17"/>
      <c r="T149" s="17"/>
      <c r="U149" s="17"/>
      <c r="V149" s="17"/>
      <c r="W149" s="17"/>
      <c r="X149" s="17"/>
      <c r="Y149" s="17"/>
      <c r="Z149" s="17"/>
      <c r="AA149" s="17"/>
    </row>
    <row r="150" spans="2:27" x14ac:dyDescent="0.3">
      <c r="B150" s="17"/>
      <c r="C150" s="17"/>
      <c r="D150" s="17"/>
      <c r="E150" s="17"/>
      <c r="F150" s="17"/>
      <c r="G150" s="17"/>
      <c r="H150" s="17"/>
      <c r="I150" s="17"/>
      <c r="J150" s="17"/>
      <c r="K150" s="17"/>
      <c r="L150" s="17"/>
      <c r="M150" s="17"/>
      <c r="N150" s="17"/>
      <c r="O150" s="17"/>
      <c r="P150" s="17"/>
      <c r="Q150" s="17"/>
      <c r="R150" s="17"/>
      <c r="S150" s="17"/>
      <c r="T150" s="17"/>
      <c r="U150" s="17"/>
      <c r="V150" s="17"/>
      <c r="W150" s="17"/>
      <c r="X150" s="17"/>
      <c r="Y150" s="17"/>
      <c r="Z150" s="17"/>
      <c r="AA150" s="17"/>
    </row>
    <row r="151" spans="2:27" x14ac:dyDescent="0.3">
      <c r="B151" s="17"/>
      <c r="C151" s="17"/>
      <c r="D151" s="17"/>
      <c r="E151" s="17"/>
      <c r="F151" s="17"/>
      <c r="G151" s="17"/>
      <c r="H151" s="17"/>
      <c r="I151" s="17"/>
      <c r="J151" s="17"/>
      <c r="K151" s="17"/>
      <c r="L151" s="17"/>
      <c r="M151" s="17"/>
      <c r="N151" s="17"/>
      <c r="O151" s="17"/>
      <c r="P151" s="17"/>
      <c r="Q151" s="17"/>
      <c r="R151" s="17"/>
      <c r="S151" s="17"/>
      <c r="T151" s="17"/>
      <c r="U151" s="17"/>
      <c r="V151" s="17"/>
      <c r="W151" s="17"/>
      <c r="X151" s="17"/>
      <c r="Y151" s="17"/>
      <c r="Z151" s="17"/>
      <c r="AA151" s="17"/>
    </row>
    <row r="152" spans="2:27" x14ac:dyDescent="0.3">
      <c r="B152" s="17"/>
      <c r="C152" s="17"/>
      <c r="D152" s="17"/>
      <c r="E152" s="17"/>
      <c r="F152" s="17"/>
      <c r="G152" s="17"/>
      <c r="H152" s="17"/>
      <c r="I152" s="17"/>
      <c r="J152" s="17"/>
      <c r="K152" s="17"/>
      <c r="L152" s="17"/>
      <c r="M152" s="17"/>
      <c r="N152" s="17"/>
      <c r="O152" s="17"/>
      <c r="P152" s="17"/>
      <c r="Q152" s="17"/>
      <c r="R152" s="17"/>
      <c r="S152" s="17"/>
      <c r="T152" s="17"/>
      <c r="U152" s="17"/>
      <c r="V152" s="17"/>
      <c r="W152" s="17"/>
      <c r="X152" s="17"/>
      <c r="Y152" s="17"/>
      <c r="Z152" s="17"/>
      <c r="AA152" s="17"/>
    </row>
    <row r="153" spans="2:27" x14ac:dyDescent="0.3">
      <c r="B153" s="17"/>
      <c r="C153" s="17"/>
      <c r="D153" s="17"/>
      <c r="E153" s="17"/>
      <c r="F153" s="17"/>
      <c r="G153" s="17"/>
      <c r="H153" s="17"/>
      <c r="I153" s="17"/>
      <c r="J153" s="17"/>
      <c r="K153" s="17"/>
      <c r="L153" s="17"/>
      <c r="M153" s="17"/>
      <c r="N153" s="17"/>
      <c r="O153" s="17"/>
      <c r="P153" s="17"/>
      <c r="Q153" s="17"/>
      <c r="R153" s="17"/>
      <c r="S153" s="17"/>
      <c r="T153" s="17"/>
      <c r="U153" s="17"/>
      <c r="V153" s="17"/>
      <c r="W153" s="17"/>
      <c r="X153" s="17"/>
      <c r="Y153" s="17"/>
      <c r="Z153" s="17"/>
      <c r="AA153" s="17"/>
    </row>
    <row r="154" spans="2:27" x14ac:dyDescent="0.3">
      <c r="B154" s="17"/>
      <c r="C154" s="17"/>
      <c r="D154" s="17"/>
      <c r="E154" s="17"/>
      <c r="F154" s="17"/>
      <c r="G154" s="17"/>
      <c r="H154" s="17"/>
      <c r="I154" s="17"/>
      <c r="J154" s="17"/>
      <c r="K154" s="17"/>
      <c r="L154" s="17"/>
      <c r="M154" s="17"/>
      <c r="N154" s="17"/>
      <c r="O154" s="17"/>
      <c r="P154" s="17"/>
      <c r="Q154" s="17"/>
      <c r="R154" s="17"/>
      <c r="S154" s="17"/>
      <c r="T154" s="17"/>
      <c r="U154" s="17"/>
      <c r="V154" s="17"/>
      <c r="W154" s="17"/>
      <c r="X154" s="17"/>
      <c r="Y154" s="17"/>
      <c r="Z154" s="17"/>
      <c r="AA154" s="17"/>
    </row>
    <row r="155" spans="2:27" x14ac:dyDescent="0.3">
      <c r="B155" s="17"/>
      <c r="C155" s="17"/>
      <c r="D155" s="17"/>
      <c r="E155" s="17"/>
      <c r="F155" s="17"/>
      <c r="G155" s="17"/>
      <c r="H155" s="17"/>
      <c r="I155" s="17"/>
      <c r="J155" s="17"/>
      <c r="K155" s="17"/>
      <c r="L155" s="17"/>
      <c r="M155" s="17"/>
      <c r="N155" s="17"/>
      <c r="O155" s="17"/>
      <c r="P155" s="17"/>
      <c r="Q155" s="17"/>
      <c r="R155" s="17"/>
      <c r="S155" s="17"/>
      <c r="T155" s="17"/>
      <c r="U155" s="17"/>
      <c r="V155" s="17"/>
      <c r="W155" s="17"/>
      <c r="X155" s="17"/>
      <c r="Y155" s="17"/>
      <c r="Z155" s="17"/>
      <c r="AA155" s="17"/>
    </row>
    <row r="156" spans="2:27" x14ac:dyDescent="0.3">
      <c r="B156" s="17"/>
      <c r="C156" s="17"/>
      <c r="D156" s="17"/>
      <c r="E156" s="17"/>
      <c r="F156" s="17"/>
      <c r="G156" s="17"/>
      <c r="H156" s="17"/>
      <c r="I156" s="17"/>
      <c r="J156" s="17"/>
      <c r="K156" s="17"/>
      <c r="L156" s="17"/>
      <c r="M156" s="17"/>
      <c r="N156" s="17"/>
      <c r="O156" s="17"/>
      <c r="P156" s="17"/>
      <c r="Q156" s="17"/>
      <c r="R156" s="17"/>
      <c r="S156" s="17"/>
      <c r="T156" s="17"/>
      <c r="U156" s="17"/>
      <c r="V156" s="17"/>
      <c r="W156" s="17"/>
      <c r="X156" s="17"/>
      <c r="Y156" s="17"/>
      <c r="Z156" s="17"/>
      <c r="AA156" s="17"/>
    </row>
    <row r="157" spans="2:27" x14ac:dyDescent="0.3">
      <c r="B157" s="17"/>
      <c r="C157" s="17"/>
      <c r="D157" s="17"/>
      <c r="E157" s="17"/>
      <c r="F157" s="17"/>
      <c r="G157" s="17"/>
      <c r="H157" s="17"/>
      <c r="I157" s="17"/>
      <c r="J157" s="17"/>
      <c r="K157" s="17"/>
      <c r="L157" s="17"/>
      <c r="M157" s="17"/>
      <c r="N157" s="17"/>
      <c r="O157" s="17"/>
      <c r="P157" s="17"/>
      <c r="Q157" s="17"/>
      <c r="R157" s="17"/>
      <c r="S157" s="17"/>
      <c r="T157" s="17"/>
      <c r="U157" s="17"/>
      <c r="V157" s="17"/>
      <c r="W157" s="17"/>
      <c r="X157" s="17"/>
      <c r="Y157" s="17"/>
      <c r="Z157" s="17"/>
      <c r="AA157" s="17"/>
    </row>
    <row r="158" spans="2:27" x14ac:dyDescent="0.3">
      <c r="B158" s="17"/>
      <c r="C158" s="17"/>
      <c r="D158" s="17"/>
      <c r="E158" s="17"/>
      <c r="F158" s="17"/>
      <c r="G158" s="17"/>
      <c r="H158" s="17"/>
      <c r="I158" s="17"/>
      <c r="J158" s="17"/>
      <c r="K158" s="17"/>
      <c r="L158" s="17"/>
      <c r="M158" s="17"/>
      <c r="N158" s="17"/>
      <c r="O158" s="17"/>
      <c r="P158" s="17"/>
      <c r="Q158" s="17"/>
      <c r="R158" s="17"/>
      <c r="S158" s="17"/>
      <c r="T158" s="17"/>
      <c r="U158" s="17"/>
      <c r="V158" s="17"/>
      <c r="W158" s="17"/>
      <c r="X158" s="17"/>
      <c r="Y158" s="17"/>
      <c r="Z158" s="17"/>
      <c r="AA158" s="17"/>
    </row>
    <row r="159" spans="2:27" x14ac:dyDescent="0.3">
      <c r="B159" s="17"/>
      <c r="C159" s="17"/>
      <c r="D159" s="17"/>
      <c r="E159" s="17"/>
      <c r="F159" s="17"/>
      <c r="G159" s="17"/>
      <c r="H159" s="17"/>
      <c r="I159" s="17"/>
      <c r="J159" s="17"/>
      <c r="K159" s="17"/>
      <c r="L159" s="17"/>
      <c r="M159" s="17"/>
      <c r="N159" s="17"/>
      <c r="O159" s="17"/>
      <c r="P159" s="17"/>
      <c r="Q159" s="17"/>
      <c r="R159" s="17"/>
      <c r="S159" s="17"/>
      <c r="T159" s="17"/>
      <c r="U159" s="17"/>
      <c r="V159" s="17"/>
      <c r="W159" s="17"/>
      <c r="X159" s="17"/>
      <c r="Y159" s="17"/>
      <c r="Z159" s="17"/>
      <c r="AA159" s="17"/>
    </row>
    <row r="160" spans="2:27" x14ac:dyDescent="0.3">
      <c r="B160" s="17"/>
      <c r="C160" s="17"/>
      <c r="D160" s="17"/>
      <c r="E160" s="17"/>
      <c r="F160" s="17"/>
      <c r="G160" s="17"/>
      <c r="H160" s="17"/>
      <c r="I160" s="17"/>
      <c r="J160" s="17"/>
      <c r="K160" s="17"/>
      <c r="L160" s="17"/>
      <c r="M160" s="17"/>
      <c r="N160" s="17"/>
      <c r="O160" s="17"/>
      <c r="P160" s="17"/>
      <c r="Q160" s="17"/>
      <c r="R160" s="17"/>
      <c r="S160" s="17"/>
      <c r="T160" s="17"/>
      <c r="U160" s="17"/>
      <c r="V160" s="17"/>
      <c r="W160" s="17"/>
      <c r="X160" s="17"/>
      <c r="Y160" s="17"/>
      <c r="Z160" s="17"/>
      <c r="AA160" s="17"/>
    </row>
    <row r="161" spans="2:27" x14ac:dyDescent="0.3">
      <c r="B161" s="17"/>
      <c r="C161" s="17"/>
      <c r="D161" s="17"/>
      <c r="E161" s="17"/>
      <c r="F161" s="17"/>
      <c r="G161" s="17"/>
      <c r="H161" s="17"/>
      <c r="I161" s="17"/>
      <c r="J161" s="17"/>
      <c r="K161" s="17"/>
      <c r="L161" s="17"/>
      <c r="M161" s="17"/>
      <c r="N161" s="17"/>
      <c r="O161" s="17"/>
      <c r="P161" s="17"/>
      <c r="Q161" s="17"/>
      <c r="R161" s="17"/>
      <c r="S161" s="17"/>
      <c r="T161" s="17"/>
      <c r="U161" s="17"/>
      <c r="V161" s="17"/>
      <c r="W161" s="17"/>
      <c r="X161" s="17"/>
      <c r="Y161" s="17"/>
      <c r="Z161" s="17"/>
      <c r="AA161" s="17"/>
    </row>
    <row r="162" spans="2:27" x14ac:dyDescent="0.3">
      <c r="B162" s="17"/>
      <c r="C162" s="17"/>
      <c r="D162" s="17"/>
      <c r="E162" s="17"/>
      <c r="F162" s="17"/>
      <c r="G162" s="17"/>
      <c r="H162" s="17"/>
      <c r="I162" s="17"/>
      <c r="J162" s="17"/>
      <c r="K162" s="17"/>
      <c r="L162" s="17"/>
      <c r="M162" s="17"/>
      <c r="N162" s="17"/>
      <c r="O162" s="17"/>
      <c r="P162" s="17"/>
      <c r="Q162" s="17"/>
      <c r="R162" s="17"/>
      <c r="S162" s="17"/>
      <c r="T162" s="17"/>
      <c r="U162" s="17"/>
      <c r="V162" s="17"/>
      <c r="W162" s="17"/>
      <c r="X162" s="17"/>
      <c r="Y162" s="17"/>
      <c r="Z162" s="17"/>
      <c r="AA162" s="17"/>
    </row>
    <row r="163" spans="2:27" x14ac:dyDescent="0.3">
      <c r="B163" s="17"/>
      <c r="C163" s="17"/>
      <c r="D163" s="17"/>
      <c r="E163" s="17"/>
      <c r="F163" s="17"/>
      <c r="G163" s="17"/>
      <c r="H163" s="17"/>
      <c r="I163" s="17"/>
      <c r="J163" s="17"/>
      <c r="K163" s="17"/>
      <c r="L163" s="17"/>
      <c r="M163" s="17"/>
      <c r="N163" s="17"/>
      <c r="O163" s="17"/>
      <c r="P163" s="17"/>
      <c r="Q163" s="17"/>
      <c r="R163" s="17"/>
      <c r="S163" s="17"/>
      <c r="T163" s="17"/>
      <c r="U163" s="17"/>
      <c r="V163" s="17"/>
      <c r="W163" s="17"/>
      <c r="X163" s="17"/>
      <c r="Y163" s="17"/>
      <c r="Z163" s="17"/>
      <c r="AA163" s="17"/>
    </row>
    <row r="164" spans="2:27" x14ac:dyDescent="0.3">
      <c r="B164" s="17"/>
      <c r="C164" s="17"/>
      <c r="D164" s="17"/>
      <c r="E164" s="17"/>
      <c r="F164" s="17"/>
      <c r="G164" s="17"/>
      <c r="H164" s="17"/>
      <c r="I164" s="17"/>
      <c r="J164" s="17"/>
      <c r="K164" s="17"/>
      <c r="L164" s="17"/>
      <c r="M164" s="17"/>
      <c r="N164" s="17"/>
      <c r="O164" s="17"/>
      <c r="P164" s="17"/>
      <c r="Q164" s="17"/>
      <c r="R164" s="17"/>
      <c r="S164" s="17"/>
      <c r="T164" s="17"/>
      <c r="U164" s="17"/>
      <c r="V164" s="17"/>
      <c r="W164" s="17"/>
      <c r="X164" s="17"/>
      <c r="Y164" s="17"/>
      <c r="Z164" s="17"/>
      <c r="AA164" s="17"/>
    </row>
    <row r="165" spans="2:27" x14ac:dyDescent="0.3">
      <c r="B165" s="17"/>
      <c r="C165" s="17"/>
      <c r="D165" s="17"/>
      <c r="E165" s="17"/>
      <c r="F165" s="17"/>
      <c r="G165" s="17"/>
      <c r="H165" s="17"/>
      <c r="I165" s="17"/>
      <c r="J165" s="17"/>
      <c r="K165" s="17"/>
      <c r="L165" s="17"/>
      <c r="M165" s="17"/>
      <c r="N165" s="17"/>
      <c r="O165" s="17"/>
      <c r="P165" s="17"/>
      <c r="Q165" s="17"/>
      <c r="R165" s="17"/>
      <c r="S165" s="17"/>
      <c r="T165" s="17"/>
      <c r="U165" s="17"/>
      <c r="V165" s="17"/>
      <c r="W165" s="17"/>
      <c r="X165" s="17"/>
      <c r="Y165" s="17"/>
      <c r="Z165" s="17"/>
      <c r="AA165" s="17"/>
    </row>
    <row r="166" spans="2:27" x14ac:dyDescent="0.3">
      <c r="B166" s="17"/>
      <c r="C166" s="17"/>
      <c r="D166" s="17"/>
      <c r="E166" s="17"/>
      <c r="F166" s="17"/>
      <c r="G166" s="17"/>
      <c r="H166" s="17"/>
      <c r="I166" s="17"/>
      <c r="J166" s="17"/>
      <c r="K166" s="17"/>
      <c r="L166" s="17"/>
      <c r="M166" s="17"/>
      <c r="N166" s="17"/>
      <c r="O166" s="17"/>
      <c r="P166" s="17"/>
      <c r="Q166" s="17"/>
      <c r="R166" s="17"/>
      <c r="S166" s="17"/>
      <c r="T166" s="17"/>
      <c r="U166" s="17"/>
      <c r="V166" s="17"/>
      <c r="W166" s="17"/>
      <c r="X166" s="17"/>
      <c r="Y166" s="17"/>
      <c r="Z166" s="17"/>
      <c r="AA166" s="17"/>
    </row>
    <row r="167" spans="2:27" x14ac:dyDescent="0.3">
      <c r="B167" s="17"/>
      <c r="C167" s="17"/>
      <c r="D167" s="17"/>
      <c r="E167" s="17"/>
      <c r="F167" s="17"/>
      <c r="G167" s="17"/>
      <c r="H167" s="17"/>
      <c r="I167" s="17"/>
      <c r="J167" s="17"/>
      <c r="K167" s="17"/>
      <c r="L167" s="17"/>
      <c r="M167" s="17"/>
      <c r="N167" s="17"/>
      <c r="O167" s="17"/>
      <c r="P167" s="17"/>
      <c r="Q167" s="17"/>
      <c r="R167" s="17"/>
      <c r="S167" s="17"/>
      <c r="T167" s="17"/>
      <c r="U167" s="17"/>
      <c r="V167" s="17"/>
      <c r="W167" s="17"/>
      <c r="X167" s="17"/>
      <c r="Y167" s="17"/>
      <c r="Z167" s="17"/>
      <c r="AA167" s="17"/>
    </row>
    <row r="168" spans="2:27" x14ac:dyDescent="0.3">
      <c r="B168" s="17"/>
      <c r="C168" s="17"/>
      <c r="D168" s="17"/>
      <c r="E168" s="17"/>
      <c r="F168" s="17"/>
      <c r="G168" s="17"/>
      <c r="H168" s="17"/>
      <c r="I168" s="17"/>
      <c r="J168" s="17"/>
      <c r="K168" s="17"/>
      <c r="L168" s="17"/>
      <c r="M168" s="17"/>
      <c r="N168" s="17"/>
      <c r="O168" s="17"/>
      <c r="P168" s="17"/>
      <c r="Q168" s="17"/>
      <c r="R168" s="17"/>
      <c r="S168" s="17"/>
      <c r="T168" s="17"/>
      <c r="U168" s="17"/>
      <c r="V168" s="17"/>
      <c r="W168" s="17"/>
      <c r="X168" s="17"/>
      <c r="Y168" s="17"/>
      <c r="Z168" s="17"/>
      <c r="AA168" s="17"/>
    </row>
    <row r="169" spans="2:27" x14ac:dyDescent="0.3">
      <c r="B169" s="17"/>
      <c r="C169" s="17"/>
      <c r="D169" s="17"/>
      <c r="E169" s="17"/>
      <c r="F169" s="17"/>
      <c r="G169" s="17"/>
      <c r="H169" s="17"/>
      <c r="I169" s="17"/>
      <c r="J169" s="17"/>
      <c r="K169" s="17"/>
      <c r="L169" s="17"/>
      <c r="M169" s="17"/>
      <c r="N169" s="17"/>
      <c r="O169" s="17"/>
      <c r="P169" s="17"/>
      <c r="Q169" s="17"/>
      <c r="R169" s="17"/>
      <c r="S169" s="17"/>
      <c r="T169" s="17"/>
      <c r="U169" s="17"/>
      <c r="V169" s="17"/>
      <c r="W169" s="17"/>
      <c r="X169" s="17"/>
      <c r="Y169" s="17"/>
      <c r="Z169" s="17"/>
      <c r="AA169" s="17"/>
    </row>
    <row r="170" spans="2:27" x14ac:dyDescent="0.3">
      <c r="B170" s="17"/>
      <c r="C170" s="17"/>
      <c r="D170" s="17"/>
      <c r="E170" s="17"/>
      <c r="F170" s="17"/>
      <c r="G170" s="17"/>
      <c r="H170" s="17"/>
      <c r="I170" s="17"/>
      <c r="J170" s="17"/>
      <c r="K170" s="17"/>
      <c r="L170" s="17"/>
      <c r="M170" s="17"/>
      <c r="N170" s="17"/>
      <c r="O170" s="17"/>
      <c r="P170" s="17"/>
      <c r="Q170" s="17"/>
      <c r="R170" s="17"/>
      <c r="S170" s="17"/>
      <c r="T170" s="17"/>
      <c r="U170" s="17"/>
      <c r="V170" s="17"/>
      <c r="W170" s="17"/>
      <c r="X170" s="17"/>
      <c r="Y170" s="17"/>
      <c r="Z170" s="17"/>
      <c r="AA170" s="17"/>
    </row>
    <row r="171" spans="2:27" x14ac:dyDescent="0.3">
      <c r="B171" s="17"/>
      <c r="C171" s="17"/>
      <c r="D171" s="17"/>
      <c r="E171" s="17"/>
      <c r="F171" s="17"/>
      <c r="G171" s="17"/>
      <c r="H171" s="17"/>
      <c r="I171" s="17"/>
      <c r="J171" s="17"/>
      <c r="K171" s="17"/>
      <c r="L171" s="17"/>
      <c r="M171" s="17"/>
      <c r="N171" s="17"/>
      <c r="O171" s="17"/>
      <c r="P171" s="17"/>
      <c r="Q171" s="17"/>
      <c r="R171" s="17"/>
      <c r="S171" s="17"/>
      <c r="T171" s="17"/>
      <c r="U171" s="17"/>
      <c r="V171" s="17"/>
      <c r="W171" s="17"/>
      <c r="X171" s="17"/>
      <c r="Y171" s="17"/>
      <c r="Z171" s="17"/>
      <c r="AA171" s="17"/>
    </row>
    <row r="172" spans="2:27" x14ac:dyDescent="0.3">
      <c r="B172" s="17"/>
      <c r="C172" s="17"/>
      <c r="D172" s="17"/>
      <c r="E172" s="17"/>
      <c r="F172" s="17"/>
      <c r="G172" s="17"/>
      <c r="H172" s="17"/>
      <c r="I172" s="17"/>
      <c r="J172" s="17"/>
      <c r="K172" s="17"/>
      <c r="L172" s="17"/>
      <c r="M172" s="17"/>
      <c r="N172" s="17"/>
      <c r="O172" s="17"/>
      <c r="P172" s="17"/>
      <c r="Q172" s="17"/>
      <c r="R172" s="17"/>
      <c r="S172" s="17"/>
      <c r="T172" s="17"/>
      <c r="U172" s="17"/>
      <c r="V172" s="17"/>
      <c r="W172" s="17"/>
      <c r="X172" s="17"/>
      <c r="Y172" s="17"/>
      <c r="Z172" s="17"/>
      <c r="AA172" s="17"/>
    </row>
    <row r="173" spans="2:27" x14ac:dyDescent="0.3">
      <c r="B173" s="17"/>
      <c r="C173" s="17"/>
      <c r="D173" s="17"/>
      <c r="E173" s="17"/>
      <c r="F173" s="17"/>
      <c r="G173" s="17"/>
      <c r="H173" s="17"/>
      <c r="I173" s="17"/>
      <c r="J173" s="17"/>
      <c r="K173" s="17"/>
      <c r="L173" s="17"/>
      <c r="M173" s="17"/>
      <c r="N173" s="17"/>
      <c r="O173" s="17"/>
      <c r="P173" s="17"/>
      <c r="Q173" s="17"/>
      <c r="R173" s="17"/>
      <c r="S173" s="17"/>
      <c r="T173" s="17"/>
      <c r="U173" s="17"/>
      <c r="V173" s="17"/>
      <c r="W173" s="17"/>
      <c r="X173" s="17"/>
      <c r="Y173" s="17"/>
      <c r="Z173" s="17"/>
      <c r="AA173" s="17"/>
    </row>
    <row r="174" spans="2:27" x14ac:dyDescent="0.3">
      <c r="B174" s="17"/>
      <c r="C174" s="17"/>
      <c r="D174" s="17"/>
      <c r="E174" s="17"/>
      <c r="F174" s="17"/>
      <c r="G174" s="17"/>
      <c r="H174" s="17"/>
      <c r="I174" s="17"/>
      <c r="J174" s="17"/>
      <c r="K174" s="17"/>
      <c r="L174" s="17"/>
      <c r="M174" s="17"/>
      <c r="N174" s="17"/>
      <c r="O174" s="17"/>
      <c r="P174" s="17"/>
      <c r="Q174" s="17"/>
      <c r="R174" s="17"/>
      <c r="S174" s="17"/>
      <c r="T174" s="17"/>
      <c r="U174" s="17"/>
      <c r="V174" s="17"/>
      <c r="W174" s="17"/>
      <c r="X174" s="17"/>
      <c r="Y174" s="17"/>
      <c r="Z174" s="17"/>
      <c r="AA174" s="17"/>
    </row>
    <row r="175" spans="2:27" x14ac:dyDescent="0.3">
      <c r="B175" s="17"/>
      <c r="C175" s="17"/>
      <c r="D175" s="17"/>
      <c r="E175" s="17"/>
      <c r="F175" s="17"/>
      <c r="G175" s="17"/>
      <c r="H175" s="17"/>
      <c r="I175" s="17"/>
      <c r="J175" s="17"/>
      <c r="K175" s="17"/>
      <c r="L175" s="17"/>
      <c r="M175" s="17"/>
      <c r="N175" s="17"/>
      <c r="O175" s="17"/>
      <c r="P175" s="17"/>
      <c r="Q175" s="17"/>
      <c r="R175" s="17"/>
      <c r="S175" s="17"/>
      <c r="T175" s="17"/>
      <c r="U175" s="17"/>
      <c r="V175" s="17"/>
      <c r="W175" s="17"/>
      <c r="X175" s="17"/>
      <c r="Y175" s="17"/>
      <c r="Z175" s="17"/>
      <c r="AA175" s="17"/>
    </row>
    <row r="176" spans="2:27" x14ac:dyDescent="0.3">
      <c r="B176" s="17"/>
      <c r="C176" s="17"/>
      <c r="D176" s="17"/>
      <c r="E176" s="17"/>
      <c r="F176" s="17"/>
      <c r="G176" s="17"/>
      <c r="H176" s="17"/>
      <c r="I176" s="17"/>
      <c r="J176" s="17"/>
      <c r="K176" s="17"/>
      <c r="L176" s="17"/>
      <c r="M176" s="17"/>
      <c r="N176" s="17"/>
      <c r="O176" s="17"/>
      <c r="P176" s="17"/>
      <c r="Q176" s="17"/>
      <c r="R176" s="17"/>
      <c r="S176" s="17"/>
      <c r="T176" s="17"/>
      <c r="U176" s="17"/>
      <c r="V176" s="17"/>
      <c r="W176" s="17"/>
      <c r="X176" s="17"/>
      <c r="Y176" s="17"/>
      <c r="Z176" s="17"/>
      <c r="AA176" s="17"/>
    </row>
    <row r="177" spans="2:27" x14ac:dyDescent="0.3">
      <c r="B177" s="17"/>
      <c r="C177" s="17"/>
      <c r="D177" s="17"/>
      <c r="E177" s="17"/>
      <c r="F177" s="17"/>
      <c r="G177" s="17"/>
      <c r="H177" s="17"/>
      <c r="I177" s="17"/>
      <c r="J177" s="17"/>
      <c r="K177" s="17"/>
      <c r="L177" s="17"/>
      <c r="M177" s="17"/>
      <c r="N177" s="17"/>
      <c r="O177" s="17"/>
      <c r="P177" s="17"/>
      <c r="Q177" s="17"/>
      <c r="R177" s="17"/>
      <c r="S177" s="17"/>
      <c r="T177" s="17"/>
      <c r="U177" s="17"/>
      <c r="V177" s="17"/>
      <c r="W177" s="17"/>
      <c r="X177" s="17"/>
      <c r="Y177" s="17"/>
      <c r="Z177" s="17"/>
      <c r="AA177" s="17"/>
    </row>
    <row r="178" spans="2:27" x14ac:dyDescent="0.3">
      <c r="B178" s="17"/>
      <c r="C178" s="17"/>
      <c r="D178" s="17"/>
      <c r="E178" s="17"/>
      <c r="F178" s="17"/>
      <c r="G178" s="17"/>
      <c r="H178" s="17"/>
      <c r="I178" s="17"/>
      <c r="J178" s="17"/>
      <c r="K178" s="17"/>
      <c r="L178" s="17"/>
      <c r="M178" s="17"/>
      <c r="N178" s="17"/>
      <c r="O178" s="17"/>
      <c r="P178" s="17"/>
      <c r="Q178" s="17"/>
      <c r="R178" s="17"/>
      <c r="S178" s="17"/>
      <c r="T178" s="17"/>
      <c r="U178" s="17"/>
      <c r="V178" s="17"/>
      <c r="W178" s="17"/>
      <c r="X178" s="17"/>
      <c r="Y178" s="17"/>
      <c r="Z178" s="17"/>
      <c r="AA178" s="17"/>
    </row>
    <row r="179" spans="2:27" x14ac:dyDescent="0.3">
      <c r="B179" s="17"/>
      <c r="C179" s="17"/>
      <c r="D179" s="17"/>
      <c r="E179" s="17"/>
      <c r="F179" s="17"/>
      <c r="G179" s="17"/>
      <c r="H179" s="17"/>
      <c r="I179" s="17"/>
      <c r="J179" s="17"/>
      <c r="K179" s="17"/>
      <c r="L179" s="17"/>
      <c r="M179" s="17"/>
      <c r="N179" s="17"/>
      <c r="O179" s="17"/>
      <c r="P179" s="17"/>
      <c r="Q179" s="17"/>
      <c r="R179" s="17"/>
      <c r="S179" s="17"/>
      <c r="T179" s="17"/>
      <c r="U179" s="17"/>
      <c r="V179" s="17"/>
      <c r="W179" s="17"/>
      <c r="X179" s="17"/>
      <c r="Y179" s="17"/>
      <c r="Z179" s="17"/>
      <c r="AA179" s="17"/>
    </row>
    <row r="180" spans="2:27" x14ac:dyDescent="0.3">
      <c r="B180" s="17"/>
      <c r="C180" s="17"/>
      <c r="D180" s="17"/>
      <c r="E180" s="17"/>
      <c r="F180" s="17"/>
      <c r="G180" s="17"/>
      <c r="H180" s="17"/>
      <c r="I180" s="17"/>
      <c r="J180" s="17"/>
      <c r="K180" s="17"/>
      <c r="L180" s="17"/>
      <c r="M180" s="17"/>
      <c r="N180" s="17"/>
      <c r="O180" s="17"/>
      <c r="P180" s="17"/>
      <c r="Q180" s="17"/>
      <c r="R180" s="17"/>
      <c r="S180" s="17"/>
      <c r="T180" s="17"/>
      <c r="U180" s="17"/>
      <c r="V180" s="17"/>
      <c r="W180" s="17"/>
      <c r="X180" s="17"/>
      <c r="Y180" s="17"/>
      <c r="Z180" s="17"/>
      <c r="AA180" s="17"/>
    </row>
    <row r="181" spans="2:27" x14ac:dyDescent="0.3">
      <c r="B181" s="17"/>
      <c r="C181" s="17"/>
      <c r="D181" s="17"/>
      <c r="E181" s="17"/>
      <c r="F181" s="17"/>
      <c r="G181" s="17"/>
      <c r="H181" s="17"/>
      <c r="I181" s="17"/>
      <c r="J181" s="17"/>
      <c r="K181" s="17"/>
      <c r="L181" s="17"/>
      <c r="M181" s="17"/>
      <c r="N181" s="17"/>
      <c r="O181" s="17"/>
      <c r="P181" s="17"/>
      <c r="Q181" s="17"/>
      <c r="R181" s="17"/>
      <c r="S181" s="17"/>
      <c r="T181" s="17"/>
      <c r="U181" s="17"/>
      <c r="V181" s="17"/>
      <c r="W181" s="17"/>
      <c r="X181" s="17"/>
      <c r="Y181" s="17"/>
      <c r="Z181" s="17"/>
      <c r="AA181" s="17"/>
    </row>
    <row r="182" spans="2:27" x14ac:dyDescent="0.3">
      <c r="B182" s="17"/>
      <c r="C182" s="17"/>
      <c r="D182" s="17"/>
      <c r="E182" s="17"/>
      <c r="F182" s="17"/>
      <c r="G182" s="17"/>
      <c r="H182" s="17"/>
      <c r="I182" s="17"/>
      <c r="J182" s="17"/>
      <c r="K182" s="17"/>
      <c r="L182" s="17"/>
      <c r="M182" s="17"/>
      <c r="N182" s="17"/>
      <c r="O182" s="17"/>
      <c r="P182" s="17"/>
      <c r="Q182" s="17"/>
      <c r="R182" s="17"/>
      <c r="S182" s="17"/>
      <c r="T182" s="17"/>
      <c r="U182" s="17"/>
      <c r="V182" s="17"/>
      <c r="W182" s="17"/>
      <c r="X182" s="17"/>
      <c r="Y182" s="17"/>
      <c r="Z182" s="17"/>
      <c r="AA182" s="17"/>
    </row>
    <row r="183" spans="2:27" x14ac:dyDescent="0.3">
      <c r="B183" s="17"/>
      <c r="C183" s="17"/>
      <c r="D183" s="17"/>
      <c r="E183" s="17"/>
      <c r="F183" s="17"/>
      <c r="G183" s="17"/>
      <c r="H183" s="17"/>
      <c r="I183" s="17"/>
      <c r="J183" s="17"/>
      <c r="K183" s="17"/>
      <c r="L183" s="17"/>
      <c r="M183" s="17"/>
      <c r="N183" s="17"/>
      <c r="O183" s="17"/>
      <c r="P183" s="17"/>
      <c r="Q183" s="17"/>
      <c r="R183" s="17"/>
      <c r="S183" s="17"/>
      <c r="T183" s="17"/>
      <c r="U183" s="17"/>
      <c r="V183" s="17"/>
      <c r="W183" s="17"/>
      <c r="X183" s="17"/>
      <c r="Y183" s="17"/>
      <c r="Z183" s="17"/>
      <c r="AA183" s="17"/>
    </row>
    <row r="184" spans="2:27" x14ac:dyDescent="0.3">
      <c r="B184" s="17"/>
      <c r="C184" s="17"/>
      <c r="D184" s="17"/>
      <c r="E184" s="17"/>
      <c r="F184" s="17"/>
      <c r="G184" s="17"/>
      <c r="H184" s="17"/>
      <c r="I184" s="17"/>
      <c r="J184" s="17"/>
      <c r="K184" s="17"/>
      <c r="L184" s="17"/>
      <c r="M184" s="17"/>
      <c r="N184" s="17"/>
      <c r="O184" s="17"/>
      <c r="P184" s="17"/>
      <c r="Q184" s="17"/>
      <c r="R184" s="17"/>
      <c r="S184" s="17"/>
      <c r="T184" s="17"/>
      <c r="U184" s="17"/>
      <c r="V184" s="17"/>
      <c r="W184" s="17"/>
      <c r="X184" s="17"/>
      <c r="Y184" s="17"/>
      <c r="Z184" s="17"/>
      <c r="AA184" s="17"/>
    </row>
    <row r="185" spans="2:27" x14ac:dyDescent="0.3">
      <c r="B185" s="17"/>
      <c r="C185" s="17"/>
      <c r="D185" s="17"/>
      <c r="E185" s="17"/>
      <c r="F185" s="17"/>
      <c r="G185" s="17"/>
      <c r="H185" s="17"/>
      <c r="I185" s="17"/>
      <c r="J185" s="17"/>
      <c r="K185" s="17"/>
      <c r="L185" s="17"/>
      <c r="M185" s="17"/>
      <c r="N185" s="17"/>
      <c r="O185" s="17"/>
      <c r="P185" s="17"/>
      <c r="Q185" s="17"/>
      <c r="R185" s="17"/>
      <c r="S185" s="17"/>
      <c r="T185" s="17"/>
      <c r="U185" s="17"/>
      <c r="V185" s="17"/>
      <c r="W185" s="17"/>
      <c r="X185" s="17"/>
      <c r="Y185" s="17"/>
      <c r="Z185" s="17"/>
      <c r="AA185" s="17"/>
    </row>
  </sheetData>
  <mergeCells count="75">
    <mergeCell ref="C25:C27"/>
    <mergeCell ref="C28:C30"/>
    <mergeCell ref="C31:C33"/>
    <mergeCell ref="C3:C5"/>
    <mergeCell ref="C6:C8"/>
    <mergeCell ref="C9:C11"/>
    <mergeCell ref="C12:C14"/>
    <mergeCell ref="C22:C24"/>
    <mergeCell ref="C15:C17"/>
    <mergeCell ref="C44:C46"/>
    <mergeCell ref="C47:C49"/>
    <mergeCell ref="C50:C52"/>
    <mergeCell ref="C53:C55"/>
    <mergeCell ref="C34:C36"/>
    <mergeCell ref="C41:C43"/>
    <mergeCell ref="N22:N24"/>
    <mergeCell ref="N25:N27"/>
    <mergeCell ref="N28:N30"/>
    <mergeCell ref="N31:N33"/>
    <mergeCell ref="N34:N36"/>
    <mergeCell ref="N3:N5"/>
    <mergeCell ref="N6:N8"/>
    <mergeCell ref="N9:N11"/>
    <mergeCell ref="N12:N14"/>
    <mergeCell ref="N15:N17"/>
    <mergeCell ref="N41:N43"/>
    <mergeCell ref="N44:N46"/>
    <mergeCell ref="N47:N49"/>
    <mergeCell ref="N50:N52"/>
    <mergeCell ref="N53:N55"/>
    <mergeCell ref="K3:K5"/>
    <mergeCell ref="K6:K8"/>
    <mergeCell ref="K9:K11"/>
    <mergeCell ref="K12:K14"/>
    <mergeCell ref="K15:K17"/>
    <mergeCell ref="K22:K24"/>
    <mergeCell ref="K25:K27"/>
    <mergeCell ref="K28:K30"/>
    <mergeCell ref="K31:K33"/>
    <mergeCell ref="K34:K36"/>
    <mergeCell ref="K41:K43"/>
    <mergeCell ref="K44:K46"/>
    <mergeCell ref="K47:K49"/>
    <mergeCell ref="K50:K52"/>
    <mergeCell ref="K53:K55"/>
    <mergeCell ref="L3:L5"/>
    <mergeCell ref="L6:L8"/>
    <mergeCell ref="L9:L11"/>
    <mergeCell ref="L12:L14"/>
    <mergeCell ref="L15:L17"/>
    <mergeCell ref="L22:L24"/>
    <mergeCell ref="L25:L27"/>
    <mergeCell ref="L28:L30"/>
    <mergeCell ref="L31:L33"/>
    <mergeCell ref="L34:L36"/>
    <mergeCell ref="L41:L43"/>
    <mergeCell ref="L44:L46"/>
    <mergeCell ref="L47:L49"/>
    <mergeCell ref="L50:L52"/>
    <mergeCell ref="L53:L55"/>
    <mergeCell ref="M3:M5"/>
    <mergeCell ref="M6:M8"/>
    <mergeCell ref="M9:M11"/>
    <mergeCell ref="M12:M14"/>
    <mergeCell ref="M15:M17"/>
    <mergeCell ref="M22:M24"/>
    <mergeCell ref="M25:M27"/>
    <mergeCell ref="M28:M30"/>
    <mergeCell ref="M31:M33"/>
    <mergeCell ref="M34:M36"/>
    <mergeCell ref="M41:M43"/>
    <mergeCell ref="M44:M46"/>
    <mergeCell ref="M47:M49"/>
    <mergeCell ref="M50:M52"/>
    <mergeCell ref="M53:M55"/>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E25E55-6AD9-44F9-8BAD-76246E7A8766}">
  <dimension ref="A1"/>
  <sheetViews>
    <sheetView zoomScale="55" zoomScaleNormal="55" workbookViewId="0">
      <selection activeCell="O26" sqref="O26"/>
    </sheetView>
  </sheetViews>
  <sheetFormatPr defaultRowHeight="14.4" x14ac:dyDescent="0.3"/>
  <sheetData/>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272741-6010-45E6-9B1F-1D7301A19667}">
  <dimension ref="B1:AB32"/>
  <sheetViews>
    <sheetView zoomScale="70" zoomScaleNormal="70" workbookViewId="0">
      <selection activeCell="H40" sqref="H40"/>
    </sheetView>
  </sheetViews>
  <sheetFormatPr defaultRowHeight="14.4" x14ac:dyDescent="0.3"/>
  <cols>
    <col min="2" max="2" width="10.33203125" bestFit="1" customWidth="1"/>
    <col min="3" max="6" width="15.6640625" bestFit="1" customWidth="1"/>
    <col min="7" max="7" width="16.6640625" bestFit="1" customWidth="1"/>
    <col min="8" max="8" width="16.5546875" bestFit="1" customWidth="1"/>
    <col min="9" max="9" width="17" bestFit="1" customWidth="1"/>
    <col min="10" max="10" width="16.5546875" bestFit="1" customWidth="1"/>
  </cols>
  <sheetData>
    <row r="1" spans="2:10" ht="15" thickBot="1" x14ac:dyDescent="0.35"/>
    <row r="2" spans="2:10" ht="15" thickBot="1" x14ac:dyDescent="0.35">
      <c r="B2" s="105" t="s">
        <v>85</v>
      </c>
      <c r="C2" s="106" t="s">
        <v>81</v>
      </c>
      <c r="D2" s="107">
        <v>1</v>
      </c>
      <c r="E2" s="106" t="s">
        <v>81</v>
      </c>
      <c r="F2" s="108">
        <v>1</v>
      </c>
      <c r="G2" s="106" t="s">
        <v>80</v>
      </c>
      <c r="H2" s="107">
        <v>2</v>
      </c>
      <c r="I2" s="109" t="s">
        <v>79</v>
      </c>
      <c r="J2" s="107">
        <v>3</v>
      </c>
    </row>
    <row r="3" spans="2:10" ht="15" thickBot="1" x14ac:dyDescent="0.35">
      <c r="B3" s="100" t="s">
        <v>86</v>
      </c>
      <c r="C3" s="101" t="s">
        <v>87</v>
      </c>
      <c r="D3" s="102" t="s">
        <v>88</v>
      </c>
      <c r="E3" s="101" t="s">
        <v>89</v>
      </c>
      <c r="F3" s="103" t="s">
        <v>88</v>
      </c>
      <c r="G3" s="101" t="s">
        <v>90</v>
      </c>
      <c r="H3" s="102" t="s">
        <v>91</v>
      </c>
      <c r="I3" s="104" t="s">
        <v>92</v>
      </c>
      <c r="J3" s="102" t="s">
        <v>91</v>
      </c>
    </row>
    <row r="4" spans="2:10" x14ac:dyDescent="0.3">
      <c r="B4" s="268"/>
      <c r="C4" s="269">
        <v>8.6099999999999996E-2</v>
      </c>
      <c r="D4" s="270">
        <v>0.221</v>
      </c>
      <c r="E4" s="269">
        <v>0.14299999999999999</v>
      </c>
      <c r="F4" s="272">
        <v>0.19400000000000001</v>
      </c>
      <c r="G4" s="269">
        <v>0.18149999999999999</v>
      </c>
      <c r="H4" s="272">
        <v>0.1875</v>
      </c>
      <c r="I4" s="269">
        <v>2.3300000000000001E-2</v>
      </c>
      <c r="J4" s="270">
        <v>0.19</v>
      </c>
    </row>
    <row r="5" spans="2:10" x14ac:dyDescent="0.3">
      <c r="B5" s="98"/>
      <c r="C5" s="94">
        <v>9.2700000000000005E-2</v>
      </c>
      <c r="D5" s="95">
        <v>0.17899999999999999</v>
      </c>
      <c r="E5" s="94">
        <v>0.14299999999999999</v>
      </c>
      <c r="F5" s="97">
        <v>0.15</v>
      </c>
      <c r="G5" s="94">
        <v>0.1731</v>
      </c>
      <c r="H5" s="97">
        <v>0.23019999999999999</v>
      </c>
      <c r="I5" s="94">
        <v>3.1800000000000002E-2</v>
      </c>
      <c r="J5" s="95">
        <v>0.17699999999999999</v>
      </c>
    </row>
    <row r="6" spans="2:10" x14ac:dyDescent="0.3">
      <c r="B6" s="98"/>
      <c r="C6" s="94">
        <v>0.113</v>
      </c>
      <c r="D6" s="95">
        <v>0.13800000000000001</v>
      </c>
      <c r="E6" s="94">
        <v>0.13800000000000001</v>
      </c>
      <c r="F6" s="97">
        <v>0.128</v>
      </c>
      <c r="G6" s="94">
        <v>0.1517</v>
      </c>
      <c r="H6" s="97">
        <v>0.3014</v>
      </c>
      <c r="I6" s="94">
        <v>3.8100000000000002E-2</v>
      </c>
      <c r="J6" s="95">
        <v>0.16300000000000001</v>
      </c>
    </row>
    <row r="7" spans="2:10" x14ac:dyDescent="0.3">
      <c r="B7" s="98"/>
      <c r="C7" s="94">
        <v>0.4</v>
      </c>
      <c r="D7" s="95">
        <v>0</v>
      </c>
      <c r="E7" s="94">
        <v>0.40200000000000002</v>
      </c>
      <c r="F7" s="97">
        <v>0</v>
      </c>
      <c r="G7" s="94">
        <v>0.14560000000000001</v>
      </c>
      <c r="H7" s="97">
        <v>0.32700000000000001</v>
      </c>
      <c r="I7" s="94">
        <v>4.4499999999999998E-2</v>
      </c>
      <c r="J7" s="95">
        <v>0.14599999999999999</v>
      </c>
    </row>
    <row r="8" spans="2:10" x14ac:dyDescent="0.3">
      <c r="B8" s="98"/>
      <c r="C8" s="94">
        <v>0.435</v>
      </c>
      <c r="D8" s="95">
        <v>0</v>
      </c>
      <c r="E8" s="94">
        <v>0.42799999999999999</v>
      </c>
      <c r="F8" s="97">
        <v>1.2600000000000001E-3</v>
      </c>
      <c r="G8" s="94">
        <v>0.53129999999999999</v>
      </c>
      <c r="H8" s="97">
        <v>0</v>
      </c>
      <c r="I8" s="94">
        <v>5.0799999999999998E-2</v>
      </c>
      <c r="J8" s="95">
        <v>0.13200000000000001</v>
      </c>
    </row>
    <row r="9" spans="2:10" ht="15" thickBot="1" x14ac:dyDescent="0.35">
      <c r="B9" s="99"/>
      <c r="C9" s="271">
        <v>0.47199999999999998</v>
      </c>
      <c r="D9" s="96">
        <v>0</v>
      </c>
      <c r="E9" s="271">
        <v>0.47799999999999998</v>
      </c>
      <c r="F9" s="273">
        <v>0</v>
      </c>
      <c r="G9" s="94">
        <v>0.57599999999999996</v>
      </c>
      <c r="H9" s="97">
        <v>0</v>
      </c>
      <c r="I9" s="94">
        <v>5.9299999999999999E-2</v>
      </c>
      <c r="J9" s="95">
        <v>0.11700000000000001</v>
      </c>
    </row>
    <row r="10" spans="2:10" x14ac:dyDescent="0.3">
      <c r="B10" s="17"/>
      <c r="C10" s="17"/>
      <c r="D10" s="17"/>
      <c r="E10" s="17"/>
      <c r="F10" s="17"/>
      <c r="G10" s="94">
        <v>0.58109999999999995</v>
      </c>
      <c r="H10" s="97">
        <v>4.0000000000000002E-4</v>
      </c>
      <c r="I10" s="94">
        <v>6.9900000000000004E-2</v>
      </c>
      <c r="J10" s="95">
        <v>0.104</v>
      </c>
    </row>
    <row r="11" spans="2:10" ht="15" thickBot="1" x14ac:dyDescent="0.35">
      <c r="B11" s="17"/>
      <c r="C11" s="17"/>
      <c r="D11" s="17"/>
      <c r="E11" s="17"/>
      <c r="F11" s="17"/>
      <c r="G11" s="271">
        <v>0.63400000000000001</v>
      </c>
      <c r="H11" s="273">
        <v>5.0000000000000001E-3</v>
      </c>
      <c r="I11" s="94">
        <v>8.0500000000000002E-2</v>
      </c>
      <c r="J11" s="95">
        <v>9.0999999999999998E-2</v>
      </c>
    </row>
    <row r="12" spans="2:10" x14ac:dyDescent="0.3">
      <c r="B12" s="17"/>
      <c r="C12" s="17"/>
      <c r="D12" s="17"/>
      <c r="E12" s="17"/>
      <c r="F12" s="17"/>
      <c r="G12" s="17"/>
      <c r="H12" s="17"/>
      <c r="I12" s="94">
        <v>0.11</v>
      </c>
      <c r="J12" s="95">
        <v>7.9500000000000001E-2</v>
      </c>
    </row>
    <row r="13" spans="2:10" x14ac:dyDescent="0.3">
      <c r="B13" s="17"/>
      <c r="C13" s="17"/>
      <c r="D13" s="17"/>
      <c r="E13" s="17"/>
      <c r="F13" s="17"/>
      <c r="G13" s="17"/>
      <c r="H13" s="17"/>
      <c r="I13" s="94">
        <v>0.125</v>
      </c>
      <c r="J13" s="95">
        <v>6.9599999999999995E-2</v>
      </c>
    </row>
    <row r="14" spans="2:10" x14ac:dyDescent="0.3">
      <c r="B14" s="17"/>
      <c r="C14" s="17"/>
      <c r="D14" s="17"/>
      <c r="E14" s="17"/>
      <c r="F14" s="17"/>
      <c r="G14" s="17"/>
      <c r="H14" s="17"/>
      <c r="I14" s="94">
        <v>0.152</v>
      </c>
      <c r="J14" s="95">
        <v>5.7299999999999997E-2</v>
      </c>
    </row>
    <row r="15" spans="2:10" x14ac:dyDescent="0.3">
      <c r="B15" s="17"/>
      <c r="C15" s="17"/>
      <c r="D15" s="17"/>
      <c r="E15" s="17"/>
      <c r="F15" s="17"/>
      <c r="G15" s="17"/>
      <c r="H15" s="17"/>
      <c r="I15" s="94">
        <v>0.18</v>
      </c>
      <c r="J15" s="95">
        <v>4.4299999999999999E-2</v>
      </c>
    </row>
    <row r="16" spans="2:10" x14ac:dyDescent="0.3">
      <c r="B16" s="17"/>
      <c r="C16" s="17"/>
      <c r="D16" s="17"/>
      <c r="E16" s="17"/>
      <c r="F16" s="17"/>
      <c r="G16" s="17"/>
      <c r="H16" s="17"/>
      <c r="I16" s="94">
        <v>0.20799999999999999</v>
      </c>
      <c r="J16" s="95">
        <v>3.3599999999999998E-2</v>
      </c>
    </row>
    <row r="17" spans="2:28" x14ac:dyDescent="0.3">
      <c r="B17" s="17"/>
      <c r="C17" s="17"/>
      <c r="D17" s="17"/>
      <c r="E17" s="17"/>
      <c r="F17" s="17"/>
      <c r="G17" s="17"/>
      <c r="H17" s="17"/>
      <c r="I17" s="94">
        <v>0.23699999999999999</v>
      </c>
      <c r="J17" s="95">
        <v>2.5999999999999999E-2</v>
      </c>
    </row>
    <row r="18" spans="2:28" x14ac:dyDescent="0.3">
      <c r="B18" s="17"/>
      <c r="C18" s="17"/>
      <c r="D18" s="17"/>
      <c r="E18" s="17"/>
      <c r="F18" s="17"/>
      <c r="G18" s="17"/>
      <c r="H18" s="17"/>
      <c r="I18" s="94">
        <v>0.28199999999999997</v>
      </c>
      <c r="J18" s="95">
        <v>1.83E-2</v>
      </c>
    </row>
    <row r="19" spans="2:28" x14ac:dyDescent="0.3">
      <c r="B19" s="17"/>
      <c r="C19" s="17"/>
      <c r="D19" s="17"/>
      <c r="E19" s="17"/>
      <c r="F19" s="17"/>
      <c r="G19" s="17"/>
      <c r="H19" s="17"/>
      <c r="I19" s="94">
        <v>0.313</v>
      </c>
      <c r="J19" s="95">
        <v>1.38E-2</v>
      </c>
    </row>
    <row r="20" spans="2:28" x14ac:dyDescent="0.3">
      <c r="B20" s="17"/>
      <c r="C20" s="17"/>
      <c r="D20" s="17"/>
      <c r="E20" s="17"/>
      <c r="F20" s="17"/>
      <c r="G20" s="17"/>
      <c r="H20" s="17"/>
      <c r="I20" s="94">
        <v>0.34899999999999998</v>
      </c>
      <c r="J20" s="95">
        <v>9.1699999999999993E-3</v>
      </c>
    </row>
    <row r="21" spans="2:28" x14ac:dyDescent="0.3">
      <c r="B21" s="17"/>
      <c r="C21" s="17"/>
      <c r="D21" s="17"/>
      <c r="E21" s="17"/>
      <c r="F21" s="17"/>
      <c r="G21" s="17"/>
      <c r="H21" s="17"/>
      <c r="I21" s="94">
        <v>0.40699999999999997</v>
      </c>
      <c r="J21" s="95">
        <v>3.82E-3</v>
      </c>
    </row>
    <row r="22" spans="2:28" x14ac:dyDescent="0.3">
      <c r="B22" s="17"/>
      <c r="C22" s="17"/>
      <c r="D22" s="17"/>
      <c r="E22" s="17"/>
      <c r="F22" s="17"/>
      <c r="G22" s="17"/>
      <c r="H22" s="17"/>
      <c r="I22" s="94">
        <v>0.47199999999999998</v>
      </c>
      <c r="J22" s="95">
        <v>5.3499999999999997E-3</v>
      </c>
    </row>
    <row r="23" spans="2:28" x14ac:dyDescent="0.3">
      <c r="B23" s="17"/>
      <c r="C23" s="17"/>
      <c r="D23" s="17"/>
      <c r="E23" s="17"/>
      <c r="F23" s="17"/>
      <c r="G23" s="17"/>
      <c r="H23" s="17"/>
      <c r="I23" s="94">
        <v>0.52700000000000002</v>
      </c>
      <c r="J23" s="95">
        <v>3.82E-3</v>
      </c>
    </row>
    <row r="24" spans="2:28" x14ac:dyDescent="0.3">
      <c r="B24" s="17"/>
      <c r="C24" s="17"/>
      <c r="D24" s="17"/>
      <c r="E24" s="17"/>
      <c r="F24" s="17"/>
      <c r="G24" s="17"/>
      <c r="H24" s="17"/>
      <c r="I24" s="94">
        <v>0.57399999999999995</v>
      </c>
      <c r="J24" s="95">
        <v>3.0599999999999998E-3</v>
      </c>
    </row>
    <row r="25" spans="2:28" ht="15" thickBot="1" x14ac:dyDescent="0.35">
      <c r="B25" s="17"/>
      <c r="C25" s="17"/>
      <c r="D25" s="17"/>
      <c r="E25" s="17"/>
      <c r="F25" s="17"/>
      <c r="G25" s="17"/>
      <c r="H25" s="17"/>
      <c r="I25" s="271">
        <v>0.64400000000000002</v>
      </c>
      <c r="J25" s="96">
        <v>1.5299999999999999E-3</v>
      </c>
      <c r="Y25" s="83"/>
      <c r="Z25" s="83"/>
      <c r="AA25" s="83"/>
      <c r="AB25" s="8"/>
    </row>
    <row r="26" spans="2:28" x14ac:dyDescent="0.3">
      <c r="Y26" s="9"/>
      <c r="Z26" s="9"/>
      <c r="AA26" s="9"/>
      <c r="AB26" s="9"/>
    </row>
    <row r="27" spans="2:28" x14ac:dyDescent="0.3">
      <c r="Y27" s="83"/>
      <c r="Z27" s="83"/>
      <c r="AA27" s="83"/>
      <c r="AB27" s="8"/>
    </row>
    <row r="28" spans="2:28" x14ac:dyDescent="0.3">
      <c r="Y28" s="9"/>
      <c r="Z28" s="9"/>
      <c r="AA28" s="9"/>
      <c r="AB28" s="9"/>
    </row>
    <row r="29" spans="2:28" x14ac:dyDescent="0.3">
      <c r="Y29" s="83"/>
      <c r="Z29" s="83"/>
      <c r="AA29" s="83"/>
      <c r="AB29" s="8"/>
    </row>
    <row r="30" spans="2:28" x14ac:dyDescent="0.3">
      <c r="Y30" s="83"/>
      <c r="Z30" s="83"/>
      <c r="AA30" s="83"/>
      <c r="AB30" s="8"/>
    </row>
    <row r="31" spans="2:28" x14ac:dyDescent="0.3">
      <c r="Y31" s="9"/>
      <c r="Z31" s="9"/>
      <c r="AA31" s="9"/>
      <c r="AB31" s="9"/>
    </row>
    <row r="32" spans="2:28" x14ac:dyDescent="0.3">
      <c r="Y32" s="83"/>
      <c r="Z32" s="83"/>
      <c r="AA32" s="83"/>
      <c r="AB32" s="8"/>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EA432C-677E-449B-B8CC-28A581E2750A}">
  <dimension ref="A1:H88"/>
  <sheetViews>
    <sheetView topLeftCell="E49" zoomScale="70" zoomScaleNormal="70" workbookViewId="0">
      <selection activeCell="T39" sqref="T39"/>
    </sheetView>
  </sheetViews>
  <sheetFormatPr defaultRowHeight="14.4" x14ac:dyDescent="0.3"/>
  <cols>
    <col min="2" max="2" width="10.33203125" bestFit="1" customWidth="1"/>
    <col min="3" max="3" width="23.109375" bestFit="1" customWidth="1"/>
    <col min="4" max="4" width="22.44140625" bestFit="1" customWidth="1"/>
    <col min="5" max="5" width="24" bestFit="1" customWidth="1"/>
    <col min="6" max="7" width="13.88671875" bestFit="1" customWidth="1"/>
    <col min="8" max="8" width="13.88671875" customWidth="1"/>
  </cols>
  <sheetData>
    <row r="1" spans="2:5" x14ac:dyDescent="0.3">
      <c r="B1" s="323" t="s">
        <v>102</v>
      </c>
      <c r="C1" s="151" t="s">
        <v>6</v>
      </c>
      <c r="D1" s="260">
        <v>0.67400000000000004</v>
      </c>
    </row>
    <row r="2" spans="2:5" x14ac:dyDescent="0.3">
      <c r="B2" s="324"/>
      <c r="C2" s="151" t="s">
        <v>4</v>
      </c>
      <c r="D2" s="260">
        <v>0.91200000000000014</v>
      </c>
    </row>
    <row r="3" spans="2:5" x14ac:dyDescent="0.3">
      <c r="B3" s="325"/>
      <c r="C3" s="151" t="s">
        <v>5</v>
      </c>
      <c r="D3" s="260">
        <v>315</v>
      </c>
    </row>
    <row r="5" spans="2:5" x14ac:dyDescent="0.3">
      <c r="B5" s="177" t="s">
        <v>92</v>
      </c>
      <c r="C5" s="177" t="s">
        <v>99</v>
      </c>
      <c r="D5" s="177" t="s">
        <v>98</v>
      </c>
      <c r="E5" s="177" t="s">
        <v>100</v>
      </c>
    </row>
    <row r="6" spans="2:5" x14ac:dyDescent="0.3">
      <c r="B6" s="261">
        <v>0.17720705010776616</v>
      </c>
      <c r="C6" s="261">
        <v>7.1653624479604452E-2</v>
      </c>
      <c r="D6" s="169">
        <f t="shared" ref="D6:D15" si="0">$D$1*EXP(-$D$2*B6^0.5-$D$3*B6^3)</f>
        <v>7.9553472910160392E-2</v>
      </c>
      <c r="E6" s="274">
        <f t="shared" ref="E6:E15" si="1">(D6-C6)^2</f>
        <v>6.2407605225757139E-5</v>
      </c>
    </row>
    <row r="7" spans="2:5" x14ac:dyDescent="0.3">
      <c r="B7" s="261">
        <v>0.34554341064230315</v>
      </c>
      <c r="C7" s="261">
        <v>1E-3</v>
      </c>
      <c r="D7" s="169">
        <f t="shared" si="0"/>
        <v>8.9460293298990583E-7</v>
      </c>
      <c r="E7" s="274">
        <f t="shared" si="1"/>
        <v>9.9821159444842787E-7</v>
      </c>
    </row>
    <row r="8" spans="2:5" x14ac:dyDescent="0.3">
      <c r="B8" s="261">
        <v>0.15700016117635504</v>
      </c>
      <c r="C8" s="261">
        <v>0.13116430539687685</v>
      </c>
      <c r="D8" s="169">
        <f t="shared" si="0"/>
        <v>0.13877390962714248</v>
      </c>
      <c r="E8" s="274">
        <f t="shared" si="1"/>
        <v>5.7906076541276603E-5</v>
      </c>
    </row>
    <row r="9" spans="2:5" x14ac:dyDescent="0.3">
      <c r="B9" s="261">
        <v>0.42912956622280746</v>
      </c>
      <c r="C9" s="261">
        <v>1E-3</v>
      </c>
      <c r="D9" s="169">
        <f t="shared" si="0"/>
        <v>5.7324431513496461E-12</v>
      </c>
      <c r="E9" s="274">
        <f t="shared" si="1"/>
        <v>9.9999998853511382E-7</v>
      </c>
    </row>
    <row r="10" spans="2:5" x14ac:dyDescent="0.3">
      <c r="B10" s="261">
        <v>0.1273460846302151</v>
      </c>
      <c r="C10" s="261">
        <v>0.24977483246073254</v>
      </c>
      <c r="D10" s="169">
        <f t="shared" si="0"/>
        <v>0.25397798004604211</v>
      </c>
      <c r="E10" s="274">
        <f t="shared" si="1"/>
        <v>1.7666449623893662E-5</v>
      </c>
    </row>
    <row r="11" spans="2:5" x14ac:dyDescent="0.3">
      <c r="B11" s="261">
        <v>0.56385117312134425</v>
      </c>
      <c r="C11" s="261">
        <v>1E-3</v>
      </c>
      <c r="D11" s="169">
        <f t="shared" si="0"/>
        <v>1.0172179887425153E-25</v>
      </c>
      <c r="E11" s="274">
        <f t="shared" si="1"/>
        <v>9.9999999999999995E-7</v>
      </c>
    </row>
    <row r="12" spans="2:5" x14ac:dyDescent="0.3">
      <c r="B12" s="261">
        <v>0.11217741051405894</v>
      </c>
      <c r="C12" s="261">
        <v>0.31725463897325273</v>
      </c>
      <c r="D12" s="169">
        <f t="shared" si="0"/>
        <v>0.31833879376685387</v>
      </c>
      <c r="E12" s="274">
        <f t="shared" si="1"/>
        <v>1.1753916164883154E-6</v>
      </c>
    </row>
    <row r="13" spans="2:5" x14ac:dyDescent="0.3">
      <c r="B13" s="261">
        <v>0.62623819397190306</v>
      </c>
      <c r="C13" s="261">
        <v>1E-3</v>
      </c>
      <c r="D13" s="169">
        <f t="shared" si="0"/>
        <v>8.2645003258832859E-35</v>
      </c>
      <c r="E13" s="274">
        <f t="shared" si="1"/>
        <v>9.9999999999999995E-7</v>
      </c>
    </row>
    <row r="14" spans="2:5" x14ac:dyDescent="0.3">
      <c r="B14" s="261">
        <v>0.15213594567873995</v>
      </c>
      <c r="C14" s="261">
        <v>0.17602279632989112</v>
      </c>
      <c r="D14" s="169">
        <f t="shared" si="0"/>
        <v>0.15576021931552361</v>
      </c>
      <c r="E14" s="274">
        <f t="shared" si="1"/>
        <v>4.1057202726317457E-4</v>
      </c>
    </row>
    <row r="15" spans="2:5" x14ac:dyDescent="0.3">
      <c r="B15" s="261">
        <v>0.47410315860533686</v>
      </c>
      <c r="C15" s="261">
        <v>1E-3</v>
      </c>
      <c r="D15" s="169">
        <f t="shared" si="0"/>
        <v>9.4933971272503817E-16</v>
      </c>
      <c r="E15" s="274">
        <f t="shared" si="1"/>
        <v>9.9999999999810133E-7</v>
      </c>
    </row>
    <row r="16" spans="2:5" x14ac:dyDescent="0.3">
      <c r="C16" s="12"/>
      <c r="D16" s="177" t="s">
        <v>101</v>
      </c>
      <c r="E16" s="262">
        <f>SUM(E6:E15)</f>
        <v>5.5472576185357193E-4</v>
      </c>
    </row>
    <row r="17" spans="1:5" x14ac:dyDescent="0.3">
      <c r="C17" s="12"/>
      <c r="D17" s="116"/>
      <c r="E17" s="117"/>
    </row>
    <row r="18" spans="1:5" x14ac:dyDescent="0.3">
      <c r="B18" s="326" t="s">
        <v>104</v>
      </c>
      <c r="C18" s="92" t="s">
        <v>6</v>
      </c>
      <c r="D18" s="114">
        <v>7.71</v>
      </c>
    </row>
    <row r="19" spans="1:5" x14ac:dyDescent="0.3">
      <c r="B19" s="327"/>
      <c r="C19" s="92" t="s">
        <v>4</v>
      </c>
      <c r="D19" s="114">
        <v>9.25</v>
      </c>
      <c r="E19" s="117"/>
    </row>
    <row r="20" spans="1:5" x14ac:dyDescent="0.3">
      <c r="A20" s="39"/>
      <c r="B20" s="328"/>
      <c r="C20" s="92" t="s">
        <v>5</v>
      </c>
      <c r="D20" s="114">
        <v>92.4</v>
      </c>
    </row>
    <row r="21" spans="1:5" x14ac:dyDescent="0.3">
      <c r="A21" s="39"/>
      <c r="B21" s="118"/>
      <c r="C21" s="1"/>
      <c r="D21" s="82"/>
    </row>
    <row r="22" spans="1:5" x14ac:dyDescent="0.3">
      <c r="B22" s="120" t="s">
        <v>92</v>
      </c>
      <c r="C22" s="120" t="s">
        <v>99</v>
      </c>
      <c r="D22" s="120" t="s">
        <v>98</v>
      </c>
      <c r="E22" s="120" t="s">
        <v>100</v>
      </c>
    </row>
    <row r="23" spans="1:5" x14ac:dyDescent="0.3">
      <c r="B23" s="123">
        <v>0.14131838626276161</v>
      </c>
      <c r="C23" s="123">
        <v>0.14540954490937325</v>
      </c>
      <c r="D23" s="111">
        <f t="shared" ref="D23:D30" si="2">$D$18*EXP(-$D$19*B23^0.5-$D$20*B23^3)</f>
        <v>0.1834984098974137</v>
      </c>
      <c r="E23" s="275">
        <f t="shared" ref="E23:E30" si="3">(D23-C23)^2</f>
        <v>1.4507616360771741E-3</v>
      </c>
    </row>
    <row r="24" spans="1:5" x14ac:dyDescent="0.3">
      <c r="B24" s="123">
        <v>0.428003014150241</v>
      </c>
      <c r="C24" s="123">
        <v>1E-3</v>
      </c>
      <c r="D24" s="111">
        <f t="shared" si="2"/>
        <v>1.2960833734995864E-5</v>
      </c>
      <c r="E24" s="275">
        <f t="shared" si="3"/>
        <v>9.7424631574111476E-7</v>
      </c>
    </row>
    <row r="25" spans="1:5" x14ac:dyDescent="0.3">
      <c r="B25" s="123">
        <v>0.17112661819258931</v>
      </c>
      <c r="C25" s="123">
        <v>8.6337103120981432E-2</v>
      </c>
      <c r="D25" s="111">
        <f t="shared" si="2"/>
        <v>0.10571401481181746</v>
      </c>
      <c r="E25" s="275">
        <f t="shared" si="3"/>
        <v>3.7546470667445777E-4</v>
      </c>
    </row>
    <row r="26" spans="1:5" x14ac:dyDescent="0.3">
      <c r="B26" s="123">
        <v>0.33137956644433736</v>
      </c>
      <c r="C26" s="123">
        <v>1.2671609602289391E-2</v>
      </c>
      <c r="D26" s="111">
        <f t="shared" si="2"/>
        <v>1.3009039436123499E-3</v>
      </c>
      <c r="E26" s="275">
        <f t="shared" si="3"/>
        <v>1.2929294717627007E-4</v>
      </c>
    </row>
    <row r="27" spans="1:5" x14ac:dyDescent="0.3">
      <c r="B27" s="123">
        <v>0.13691669226407471</v>
      </c>
      <c r="C27" s="123">
        <v>0.19659116876943217</v>
      </c>
      <c r="D27" s="111">
        <f t="shared" si="2"/>
        <v>0.19842376473926251</v>
      </c>
      <c r="E27" s="275">
        <f t="shared" si="3"/>
        <v>3.3584079886384313E-6</v>
      </c>
    </row>
    <row r="28" spans="1:5" x14ac:dyDescent="0.3">
      <c r="B28" s="123">
        <v>0.48986493746420751</v>
      </c>
      <c r="C28" s="123">
        <v>2.0447826056263752E-3</v>
      </c>
      <c r="D28" s="111">
        <f t="shared" si="2"/>
        <v>2.2812542110507558E-7</v>
      </c>
      <c r="E28" s="275">
        <f t="shared" si="3"/>
        <v>4.1802030225274427E-6</v>
      </c>
    </row>
    <row r="29" spans="1:5" x14ac:dyDescent="0.3">
      <c r="B29" s="122">
        <v>0.13133916557971617</v>
      </c>
      <c r="C29" s="122">
        <v>0.24394454389649806</v>
      </c>
      <c r="D29" s="111">
        <f t="shared" si="2"/>
        <v>0.2189105657191821</v>
      </c>
      <c r="E29" s="275">
        <f t="shared" si="3"/>
        <v>6.2670006338233128E-4</v>
      </c>
    </row>
    <row r="30" spans="1:5" x14ac:dyDescent="0.3">
      <c r="A30" s="39"/>
      <c r="B30" s="122">
        <v>0.55815312075381984</v>
      </c>
      <c r="C30" s="122">
        <v>0</v>
      </c>
      <c r="D30" s="111">
        <f t="shared" si="2"/>
        <v>8.0916172454799879E-10</v>
      </c>
      <c r="E30" s="275">
        <f t="shared" si="3"/>
        <v>6.5474269647349148E-19</v>
      </c>
    </row>
    <row r="31" spans="1:5" x14ac:dyDescent="0.3">
      <c r="A31" s="39"/>
      <c r="B31" s="39"/>
      <c r="C31" s="39"/>
      <c r="D31" s="120" t="s">
        <v>101</v>
      </c>
      <c r="E31" s="121">
        <f>SUM(E23:E30)</f>
        <v>2.5907322106371406E-3</v>
      </c>
    </row>
    <row r="32" spans="1:5" x14ac:dyDescent="0.3">
      <c r="A32" s="39"/>
      <c r="B32" s="39"/>
      <c r="C32" s="39"/>
      <c r="D32" s="116"/>
      <c r="E32" s="117"/>
    </row>
    <row r="33" spans="1:6" x14ac:dyDescent="0.3">
      <c r="A33" s="39"/>
      <c r="B33" s="329" t="s">
        <v>105</v>
      </c>
      <c r="C33" s="162" t="s">
        <v>6</v>
      </c>
      <c r="D33" s="264">
        <v>2.5099999999999998</v>
      </c>
      <c r="E33" s="117"/>
    </row>
    <row r="34" spans="1:6" x14ac:dyDescent="0.3">
      <c r="A34" s="39"/>
      <c r="B34" s="330"/>
      <c r="C34" s="162" t="s">
        <v>4</v>
      </c>
      <c r="D34" s="264">
        <v>4.03</v>
      </c>
      <c r="E34" s="117"/>
    </row>
    <row r="35" spans="1:6" x14ac:dyDescent="0.3">
      <c r="A35" s="39"/>
      <c r="B35" s="331"/>
      <c r="C35" s="162" t="s">
        <v>5</v>
      </c>
      <c r="D35" s="264">
        <v>453</v>
      </c>
      <c r="E35" s="117"/>
    </row>
    <row r="36" spans="1:6" x14ac:dyDescent="0.3">
      <c r="A36" s="39"/>
      <c r="E36" s="39"/>
      <c r="F36" s="39"/>
    </row>
    <row r="37" spans="1:6" x14ac:dyDescent="0.3">
      <c r="A37" s="39"/>
      <c r="B37" s="185" t="s">
        <v>92</v>
      </c>
      <c r="C37" s="185" t="s">
        <v>99</v>
      </c>
      <c r="D37" s="185" t="s">
        <v>98</v>
      </c>
      <c r="E37" s="185" t="s">
        <v>100</v>
      </c>
      <c r="F37" s="39"/>
    </row>
    <row r="38" spans="1:6" x14ac:dyDescent="0.3">
      <c r="A38" s="39"/>
      <c r="B38" s="265">
        <v>0.14800253819463519</v>
      </c>
      <c r="C38" s="265">
        <v>9.7168578571095635E-2</v>
      </c>
      <c r="D38" s="167">
        <f t="shared" ref="D38:D47" si="4">$D$33*EXP(-$D$34*B38^0.5-$D$35*B38^3)</f>
        <v>0.12261451986314802</v>
      </c>
      <c r="E38" s="276">
        <f t="shared" ref="E38:E47" si="5">(D38-C38)^2</f>
        <v>6.4749592823857649E-4</v>
      </c>
      <c r="F38" s="39"/>
    </row>
    <row r="39" spans="1:6" x14ac:dyDescent="0.3">
      <c r="A39" s="39"/>
      <c r="B39" s="265">
        <v>0.34825313143033321</v>
      </c>
      <c r="C39" s="265">
        <v>1E-3</v>
      </c>
      <c r="D39" s="167">
        <f t="shared" si="4"/>
        <v>1.1414688777362935E-9</v>
      </c>
      <c r="E39" s="276">
        <f t="shared" si="5"/>
        <v>9.9999771706354741E-7</v>
      </c>
      <c r="F39" s="39"/>
    </row>
    <row r="40" spans="1:6" x14ac:dyDescent="0.3">
      <c r="A40" s="39"/>
      <c r="B40" s="265">
        <v>0.12424210937324466</v>
      </c>
      <c r="C40" s="265">
        <v>0.161341751978343</v>
      </c>
      <c r="D40" s="167">
        <f t="shared" si="4"/>
        <v>0.25436600559940997</v>
      </c>
      <c r="E40" s="276">
        <f t="shared" si="5"/>
        <v>8.6535117617565927E-3</v>
      </c>
      <c r="F40" s="39"/>
    </row>
    <row r="41" spans="1:6" x14ac:dyDescent="0.3">
      <c r="A41" s="39"/>
      <c r="B41" s="265">
        <v>0.43907059403520421</v>
      </c>
      <c r="C41" s="265">
        <v>1E-3</v>
      </c>
      <c r="D41" s="167">
        <f t="shared" si="4"/>
        <v>3.8655362143750149E-18</v>
      </c>
      <c r="E41" s="276">
        <f t="shared" si="5"/>
        <v>9.9999999999999233E-7</v>
      </c>
      <c r="F41" s="39"/>
    </row>
    <row r="42" spans="1:6" x14ac:dyDescent="0.3">
      <c r="A42" s="39"/>
      <c r="B42" s="265">
        <v>0.12944037758466811</v>
      </c>
      <c r="C42" s="265">
        <v>0.25018011666158002</v>
      </c>
      <c r="D42" s="167">
        <f t="shared" si="4"/>
        <v>0.22045385616027713</v>
      </c>
      <c r="E42" s="276">
        <f t="shared" si="5"/>
        <v>8.8365056339132051E-4</v>
      </c>
      <c r="F42" s="39"/>
    </row>
    <row r="43" spans="1:6" x14ac:dyDescent="0.3">
      <c r="A43" s="39"/>
      <c r="B43" s="265">
        <v>0.56291456354761793</v>
      </c>
      <c r="C43" s="265">
        <v>1E-3</v>
      </c>
      <c r="D43" s="167">
        <f t="shared" si="4"/>
        <v>9.871560141887235E-37</v>
      </c>
      <c r="E43" s="276">
        <f t="shared" si="5"/>
        <v>9.9999999999999995E-7</v>
      </c>
      <c r="F43" s="39"/>
    </row>
    <row r="44" spans="1:6" x14ac:dyDescent="0.3">
      <c r="A44" s="39"/>
      <c r="B44" s="265">
        <v>0.1275901410544604</v>
      </c>
      <c r="C44" s="265">
        <v>0.30791031364825089</v>
      </c>
      <c r="D44" s="167">
        <f t="shared" si="4"/>
        <v>0.23220449567872303</v>
      </c>
      <c r="E44" s="276">
        <f t="shared" si="5"/>
        <v>5.7313708744352867E-3</v>
      </c>
      <c r="F44" s="39"/>
    </row>
    <row r="45" spans="1:6" x14ac:dyDescent="0.3">
      <c r="A45" s="39"/>
      <c r="B45" s="265">
        <v>0.64014366446238091</v>
      </c>
      <c r="C45" s="265">
        <v>1E-3</v>
      </c>
      <c r="D45" s="167">
        <f t="shared" si="4"/>
        <v>2.4638140811369697E-53</v>
      </c>
      <c r="E45" s="276">
        <f t="shared" si="5"/>
        <v>9.9999999999999995E-7</v>
      </c>
      <c r="F45" s="39"/>
    </row>
    <row r="46" spans="1:6" x14ac:dyDescent="0.3">
      <c r="A46" s="39"/>
      <c r="B46" s="265">
        <v>0.13852663503088306</v>
      </c>
      <c r="C46" s="265">
        <v>0.18894888454608902</v>
      </c>
      <c r="D46" s="167">
        <f t="shared" si="4"/>
        <v>0.16799046048968047</v>
      </c>
      <c r="E46" s="276">
        <f t="shared" si="5"/>
        <v>4.3925553892824453E-4</v>
      </c>
      <c r="F46" s="39"/>
    </row>
    <row r="47" spans="1:6" x14ac:dyDescent="0.3">
      <c r="A47" s="39"/>
      <c r="B47" s="265">
        <v>0.48533153600175966</v>
      </c>
      <c r="C47" s="265">
        <v>1E-3</v>
      </c>
      <c r="D47" s="167">
        <f t="shared" si="4"/>
        <v>4.8970461399025629E-24</v>
      </c>
      <c r="E47" s="276">
        <f t="shared" si="5"/>
        <v>9.9999999999999995E-7</v>
      </c>
      <c r="F47" s="39"/>
    </row>
    <row r="48" spans="1:6" x14ac:dyDescent="0.3">
      <c r="A48" s="39"/>
      <c r="B48" s="39"/>
      <c r="C48" s="39"/>
      <c r="D48" s="185" t="s">
        <v>101</v>
      </c>
      <c r="E48" s="267">
        <f>SUM(E38:E47)</f>
        <v>1.6360284664467085E-2</v>
      </c>
      <c r="F48" s="39"/>
    </row>
    <row r="49" spans="1:8" x14ac:dyDescent="0.3">
      <c r="A49" s="39"/>
      <c r="E49" s="39"/>
      <c r="F49" s="39"/>
    </row>
    <row r="50" spans="1:8" x14ac:dyDescent="0.3">
      <c r="A50" s="39"/>
      <c r="B50" s="39"/>
      <c r="C50" s="39"/>
      <c r="D50" s="39"/>
      <c r="E50" s="39"/>
      <c r="F50" s="39"/>
    </row>
    <row r="51" spans="1:8" x14ac:dyDescent="0.3">
      <c r="A51" s="39"/>
      <c r="B51" s="80"/>
      <c r="C51" s="80"/>
      <c r="D51" s="82"/>
      <c r="E51" s="39"/>
      <c r="F51" s="39"/>
    </row>
    <row r="52" spans="1:8" x14ac:dyDescent="0.3">
      <c r="A52" s="39"/>
      <c r="B52" s="80"/>
      <c r="C52" s="80"/>
      <c r="D52" s="82"/>
      <c r="E52" s="39"/>
      <c r="F52" s="39"/>
    </row>
    <row r="53" spans="1:8" x14ac:dyDescent="0.3">
      <c r="A53" s="39"/>
      <c r="B53" s="80"/>
      <c r="C53" s="80"/>
      <c r="D53" s="82"/>
      <c r="E53" s="39"/>
      <c r="F53" s="39"/>
    </row>
    <row r="54" spans="1:8" x14ac:dyDescent="0.3">
      <c r="A54" s="39"/>
      <c r="B54" s="39"/>
      <c r="C54" s="39"/>
      <c r="D54" s="39"/>
      <c r="E54" s="39"/>
      <c r="F54" s="39"/>
    </row>
    <row r="55" spans="1:8" x14ac:dyDescent="0.3">
      <c r="A55" s="39"/>
      <c r="B55" s="39"/>
      <c r="C55" s="39"/>
      <c r="D55" s="39"/>
      <c r="E55" s="92" t="s">
        <v>107</v>
      </c>
      <c r="F55" s="296" t="s">
        <v>106</v>
      </c>
      <c r="G55" s="296"/>
      <c r="H55" s="296"/>
    </row>
    <row r="56" spans="1:8" x14ac:dyDescent="0.3">
      <c r="A56" s="39"/>
      <c r="B56" s="39"/>
      <c r="C56" s="39"/>
      <c r="D56" s="39"/>
      <c r="E56" s="92" t="s">
        <v>92</v>
      </c>
      <c r="F56" s="151" t="s">
        <v>9</v>
      </c>
      <c r="G56" s="92" t="s">
        <v>67</v>
      </c>
      <c r="H56" s="162" t="s">
        <v>68</v>
      </c>
    </row>
    <row r="57" spans="1:8" x14ac:dyDescent="0.3">
      <c r="A57" s="92" t="s">
        <v>103</v>
      </c>
      <c r="B57" s="92" t="s">
        <v>6</v>
      </c>
      <c r="C57" s="92" t="s">
        <v>4</v>
      </c>
      <c r="D57" s="124" t="s">
        <v>5</v>
      </c>
      <c r="E57" s="119">
        <v>0.11</v>
      </c>
      <c r="F57" s="168">
        <f>$B$58*EXP(-$C$58*E57^0.5-$D$58*E57^3)</f>
        <v>0.3275002865484079</v>
      </c>
      <c r="G57" s="110">
        <f>$B$59*EXP(-$C$59*E57^0.5-$D$59*E57^3)</f>
        <v>0.31716150875731564</v>
      </c>
      <c r="H57" s="166">
        <f>$B$60*EXP(-$C$60*E57^0.5-$D$60*E57^3)</f>
        <v>0.36086186569881928</v>
      </c>
    </row>
    <row r="58" spans="1:8" x14ac:dyDescent="0.3">
      <c r="A58" s="151" t="s">
        <v>9</v>
      </c>
      <c r="B58" s="260">
        <f>D1</f>
        <v>0.67400000000000004</v>
      </c>
      <c r="C58" s="260">
        <f>D2</f>
        <v>0.91200000000000014</v>
      </c>
      <c r="D58" s="263">
        <f>D3</f>
        <v>315</v>
      </c>
      <c r="E58" s="92">
        <v>0.115</v>
      </c>
      <c r="F58" s="168">
        <f t="shared" ref="F58:F88" si="6">$B$58*EXP(-$C$58*E58^0.5-$D$58*E58^3)</f>
        <v>0.30639656858904041</v>
      </c>
      <c r="G58" s="110">
        <f t="shared" ref="G58:G88" si="7">$B$59*EXP(-$C$59*E58^0.5-$D$59*E58^3)</f>
        <v>0.29088180007945708</v>
      </c>
      <c r="H58" s="166">
        <f t="shared" ref="H58:H88" si="8">$B$60*EXP(-$C$60*E58^0.5-$D$60*E58^3)</f>
        <v>0.32132149549760358</v>
      </c>
    </row>
    <row r="59" spans="1:8" x14ac:dyDescent="0.3">
      <c r="A59" s="92" t="s">
        <v>67</v>
      </c>
      <c r="B59" s="114">
        <f>D18</f>
        <v>7.71</v>
      </c>
      <c r="C59" s="114">
        <f>D19</f>
        <v>9.25</v>
      </c>
      <c r="D59" s="115">
        <f>D20</f>
        <v>92.4</v>
      </c>
      <c r="E59" s="119">
        <v>0.123</v>
      </c>
      <c r="F59" s="168">
        <f t="shared" si="6"/>
        <v>0.27238220371836375</v>
      </c>
      <c r="G59" s="110">
        <f t="shared" si="7"/>
        <v>0.25321247063207841</v>
      </c>
      <c r="H59" s="166">
        <f t="shared" si="8"/>
        <v>0.26287789348444068</v>
      </c>
    </row>
    <row r="60" spans="1:8" x14ac:dyDescent="0.3">
      <c r="A60" s="162" t="s">
        <v>68</v>
      </c>
      <c r="B60" s="264">
        <f>D33</f>
        <v>2.5099999999999998</v>
      </c>
      <c r="C60" s="264">
        <f>D34</f>
        <v>4.03</v>
      </c>
      <c r="D60" s="266">
        <f>D35</f>
        <v>453</v>
      </c>
      <c r="E60" s="119">
        <v>0.13</v>
      </c>
      <c r="F60" s="168">
        <f t="shared" si="6"/>
        <v>0.24282689775802599</v>
      </c>
      <c r="G60" s="110">
        <f t="shared" si="7"/>
        <v>0.22410971627819432</v>
      </c>
      <c r="H60" s="166">
        <f t="shared" si="8"/>
        <v>0.21697016771322319</v>
      </c>
    </row>
    <row r="61" spans="1:8" x14ac:dyDescent="0.3">
      <c r="E61" s="119">
        <v>0.14000000000000001</v>
      </c>
      <c r="F61" s="168">
        <f t="shared" si="6"/>
        <v>0.20187141942768991</v>
      </c>
      <c r="G61" s="110">
        <f t="shared" si="7"/>
        <v>0.18785958280569234</v>
      </c>
      <c r="H61" s="166">
        <f t="shared" si="8"/>
        <v>0.16031138902072523</v>
      </c>
    </row>
    <row r="62" spans="1:8" x14ac:dyDescent="0.3">
      <c r="E62" s="119">
        <v>0.15</v>
      </c>
      <c r="F62" s="168">
        <f t="shared" si="6"/>
        <v>0.16351243291473397</v>
      </c>
      <c r="G62" s="110">
        <f t="shared" si="7"/>
        <v>0.15694789500504036</v>
      </c>
      <c r="H62" s="166">
        <f t="shared" si="8"/>
        <v>0.11424562588880356</v>
      </c>
    </row>
    <row r="63" spans="1:8" x14ac:dyDescent="0.3">
      <c r="E63" s="119">
        <v>0.16</v>
      </c>
      <c r="F63" s="168">
        <f t="shared" si="6"/>
        <v>0.12879089380669678</v>
      </c>
      <c r="G63" s="110">
        <f t="shared" si="7"/>
        <v>0.13055610615066304</v>
      </c>
      <c r="H63" s="166">
        <f t="shared" si="8"/>
        <v>7.8300190201037331E-2</v>
      </c>
    </row>
    <row r="64" spans="1:8" x14ac:dyDescent="0.3">
      <c r="E64" s="119">
        <v>0.17</v>
      </c>
      <c r="F64" s="168">
        <f t="shared" si="6"/>
        <v>9.8455815886067888E-2</v>
      </c>
      <c r="G64" s="110">
        <f t="shared" si="7"/>
        <v>0.10803330539393415</v>
      </c>
      <c r="H64" s="166">
        <f t="shared" si="8"/>
        <v>5.146168061575495E-2</v>
      </c>
    </row>
    <row r="65" spans="5:8" x14ac:dyDescent="0.3">
      <c r="E65" s="119">
        <v>0.18</v>
      </c>
      <c r="F65" s="168">
        <f t="shared" si="6"/>
        <v>7.2909670187161713E-2</v>
      </c>
      <c r="G65" s="110">
        <f t="shared" si="7"/>
        <v>8.8850397726486952E-2</v>
      </c>
      <c r="H65" s="166">
        <f t="shared" si="8"/>
        <v>3.2341713453122457E-2</v>
      </c>
    </row>
    <row r="66" spans="5:8" x14ac:dyDescent="0.3">
      <c r="E66" s="119">
        <v>0.19</v>
      </c>
      <c r="F66" s="168">
        <f t="shared" si="6"/>
        <v>5.2201619914995147E-2</v>
      </c>
      <c r="G66" s="110">
        <f t="shared" si="7"/>
        <v>7.2567730807297892E-2</v>
      </c>
      <c r="H66" s="166">
        <f t="shared" si="8"/>
        <v>1.9380642485097826E-2</v>
      </c>
    </row>
    <row r="67" spans="5:8" x14ac:dyDescent="0.3">
      <c r="E67" s="119">
        <v>0.2</v>
      </c>
      <c r="F67" s="168">
        <f t="shared" si="6"/>
        <v>3.6066747242289449E-2</v>
      </c>
      <c r="G67" s="110">
        <f t="shared" si="7"/>
        <v>5.8812105418684486E-2</v>
      </c>
      <c r="H67" s="166">
        <f t="shared" si="8"/>
        <v>1.1042674227426769E-2</v>
      </c>
    </row>
    <row r="68" spans="5:8" x14ac:dyDescent="0.3">
      <c r="E68" s="119">
        <v>0.22</v>
      </c>
      <c r="F68" s="168">
        <f t="shared" si="6"/>
        <v>1.5353511247132365E-2</v>
      </c>
      <c r="G68" s="110">
        <f t="shared" si="7"/>
        <v>3.7628573252309241E-2</v>
      </c>
      <c r="H68" s="166">
        <f t="shared" si="8"/>
        <v>3.0473016097697357E-3</v>
      </c>
    </row>
    <row r="69" spans="5:8" x14ac:dyDescent="0.3">
      <c r="E69" s="119">
        <v>0.24</v>
      </c>
      <c r="F69" s="168">
        <f t="shared" si="6"/>
        <v>5.5393833274491227E-3</v>
      </c>
      <c r="G69" s="110">
        <f t="shared" si="7"/>
        <v>2.3135768558611644E-2</v>
      </c>
      <c r="H69" s="166">
        <f t="shared" si="8"/>
        <v>6.6463138481734135E-4</v>
      </c>
    </row>
    <row r="70" spans="5:8" x14ac:dyDescent="0.3">
      <c r="E70" s="119">
        <v>0.26</v>
      </c>
      <c r="F70" s="168">
        <f t="shared" si="6"/>
        <v>1.6682239062234285E-3</v>
      </c>
      <c r="G70" s="110">
        <f t="shared" si="7"/>
        <v>1.3594400995739398E-2</v>
      </c>
      <c r="H70" s="166">
        <f t="shared" si="8"/>
        <v>1.1205170842627965E-4</v>
      </c>
    </row>
    <row r="71" spans="5:8" x14ac:dyDescent="0.3">
      <c r="E71" s="119">
        <v>0.28000000000000003</v>
      </c>
      <c r="F71" s="168">
        <f t="shared" si="6"/>
        <v>4.130300500626039E-4</v>
      </c>
      <c r="G71" s="110">
        <f t="shared" si="7"/>
        <v>7.5933186914034015E-3</v>
      </c>
      <c r="H71" s="166">
        <f t="shared" si="8"/>
        <v>1.4282881958768717E-5</v>
      </c>
    </row>
    <row r="72" spans="5:8" x14ac:dyDescent="0.3">
      <c r="E72" s="119">
        <v>0.3</v>
      </c>
      <c r="F72" s="168">
        <f t="shared" si="6"/>
        <v>8.2802844730511815E-5</v>
      </c>
      <c r="G72" s="110">
        <f t="shared" si="7"/>
        <v>4.0109968828392177E-3</v>
      </c>
      <c r="H72" s="166">
        <f t="shared" si="8"/>
        <v>1.3464498722093336E-6</v>
      </c>
    </row>
    <row r="73" spans="5:8" x14ac:dyDescent="0.3">
      <c r="E73" s="119">
        <v>0.32</v>
      </c>
      <c r="F73" s="168">
        <f t="shared" si="6"/>
        <v>1.3238910814257299E-5</v>
      </c>
      <c r="G73" s="110">
        <f t="shared" si="7"/>
        <v>1.993556213381252E-3</v>
      </c>
      <c r="H73" s="166">
        <f t="shared" si="8"/>
        <v>9.1829383448033612E-8</v>
      </c>
    </row>
    <row r="74" spans="5:8" x14ac:dyDescent="0.3">
      <c r="E74" s="119">
        <v>0.34</v>
      </c>
      <c r="F74" s="168">
        <f t="shared" si="6"/>
        <v>1.6626996508668749E-6</v>
      </c>
      <c r="G74" s="110">
        <f t="shared" si="7"/>
        <v>9.2770022093028107E-4</v>
      </c>
      <c r="H74" s="166">
        <f t="shared" si="8"/>
        <v>4.4324965315754997E-9</v>
      </c>
    </row>
    <row r="75" spans="5:8" x14ac:dyDescent="0.3">
      <c r="E75" s="119">
        <v>0.36</v>
      </c>
      <c r="F75" s="168">
        <f t="shared" si="6"/>
        <v>1.6156389011781548E-7</v>
      </c>
      <c r="G75" s="110">
        <f t="shared" si="7"/>
        <v>4.0222609083665064E-4</v>
      </c>
      <c r="H75" s="166">
        <f t="shared" si="8"/>
        <v>1.481367552491351E-10</v>
      </c>
    </row>
    <row r="76" spans="5:8" x14ac:dyDescent="0.3">
      <c r="E76" s="119">
        <v>0.38</v>
      </c>
      <c r="F76" s="168">
        <f t="shared" si="6"/>
        <v>1.1963568957264963E-8</v>
      </c>
      <c r="G76" s="110">
        <f t="shared" si="7"/>
        <v>1.6170488765204801E-4</v>
      </c>
      <c r="H76" s="166">
        <f t="shared" si="8"/>
        <v>3.3535819917905255E-12</v>
      </c>
    </row>
    <row r="77" spans="5:8" x14ac:dyDescent="0.3">
      <c r="E77" s="119">
        <v>0.4</v>
      </c>
      <c r="F77" s="168">
        <f t="shared" si="6"/>
        <v>6.6493979494758363E-10</v>
      </c>
      <c r="G77" s="110">
        <f t="shared" si="7"/>
        <v>5.9992231223347019E-5</v>
      </c>
      <c r="H77" s="166">
        <f t="shared" si="8"/>
        <v>5.0312993003527811E-14</v>
      </c>
    </row>
    <row r="78" spans="5:8" x14ac:dyDescent="0.3">
      <c r="E78" s="119">
        <v>0.43</v>
      </c>
      <c r="F78" s="168">
        <f t="shared" si="6"/>
        <v>4.9221850828544075E-12</v>
      </c>
      <c r="G78" s="110">
        <f t="shared" si="7"/>
        <v>1.1541523951617898E-5</v>
      </c>
      <c r="H78" s="166">
        <f t="shared" si="8"/>
        <v>4.0751624411155591E-17</v>
      </c>
    </row>
    <row r="79" spans="5:8" x14ac:dyDescent="0.3">
      <c r="E79" s="119">
        <v>0.46</v>
      </c>
      <c r="F79" s="168">
        <f t="shared" si="6"/>
        <v>1.7546644453142552E-14</v>
      </c>
      <c r="G79" s="110">
        <f t="shared" si="7"/>
        <v>1.804939568463298E-6</v>
      </c>
      <c r="H79" s="166">
        <f t="shared" si="8"/>
        <v>1.1566149931991364E-20</v>
      </c>
    </row>
    <row r="80" spans="5:8" x14ac:dyDescent="0.3">
      <c r="E80" s="119">
        <v>0.49</v>
      </c>
      <c r="F80" s="168">
        <f t="shared" si="6"/>
        <v>2.8621881302932164E-17</v>
      </c>
      <c r="G80" s="110">
        <f t="shared" si="7"/>
        <v>2.2588283248903856E-7</v>
      </c>
      <c r="H80" s="166">
        <f t="shared" si="8"/>
        <v>1.0685771369697516E-24</v>
      </c>
    </row>
    <row r="81" spans="5:8" x14ac:dyDescent="0.3">
      <c r="E81" s="119">
        <v>0.52</v>
      </c>
      <c r="F81" s="168">
        <f t="shared" si="6"/>
        <v>2.0299357436258649E-20</v>
      </c>
      <c r="G81" s="110">
        <f t="shared" si="7"/>
        <v>2.227210425015867E-8</v>
      </c>
      <c r="H81" s="166">
        <f t="shared" si="8"/>
        <v>2.9854548743357636E-29</v>
      </c>
    </row>
    <row r="82" spans="5:8" x14ac:dyDescent="0.3">
      <c r="E82" s="119">
        <v>0.55000000000000004</v>
      </c>
      <c r="F82" s="168">
        <f t="shared" si="6"/>
        <v>5.9478794540942081E-24</v>
      </c>
      <c r="G82" s="110">
        <f t="shared" si="7"/>
        <v>1.7036115247076865E-9</v>
      </c>
      <c r="H82" s="166">
        <f t="shared" si="8"/>
        <v>2.3433298358809577E-34</v>
      </c>
    </row>
    <row r="83" spans="5:8" x14ac:dyDescent="0.3">
      <c r="E83" s="119">
        <v>0.57999999999999996</v>
      </c>
      <c r="F83" s="168">
        <f t="shared" si="6"/>
        <v>6.8415815694395056E-28</v>
      </c>
      <c r="G83" s="110">
        <f t="shared" si="7"/>
        <v>9.9544062026516818E-11</v>
      </c>
      <c r="H83" s="166">
        <f t="shared" si="8"/>
        <v>4.8008544440173606E-40</v>
      </c>
    </row>
    <row r="84" spans="5:8" x14ac:dyDescent="0.3">
      <c r="E84" s="119">
        <v>0.61</v>
      </c>
      <c r="F84" s="168">
        <f t="shared" si="6"/>
        <v>2.9355300619484899E-32</v>
      </c>
      <c r="G84" s="110">
        <f t="shared" si="7"/>
        <v>4.3754700467263586E-12</v>
      </c>
      <c r="H84" s="166">
        <f t="shared" si="8"/>
        <v>2.3851771814078643E-46</v>
      </c>
    </row>
    <row r="85" spans="5:8" x14ac:dyDescent="0.3">
      <c r="E85" s="119">
        <v>0.64</v>
      </c>
      <c r="F85" s="168">
        <f t="shared" si="6"/>
        <v>4.4645269957287029E-37</v>
      </c>
      <c r="G85" s="110">
        <f t="shared" si="7"/>
        <v>1.4247819671393458E-13</v>
      </c>
      <c r="H85" s="166">
        <f t="shared" si="8"/>
        <v>2.6699524995630803E-53</v>
      </c>
    </row>
    <row r="86" spans="5:8" x14ac:dyDescent="0.3">
      <c r="E86" s="119">
        <v>0.67</v>
      </c>
      <c r="F86" s="168">
        <f t="shared" si="6"/>
        <v>2.2869054341498924E-42</v>
      </c>
      <c r="G86" s="110">
        <f t="shared" si="7"/>
        <v>3.3849599290799252E-15</v>
      </c>
      <c r="H86" s="166">
        <f t="shared" si="8"/>
        <v>6.256602203220217E-61</v>
      </c>
    </row>
    <row r="87" spans="5:8" x14ac:dyDescent="0.3">
      <c r="E87" s="119">
        <v>0.7</v>
      </c>
      <c r="F87" s="168">
        <f t="shared" si="6"/>
        <v>3.7491357675878718E-48</v>
      </c>
      <c r="G87" s="110">
        <f t="shared" si="7"/>
        <v>5.7785889294905829E-17</v>
      </c>
      <c r="H87" s="166">
        <f t="shared" si="8"/>
        <v>2.8516970203232482E-69</v>
      </c>
    </row>
    <row r="88" spans="5:8" x14ac:dyDescent="0.3">
      <c r="E88" s="119">
        <v>0.73</v>
      </c>
      <c r="F88" s="168">
        <f t="shared" si="6"/>
        <v>1.8691835140867904E-54</v>
      </c>
      <c r="G88" s="110">
        <f t="shared" si="7"/>
        <v>6.981478333948662E-19</v>
      </c>
      <c r="H88" s="166">
        <f t="shared" si="8"/>
        <v>2.3489901145820881E-78</v>
      </c>
    </row>
  </sheetData>
  <mergeCells count="4">
    <mergeCell ref="B1:B3"/>
    <mergeCell ref="B18:B20"/>
    <mergeCell ref="B33:B35"/>
    <mergeCell ref="F55:H55"/>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F29F55-2CD1-442B-9B73-E697C1A3CA4A}">
  <dimension ref="C2:Z42"/>
  <sheetViews>
    <sheetView topLeftCell="I1" zoomScale="85" zoomScaleNormal="85" workbookViewId="0">
      <selection activeCell="P26" sqref="P26"/>
    </sheetView>
  </sheetViews>
  <sheetFormatPr defaultRowHeight="14.4" x14ac:dyDescent="0.3"/>
  <cols>
    <col min="3" max="3" width="25.6640625" bestFit="1" customWidth="1"/>
    <col min="6" max="6" width="13.5546875" bestFit="1" customWidth="1"/>
    <col min="10" max="10" width="25.6640625" bestFit="1" customWidth="1"/>
    <col min="15" max="15" width="9.5546875" bestFit="1" customWidth="1"/>
    <col min="16" max="16" width="25.6640625" bestFit="1" customWidth="1"/>
    <col min="22" max="22" width="25.6640625" bestFit="1" customWidth="1"/>
  </cols>
  <sheetData>
    <row r="2" spans="3:26" ht="15" thickBot="1" x14ac:dyDescent="0.35">
      <c r="C2" s="27"/>
      <c r="D2" s="277" t="s">
        <v>1</v>
      </c>
      <c r="E2" s="277"/>
      <c r="F2" s="277"/>
      <c r="G2" s="277"/>
      <c r="H2" s="55"/>
      <c r="J2" s="151"/>
      <c r="K2" s="278" t="s">
        <v>41</v>
      </c>
      <c r="L2" s="278"/>
      <c r="M2" s="278"/>
      <c r="N2" s="278"/>
      <c r="P2" s="92"/>
      <c r="Q2" s="279" t="s">
        <v>57</v>
      </c>
      <c r="R2" s="279"/>
      <c r="S2" s="279"/>
      <c r="T2" s="279"/>
      <c r="V2" s="162"/>
      <c r="W2" s="280" t="s">
        <v>58</v>
      </c>
      <c r="X2" s="280"/>
      <c r="Y2" s="280"/>
      <c r="Z2" s="280"/>
    </row>
    <row r="3" spans="3:26" ht="15" thickBot="1" x14ac:dyDescent="0.35">
      <c r="C3" s="87" t="s">
        <v>84</v>
      </c>
      <c r="D3" s="88">
        <v>2.5000000000000001E-2</v>
      </c>
      <c r="E3" s="89">
        <v>0.05</v>
      </c>
      <c r="F3" s="89">
        <v>0.1</v>
      </c>
      <c r="G3" s="89">
        <v>0.15</v>
      </c>
      <c r="H3" s="90">
        <v>0.2</v>
      </c>
      <c r="J3" s="176" t="s">
        <v>84</v>
      </c>
      <c r="K3" s="170">
        <v>2.5000000000000001E-2</v>
      </c>
      <c r="L3" s="171">
        <v>0.05</v>
      </c>
      <c r="M3" s="171">
        <v>7.4999999999999997E-2</v>
      </c>
      <c r="N3" s="172">
        <v>0.1</v>
      </c>
      <c r="P3" s="178" t="s">
        <v>84</v>
      </c>
      <c r="Q3" s="179">
        <v>2.5000000000000001E-2</v>
      </c>
      <c r="R3" s="180">
        <v>0.05</v>
      </c>
      <c r="S3" s="180">
        <v>7.4999999999999997E-2</v>
      </c>
      <c r="T3" s="181">
        <v>0.1</v>
      </c>
      <c r="V3" s="184" t="s">
        <v>84</v>
      </c>
      <c r="W3" s="186">
        <v>2.5000000000000001E-2</v>
      </c>
      <c r="X3" s="187">
        <v>0.05</v>
      </c>
      <c r="Y3" s="187">
        <v>7.4999999999999997E-2</v>
      </c>
      <c r="Z3" s="188">
        <v>0.1</v>
      </c>
    </row>
    <row r="4" spans="3:26" x14ac:dyDescent="0.3">
      <c r="C4" s="27" t="s">
        <v>13</v>
      </c>
      <c r="D4" s="63">
        <v>1.3365</v>
      </c>
      <c r="E4" s="63">
        <v>1.3402000000000001</v>
      </c>
      <c r="F4" s="63">
        <v>1.3475999999999999</v>
      </c>
      <c r="G4" s="63">
        <v>1.355</v>
      </c>
      <c r="H4" s="63">
        <v>1.3629</v>
      </c>
      <c r="J4" s="151" t="s">
        <v>13</v>
      </c>
      <c r="K4" s="173">
        <v>1.3364</v>
      </c>
      <c r="L4" s="173">
        <v>1.3398000000000001</v>
      </c>
      <c r="M4" s="173">
        <v>1.3429</v>
      </c>
      <c r="N4" s="173">
        <v>1.3464</v>
      </c>
      <c r="P4" s="92" t="s">
        <v>13</v>
      </c>
      <c r="Q4" s="182">
        <v>1.3364</v>
      </c>
      <c r="R4" s="182">
        <v>1.3398000000000001</v>
      </c>
      <c r="S4" s="182">
        <v>1.3433999999999999</v>
      </c>
      <c r="T4" s="182">
        <v>1.347</v>
      </c>
      <c r="V4" s="162" t="s">
        <v>13</v>
      </c>
      <c r="W4" s="189">
        <v>1.3364</v>
      </c>
      <c r="X4" s="189">
        <v>1.3399000000000001</v>
      </c>
      <c r="Y4" s="189">
        <v>1.3432999999999999</v>
      </c>
      <c r="Z4" s="189">
        <v>1.3466</v>
      </c>
    </row>
    <row r="5" spans="3:26" x14ac:dyDescent="0.3">
      <c r="C5" s="27" t="s">
        <v>14</v>
      </c>
      <c r="D5" s="2">
        <v>1.3368</v>
      </c>
      <c r="E5" s="2">
        <v>1.34</v>
      </c>
      <c r="F5" s="2">
        <v>1.3473999999999999</v>
      </c>
      <c r="G5" s="2">
        <v>1.3551</v>
      </c>
      <c r="H5" s="2">
        <v>1.3628</v>
      </c>
      <c r="J5" s="151" t="s">
        <v>14</v>
      </c>
      <c r="K5" s="174">
        <v>1.3363</v>
      </c>
      <c r="L5" s="174">
        <v>1.3395999999999999</v>
      </c>
      <c r="M5" s="174">
        <v>1.3431999999999999</v>
      </c>
      <c r="N5" s="174">
        <v>1.3468</v>
      </c>
      <c r="P5" s="92" t="s">
        <v>14</v>
      </c>
      <c r="Q5" s="93">
        <v>1.3364</v>
      </c>
      <c r="R5" s="93">
        <v>1.3398000000000001</v>
      </c>
      <c r="S5" s="93">
        <v>1.3432999999999999</v>
      </c>
      <c r="T5" s="93">
        <v>1.3466</v>
      </c>
      <c r="V5" s="162" t="s">
        <v>14</v>
      </c>
      <c r="W5" s="190">
        <v>1.3364</v>
      </c>
      <c r="X5" s="190">
        <v>1.3398000000000001</v>
      </c>
      <c r="Y5" s="190">
        <v>1.3431999999999999</v>
      </c>
      <c r="Z5" s="190">
        <v>1.3469</v>
      </c>
    </row>
    <row r="6" spans="3:26" x14ac:dyDescent="0.3">
      <c r="C6" s="27" t="s">
        <v>15</v>
      </c>
      <c r="D6" s="2">
        <v>1.3365</v>
      </c>
      <c r="E6" s="2">
        <v>1.3402000000000001</v>
      </c>
      <c r="F6" s="2">
        <v>1.3474999999999999</v>
      </c>
      <c r="G6" s="2">
        <v>1.3551</v>
      </c>
      <c r="H6" s="2">
        <v>1.3629</v>
      </c>
      <c r="J6" s="151" t="s">
        <v>15</v>
      </c>
      <c r="K6" s="174">
        <v>1.3363</v>
      </c>
      <c r="L6" s="174">
        <v>1.3398000000000001</v>
      </c>
      <c r="M6" s="174">
        <v>1.3432999999999999</v>
      </c>
      <c r="N6" s="174">
        <v>1.3468</v>
      </c>
      <c r="P6" s="92" t="s">
        <v>15</v>
      </c>
      <c r="Q6" s="93">
        <v>1.3363</v>
      </c>
      <c r="R6" s="93">
        <v>1.3398000000000001</v>
      </c>
      <c r="S6" s="93">
        <v>1.3432999999999999</v>
      </c>
      <c r="T6" s="93">
        <v>1.3467</v>
      </c>
      <c r="V6" s="162" t="s">
        <v>15</v>
      </c>
      <c r="W6" s="190">
        <v>1.3364</v>
      </c>
      <c r="X6" s="190">
        <v>1.3398000000000001</v>
      </c>
      <c r="Y6" s="190">
        <v>1.3433999999999999</v>
      </c>
      <c r="Z6" s="190">
        <v>1.3469</v>
      </c>
    </row>
    <row r="7" spans="3:26" x14ac:dyDescent="0.3">
      <c r="C7" s="91" t="s">
        <v>82</v>
      </c>
      <c r="D7" s="128">
        <f>AVERAGE(D4:D6)</f>
        <v>1.3366</v>
      </c>
      <c r="E7" s="128">
        <f>AVERAGE(E4:E6)</f>
        <v>1.3401333333333334</v>
      </c>
      <c r="F7" s="128">
        <f>AVERAGE(F4:F6)</f>
        <v>1.3474999999999999</v>
      </c>
      <c r="G7" s="128">
        <f>AVERAGE(G4:G6)</f>
        <v>1.3550666666666666</v>
      </c>
      <c r="H7" s="128">
        <f>AVERAGE(H4:H6)</f>
        <v>1.3628666666666664</v>
      </c>
      <c r="J7" s="177" t="s">
        <v>82</v>
      </c>
      <c r="K7" s="175">
        <f>AVERAGE(K4:K6)</f>
        <v>1.3363333333333334</v>
      </c>
      <c r="L7" s="175">
        <f>AVERAGE(L4:L6)</f>
        <v>1.3397333333333334</v>
      </c>
      <c r="M7" s="175">
        <f>AVERAGE(M4:M6)</f>
        <v>1.3431333333333333</v>
      </c>
      <c r="N7" s="175">
        <f>AVERAGE(N4:N6)</f>
        <v>1.3466666666666667</v>
      </c>
      <c r="P7" s="120" t="s">
        <v>82</v>
      </c>
      <c r="Q7" s="183">
        <f>AVERAGE(Q4:Q6)</f>
        <v>1.3363666666666667</v>
      </c>
      <c r="R7" s="183">
        <f>AVERAGE(R4:R6)</f>
        <v>1.3398000000000001</v>
      </c>
      <c r="S7" s="183">
        <f>AVERAGE(S4:S6)</f>
        <v>1.3433333333333335</v>
      </c>
      <c r="T7" s="183">
        <f>AVERAGE(T4:T6)</f>
        <v>1.3467666666666667</v>
      </c>
      <c r="V7" s="185" t="s">
        <v>82</v>
      </c>
      <c r="W7" s="191">
        <f>AVERAGE(W4:W6)</f>
        <v>1.3364</v>
      </c>
      <c r="X7" s="191">
        <f>AVERAGE(X4:X6)</f>
        <v>1.3398333333333337</v>
      </c>
      <c r="Y7" s="191">
        <f>AVERAGE(Y4:Y6)</f>
        <v>1.3432999999999999</v>
      </c>
      <c r="Z7" s="191">
        <f>AVERAGE(Z4:Z6)</f>
        <v>1.3468</v>
      </c>
    </row>
    <row r="8" spans="3:26" x14ac:dyDescent="0.3">
      <c r="C8" s="91" t="s">
        <v>83</v>
      </c>
      <c r="D8" s="86">
        <f>_xlfn.STDEV.S(D4:D6)</f>
        <v>1.7320508075686865E-4</v>
      </c>
      <c r="E8" s="86">
        <f>_xlfn.STDEV.S(E4:E6)</f>
        <v>1.1547005383791244E-4</v>
      </c>
      <c r="F8" s="86">
        <f>_xlfn.STDEV.S(F4:F6)</f>
        <v>9.9999999999988987E-5</v>
      </c>
      <c r="G8" s="86">
        <f>_xlfn.STDEV.S(G4:G6)</f>
        <v>5.7735026918956222E-5</v>
      </c>
      <c r="H8" s="86">
        <f>_xlfn.STDEV.S(H4:H6)</f>
        <v>5.7735026918956215E-5</v>
      </c>
      <c r="J8" s="177" t="s">
        <v>83</v>
      </c>
      <c r="K8" s="175">
        <f>_xlfn.STDEV.S(K4:K6)</f>
        <v>5.7735026918956222E-5</v>
      </c>
      <c r="L8" s="175">
        <f>_xlfn.STDEV.S(L4:L6)</f>
        <v>1.1547005383804064E-4</v>
      </c>
      <c r="M8" s="175">
        <f>_xlfn.STDEV.S(M4:M6)</f>
        <v>2.0816659994659034E-4</v>
      </c>
      <c r="N8" s="175">
        <f>_xlfn.STDEV.S(N4:N6)</f>
        <v>2.3094010767582489E-4</v>
      </c>
      <c r="P8" s="120" t="s">
        <v>83</v>
      </c>
      <c r="Q8" s="183">
        <f>_xlfn.STDEV.S(Q4:Q6)</f>
        <v>5.7735026918956222E-5</v>
      </c>
      <c r="R8" s="183">
        <f>_xlfn.STDEV.S(R4:R6)</f>
        <v>0</v>
      </c>
      <c r="S8" s="183">
        <f>_xlfn.STDEV.S(S4:S6)</f>
        <v>5.7735026918956215E-5</v>
      </c>
      <c r="T8" s="183">
        <f>_xlfn.STDEV.S(T4:T6)</f>
        <v>2.0816659994659034E-4</v>
      </c>
      <c r="V8" s="185" t="s">
        <v>83</v>
      </c>
      <c r="W8" s="191">
        <f>_xlfn.STDEV.S(W4:W6)</f>
        <v>0</v>
      </c>
      <c r="X8" s="191">
        <f>_xlfn.STDEV.S(X4:X6)</f>
        <v>5.7735026918956215E-5</v>
      </c>
      <c r="Y8" s="191">
        <f>_xlfn.STDEV.S(Y4:Y6)</f>
        <v>9.9999999999988987E-5</v>
      </c>
      <c r="Z8" s="191">
        <f>_xlfn.STDEV.S(Z4:Z6)</f>
        <v>1.7320508075686865E-4</v>
      </c>
    </row>
    <row r="29" spans="3:16" x14ac:dyDescent="0.3">
      <c r="C29" s="1"/>
      <c r="D29" s="1"/>
      <c r="E29" s="1"/>
      <c r="F29" s="1"/>
      <c r="G29" s="1"/>
      <c r="H29" s="1"/>
      <c r="I29" s="1"/>
      <c r="J29" s="1"/>
      <c r="K29" s="1"/>
      <c r="L29" s="1"/>
      <c r="M29" s="1"/>
      <c r="N29" s="1"/>
      <c r="O29" s="1"/>
      <c r="P29" s="1"/>
    </row>
    <row r="30" spans="3:16" x14ac:dyDescent="0.3">
      <c r="C30" s="1"/>
      <c r="D30" s="1"/>
      <c r="E30" s="1"/>
      <c r="F30" s="1"/>
      <c r="G30" s="1"/>
      <c r="H30" s="1"/>
      <c r="I30" s="1"/>
      <c r="J30" s="1"/>
      <c r="K30" s="1"/>
      <c r="L30" s="1"/>
      <c r="M30" s="1"/>
      <c r="N30" s="1"/>
      <c r="O30" s="1"/>
      <c r="P30" s="1"/>
    </row>
    <row r="31" spans="3:16" x14ac:dyDescent="0.3">
      <c r="C31" s="17"/>
      <c r="D31" s="17"/>
      <c r="E31" s="17"/>
      <c r="F31" s="17"/>
      <c r="G31" s="17"/>
      <c r="H31" s="17"/>
      <c r="I31" s="17"/>
      <c r="J31" s="17"/>
      <c r="K31" s="17"/>
      <c r="L31" s="17"/>
      <c r="M31" s="1"/>
      <c r="N31" s="1"/>
      <c r="O31" s="1"/>
      <c r="P31" s="1"/>
    </row>
    <row r="32" spans="3:16" x14ac:dyDescent="0.3">
      <c r="C32" s="17"/>
      <c r="D32" s="17"/>
      <c r="E32" s="17"/>
      <c r="F32" s="17"/>
      <c r="G32" s="17"/>
      <c r="H32" s="17"/>
      <c r="I32" s="17"/>
      <c r="J32" s="17"/>
      <c r="K32" s="17"/>
      <c r="L32" s="17"/>
      <c r="M32" s="1"/>
      <c r="N32" s="1"/>
      <c r="O32" s="1"/>
      <c r="P32" s="1"/>
    </row>
    <row r="33" spans="3:16" x14ac:dyDescent="0.3">
      <c r="C33" s="22"/>
      <c r="D33" s="22"/>
      <c r="E33" s="17"/>
      <c r="F33" s="17"/>
      <c r="G33" s="22"/>
      <c r="H33" s="22"/>
      <c r="I33" s="22"/>
      <c r="J33" s="22"/>
      <c r="K33" s="17"/>
      <c r="L33" s="17"/>
      <c r="M33" s="1"/>
      <c r="N33" s="1"/>
      <c r="O33" s="1"/>
      <c r="P33" s="1"/>
    </row>
    <row r="34" spans="3:16" x14ac:dyDescent="0.3">
      <c r="C34" s="17"/>
      <c r="D34" s="17"/>
      <c r="E34" s="17"/>
      <c r="F34" s="17"/>
      <c r="G34" s="17"/>
      <c r="H34" s="17"/>
      <c r="I34" s="22"/>
      <c r="J34" s="22"/>
      <c r="K34" s="22"/>
      <c r="L34" s="22"/>
      <c r="M34" s="84"/>
      <c r="N34" s="84"/>
      <c r="O34" s="85"/>
      <c r="P34" s="1"/>
    </row>
    <row r="35" spans="3:16" x14ac:dyDescent="0.3">
      <c r="C35" s="22"/>
      <c r="D35" s="22"/>
      <c r="E35" s="17"/>
      <c r="F35" s="17"/>
      <c r="G35" s="17"/>
      <c r="H35" s="17"/>
      <c r="I35" s="17"/>
      <c r="J35" s="17"/>
      <c r="K35" s="17"/>
      <c r="L35" s="22"/>
      <c r="M35" s="1"/>
      <c r="N35" s="84"/>
      <c r="O35" s="85"/>
      <c r="P35" s="1"/>
    </row>
    <row r="36" spans="3:16" x14ac:dyDescent="0.3">
      <c r="C36" s="17"/>
      <c r="D36" s="17"/>
      <c r="E36" s="17"/>
      <c r="F36" s="17"/>
      <c r="G36" s="17"/>
      <c r="H36" s="17"/>
      <c r="I36" s="17"/>
      <c r="J36" s="17"/>
      <c r="K36" s="17"/>
      <c r="L36" s="17"/>
      <c r="M36" s="1"/>
      <c r="N36" s="1"/>
      <c r="O36" s="1"/>
      <c r="P36" s="1"/>
    </row>
    <row r="37" spans="3:16" x14ac:dyDescent="0.3">
      <c r="C37" s="17"/>
      <c r="D37" s="17"/>
      <c r="E37" s="17"/>
      <c r="F37" s="17"/>
      <c r="G37" s="17"/>
      <c r="H37" s="17"/>
      <c r="I37" s="17"/>
      <c r="J37" s="17"/>
      <c r="K37" s="17"/>
      <c r="L37" s="17"/>
      <c r="M37" s="1"/>
      <c r="N37" s="1"/>
      <c r="O37" s="1"/>
      <c r="P37" s="1"/>
    </row>
    <row r="38" spans="3:16" x14ac:dyDescent="0.3">
      <c r="C38" s="17"/>
      <c r="D38" s="17"/>
      <c r="E38" s="17"/>
      <c r="F38" s="17"/>
      <c r="G38" s="17"/>
      <c r="H38" s="17"/>
      <c r="I38" s="17"/>
      <c r="J38" s="17"/>
      <c r="K38" s="17"/>
      <c r="L38" s="17"/>
      <c r="M38" s="1"/>
      <c r="N38" s="1"/>
      <c r="O38" s="1"/>
      <c r="P38" s="1"/>
    </row>
    <row r="39" spans="3:16" x14ac:dyDescent="0.3">
      <c r="C39" s="17"/>
      <c r="D39" s="17"/>
      <c r="E39" s="17"/>
      <c r="F39" s="17"/>
      <c r="G39" s="17"/>
      <c r="H39" s="17"/>
      <c r="I39" s="17"/>
      <c r="J39" s="17"/>
      <c r="K39" s="17"/>
      <c r="L39" s="17"/>
      <c r="M39" s="1"/>
      <c r="N39" s="1"/>
      <c r="O39" s="1"/>
      <c r="P39" s="1"/>
    </row>
    <row r="40" spans="3:16" x14ac:dyDescent="0.3">
      <c r="C40" s="17"/>
      <c r="D40" s="17"/>
      <c r="E40" s="17"/>
      <c r="F40" s="17"/>
      <c r="G40" s="17"/>
      <c r="H40" s="17"/>
      <c r="I40" s="17"/>
      <c r="J40" s="17"/>
      <c r="K40" s="17"/>
      <c r="L40" s="17"/>
      <c r="M40" s="1"/>
      <c r="N40" s="1"/>
      <c r="O40" s="1"/>
      <c r="P40" s="1"/>
    </row>
    <row r="41" spans="3:16" x14ac:dyDescent="0.3">
      <c r="C41" s="1"/>
      <c r="D41" s="1"/>
      <c r="E41" s="1"/>
      <c r="F41" s="1"/>
      <c r="G41" s="1"/>
      <c r="H41" s="1"/>
      <c r="I41" s="1"/>
      <c r="J41" s="1"/>
      <c r="K41" s="1"/>
      <c r="L41" s="1"/>
      <c r="M41" s="1"/>
      <c r="N41" s="1"/>
      <c r="O41" s="1"/>
      <c r="P41" s="1"/>
    </row>
    <row r="42" spans="3:16" x14ac:dyDescent="0.3">
      <c r="C42" s="1"/>
      <c r="D42" s="1"/>
      <c r="E42" s="1"/>
      <c r="F42" s="1"/>
      <c r="G42" s="1"/>
      <c r="H42" s="1"/>
      <c r="I42" s="1"/>
      <c r="J42" s="1"/>
      <c r="K42" s="1"/>
      <c r="L42" s="1"/>
      <c r="M42" s="1"/>
      <c r="N42" s="1"/>
      <c r="O42" s="1"/>
      <c r="P42" s="1"/>
    </row>
  </sheetData>
  <mergeCells count="4">
    <mergeCell ref="D2:G2"/>
    <mergeCell ref="K2:N2"/>
    <mergeCell ref="Q2:T2"/>
    <mergeCell ref="W2:Z2"/>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48D6A0-ED28-4219-87B2-37AD0452B4EF}">
  <dimension ref="B2:I22"/>
  <sheetViews>
    <sheetView zoomScale="85" zoomScaleNormal="85" workbookViewId="0">
      <selection activeCell="L21" sqref="L21"/>
    </sheetView>
  </sheetViews>
  <sheetFormatPr defaultRowHeight="14.4" x14ac:dyDescent="0.3"/>
  <cols>
    <col min="2" max="2" width="15.5546875" bestFit="1" customWidth="1"/>
  </cols>
  <sheetData>
    <row r="2" spans="2:7" x14ac:dyDescent="0.3">
      <c r="B2" s="27"/>
      <c r="C2" s="281" t="s">
        <v>3</v>
      </c>
      <c r="D2" s="281"/>
      <c r="E2" s="281"/>
      <c r="F2" s="281"/>
      <c r="G2" s="281"/>
    </row>
    <row r="3" spans="2:7" x14ac:dyDescent="0.3">
      <c r="B3" s="27" t="s">
        <v>2</v>
      </c>
      <c r="C3" s="27" t="s">
        <v>7</v>
      </c>
      <c r="D3" s="27" t="s">
        <v>8</v>
      </c>
      <c r="E3" s="27" t="s">
        <v>6</v>
      </c>
      <c r="F3" s="27" t="s">
        <v>4</v>
      </c>
      <c r="G3" s="27" t="s">
        <v>5</v>
      </c>
    </row>
    <row r="4" spans="2:7" x14ac:dyDescent="0.3">
      <c r="B4" s="4">
        <v>0</v>
      </c>
      <c r="C4" s="4">
        <f t="shared" ref="C4:C9" si="0">AVERAGE(E4:G4)</f>
        <v>0.01</v>
      </c>
      <c r="D4" s="4">
        <f t="shared" ref="D4:D9" si="1">_xlfn.STDEV.S(E4:G4)</f>
        <v>1.2489995996796798E-2</v>
      </c>
      <c r="E4" s="4">
        <v>0</v>
      </c>
      <c r="F4" s="4">
        <v>6.0000000000000001E-3</v>
      </c>
      <c r="G4" s="4">
        <v>2.4E-2</v>
      </c>
    </row>
    <row r="5" spans="2:7" x14ac:dyDescent="0.3">
      <c r="B5" s="4">
        <f>1000*20/20/10/10</f>
        <v>10</v>
      </c>
      <c r="C5" s="4">
        <f t="shared" si="0"/>
        <v>0.10666666666666667</v>
      </c>
      <c r="D5" s="4">
        <f t="shared" si="1"/>
        <v>1.9857828011475308E-2</v>
      </c>
      <c r="E5" s="4">
        <v>0.129</v>
      </c>
      <c r="F5" s="4">
        <v>9.0999999999999998E-2</v>
      </c>
      <c r="G5" s="4">
        <v>0.1</v>
      </c>
    </row>
    <row r="6" spans="2:7" x14ac:dyDescent="0.3">
      <c r="B6" s="4">
        <f>20000/20/10/4</f>
        <v>25</v>
      </c>
      <c r="C6" s="4">
        <f t="shared" si="0"/>
        <v>0.25900000000000001</v>
      </c>
      <c r="D6" s="4">
        <f t="shared" si="1"/>
        <v>1.7320508075688791E-3</v>
      </c>
      <c r="E6" s="4">
        <v>0.25700000000000001</v>
      </c>
      <c r="F6" s="4">
        <v>0.26</v>
      </c>
      <c r="G6" s="4">
        <v>0.26</v>
      </c>
    </row>
    <row r="7" spans="2:7" x14ac:dyDescent="0.3">
      <c r="B7" s="4">
        <f>20000/20/10/2</f>
        <v>50</v>
      </c>
      <c r="C7" s="4">
        <f t="shared" si="0"/>
        <v>0.55500000000000005</v>
      </c>
      <c r="D7" s="4">
        <f t="shared" si="1"/>
        <v>3.8935844667863539E-2</v>
      </c>
      <c r="E7" s="4">
        <v>0.59899999999999998</v>
      </c>
      <c r="F7" s="4">
        <v>0.54100000000000004</v>
      </c>
      <c r="G7" s="4">
        <v>0.52500000000000002</v>
      </c>
    </row>
    <row r="8" spans="2:7" x14ac:dyDescent="0.3">
      <c r="B8" s="4">
        <f>20000/20/10/(4/3)</f>
        <v>75</v>
      </c>
      <c r="C8" s="4">
        <f t="shared" si="0"/>
        <v>0.81433333333333324</v>
      </c>
      <c r="D8" s="4">
        <f t="shared" si="1"/>
        <v>6.1101009266077439E-3</v>
      </c>
      <c r="E8" s="4">
        <v>0.80900000000000005</v>
      </c>
      <c r="F8" s="4">
        <v>0.81299999999999994</v>
      </c>
      <c r="G8" s="4">
        <v>0.82099999999999995</v>
      </c>
    </row>
    <row r="9" spans="2:7" x14ac:dyDescent="0.3">
      <c r="B9" s="4">
        <f>20000/20/10</f>
        <v>100</v>
      </c>
      <c r="C9" s="4">
        <f t="shared" si="0"/>
        <v>1.1223333333333334</v>
      </c>
      <c r="D9" s="4">
        <f t="shared" si="1"/>
        <v>1.2897028081435337E-2</v>
      </c>
      <c r="E9" s="4">
        <v>1.1080000000000001</v>
      </c>
      <c r="F9" s="4">
        <v>1.1259999999999999</v>
      </c>
      <c r="G9" s="4">
        <v>1.133</v>
      </c>
    </row>
    <row r="20" spans="8:9" x14ac:dyDescent="0.3">
      <c r="H20" s="39"/>
      <c r="I20" s="39"/>
    </row>
    <row r="21" spans="8:9" x14ac:dyDescent="0.3">
      <c r="H21" s="39"/>
      <c r="I21" s="39"/>
    </row>
    <row r="22" spans="8:9" x14ac:dyDescent="0.3">
      <c r="H22" s="39"/>
      <c r="I22" s="39"/>
    </row>
  </sheetData>
  <mergeCells count="1">
    <mergeCell ref="C2:G2"/>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D1A783-C306-4B3A-AB06-B4872931697C}">
  <dimension ref="B2:L56"/>
  <sheetViews>
    <sheetView zoomScale="85" zoomScaleNormal="85" workbookViewId="0">
      <selection activeCell="R19" sqref="R19"/>
    </sheetView>
  </sheetViews>
  <sheetFormatPr defaultRowHeight="14.4" x14ac:dyDescent="0.3"/>
  <cols>
    <col min="2" max="2" width="37.77734375" bestFit="1" customWidth="1"/>
    <col min="3" max="3" width="11.5546875" customWidth="1"/>
    <col min="4" max="4" width="12.109375" customWidth="1"/>
    <col min="5" max="5" width="9.88671875" customWidth="1"/>
    <col min="6" max="6" width="12.109375" customWidth="1"/>
    <col min="7" max="7" width="11.5546875" customWidth="1"/>
    <col min="8" max="8" width="9.88671875" customWidth="1"/>
    <col min="9" max="9" width="11" customWidth="1"/>
    <col min="10" max="10" width="10.88671875" bestFit="1" customWidth="1"/>
    <col min="11" max="11" width="8.109375" bestFit="1" customWidth="1"/>
    <col min="12" max="12" width="7.44140625" bestFit="1" customWidth="1"/>
  </cols>
  <sheetData>
    <row r="2" spans="2:12" x14ac:dyDescent="0.3">
      <c r="B2" s="27" t="s">
        <v>108</v>
      </c>
      <c r="C2" s="281" t="s">
        <v>3</v>
      </c>
      <c r="D2" s="281"/>
      <c r="E2" s="281"/>
      <c r="F2" s="281"/>
      <c r="G2" s="281"/>
      <c r="H2" s="281" t="s">
        <v>48</v>
      </c>
      <c r="I2" s="281"/>
      <c r="J2" s="281"/>
      <c r="K2" s="281"/>
      <c r="L2" s="281"/>
    </row>
    <row r="3" spans="2:12" x14ac:dyDescent="0.3">
      <c r="B3" s="27" t="s">
        <v>119</v>
      </c>
      <c r="C3" s="27" t="s">
        <v>7</v>
      </c>
      <c r="D3" s="27" t="s">
        <v>8</v>
      </c>
      <c r="E3" s="27" t="s">
        <v>6</v>
      </c>
      <c r="F3" s="27" t="s">
        <v>4</v>
      </c>
      <c r="G3" s="27" t="s">
        <v>5</v>
      </c>
      <c r="H3" s="27" t="s">
        <v>7</v>
      </c>
      <c r="I3" s="27" t="s">
        <v>8</v>
      </c>
      <c r="J3" s="27" t="s">
        <v>6</v>
      </c>
      <c r="K3" s="27" t="s">
        <v>4</v>
      </c>
      <c r="L3" s="27" t="s">
        <v>5</v>
      </c>
    </row>
    <row r="4" spans="2:12" x14ac:dyDescent="0.3">
      <c r="B4" s="4">
        <f>H4*1000</f>
        <v>20.266666666666669</v>
      </c>
      <c r="C4" s="4">
        <f t="shared" ref="C4:C9" si="0">AVERAGE(E4:G4)</f>
        <v>0.21366666666666667</v>
      </c>
      <c r="D4" s="4">
        <f t="shared" ref="D4:D9" si="1">_xlfn.STDEV.S(E4:G4)</f>
        <v>2.0647840887931441E-2</v>
      </c>
      <c r="E4" s="4">
        <v>0.22800000000000001</v>
      </c>
      <c r="F4" s="4">
        <v>0.19</v>
      </c>
      <c r="G4" s="4">
        <v>0.223</v>
      </c>
      <c r="H4" s="4">
        <f t="shared" ref="H4:H9" si="2">AVERAGE(J4:L4)</f>
        <v>2.0266666666666669E-2</v>
      </c>
      <c r="I4" s="4">
        <f t="shared" ref="I4:I9" si="3">_xlfn.STDEV.S(J4:L4)</f>
        <v>3.7859388972001797E-4</v>
      </c>
      <c r="J4" s="4">
        <v>2.01E-2</v>
      </c>
      <c r="K4" s="4">
        <v>2.07E-2</v>
      </c>
      <c r="L4" s="4">
        <v>0.02</v>
      </c>
    </row>
    <row r="5" spans="2:12" x14ac:dyDescent="0.3">
      <c r="B5" s="4">
        <f t="shared" ref="B5:B9" si="4">H5*1000</f>
        <v>41.733333333333334</v>
      </c>
      <c r="C5" s="4">
        <f t="shared" si="0"/>
        <v>0.42766666666666664</v>
      </c>
      <c r="D5" s="4">
        <f t="shared" si="1"/>
        <v>2.025668613898465E-2</v>
      </c>
      <c r="E5" s="4">
        <v>0.44400000000000001</v>
      </c>
      <c r="F5" s="4">
        <v>0.40500000000000003</v>
      </c>
      <c r="G5" s="4">
        <v>0.434</v>
      </c>
      <c r="H5" s="4">
        <f t="shared" si="2"/>
        <v>4.1733333333333338E-2</v>
      </c>
      <c r="I5" s="4">
        <f t="shared" si="3"/>
        <v>9.0737717258774836E-4</v>
      </c>
      <c r="J5" s="4">
        <v>4.2700000000000002E-2</v>
      </c>
      <c r="K5" s="4">
        <v>4.1599999999999998E-2</v>
      </c>
      <c r="L5" s="4">
        <v>4.0899999999999999E-2</v>
      </c>
    </row>
    <row r="6" spans="2:12" x14ac:dyDescent="0.3">
      <c r="B6" s="4">
        <f t="shared" si="4"/>
        <v>61.63333333333334</v>
      </c>
      <c r="C6" s="4">
        <f t="shared" si="0"/>
        <v>0.63900000000000012</v>
      </c>
      <c r="D6" s="4">
        <f t="shared" si="1"/>
        <v>2.9512709126747437E-2</v>
      </c>
      <c r="E6" s="4">
        <v>0.624</v>
      </c>
      <c r="F6" s="4">
        <v>0.67300000000000004</v>
      </c>
      <c r="G6" s="4">
        <v>0.62</v>
      </c>
      <c r="H6" s="4">
        <f t="shared" si="2"/>
        <v>6.1633333333333339E-2</v>
      </c>
      <c r="I6" s="4">
        <f t="shared" si="3"/>
        <v>7.6376261582597395E-4</v>
      </c>
      <c r="J6" s="4">
        <v>6.08E-2</v>
      </c>
      <c r="K6" s="4">
        <v>6.2300000000000001E-2</v>
      </c>
      <c r="L6" s="4">
        <v>6.1800000000000001E-2</v>
      </c>
    </row>
    <row r="7" spans="2:12" x14ac:dyDescent="0.3">
      <c r="B7" s="4">
        <f t="shared" si="4"/>
        <v>102.93333333333332</v>
      </c>
      <c r="C7" s="4">
        <f t="shared" si="0"/>
        <v>1.1059999999999999</v>
      </c>
      <c r="D7" s="4">
        <f t="shared" si="1"/>
        <v>2.4556058315617385E-2</v>
      </c>
      <c r="E7" s="4">
        <v>1.1120000000000001</v>
      </c>
      <c r="F7" s="4">
        <v>1.079</v>
      </c>
      <c r="G7" s="4">
        <v>1.127</v>
      </c>
      <c r="H7" s="4">
        <f t="shared" si="2"/>
        <v>0.10293333333333332</v>
      </c>
      <c r="I7" s="4">
        <f t="shared" si="3"/>
        <v>4.0414518843274219E-4</v>
      </c>
      <c r="J7" s="4">
        <v>0.10299999999999999</v>
      </c>
      <c r="K7" s="4">
        <v>0.1033</v>
      </c>
      <c r="L7" s="4">
        <v>0.10249999999999999</v>
      </c>
    </row>
    <row r="8" spans="2:12" x14ac:dyDescent="0.3">
      <c r="B8" s="4">
        <f t="shared" si="4"/>
        <v>144.33333333333334</v>
      </c>
      <c r="C8" s="4">
        <f t="shared" si="0"/>
        <v>1.4843333333333331</v>
      </c>
      <c r="D8" s="4">
        <f t="shared" si="1"/>
        <v>7.9663877217552831E-2</v>
      </c>
      <c r="E8" s="4">
        <v>1.548</v>
      </c>
      <c r="F8" s="4">
        <v>1.51</v>
      </c>
      <c r="G8" s="4">
        <v>1.395</v>
      </c>
      <c r="H8" s="4">
        <f t="shared" si="2"/>
        <v>0.14433333333333334</v>
      </c>
      <c r="I8" s="4">
        <f t="shared" si="3"/>
        <v>7.7674534651540189E-4</v>
      </c>
      <c r="J8" s="4">
        <v>0.14369999999999999</v>
      </c>
      <c r="K8" s="4">
        <v>0.1452</v>
      </c>
      <c r="L8" s="4">
        <v>0.14410000000000001</v>
      </c>
    </row>
    <row r="9" spans="2:12" x14ac:dyDescent="0.3">
      <c r="B9" s="4">
        <f t="shared" si="4"/>
        <v>187.13333333333335</v>
      </c>
      <c r="C9" s="4">
        <f t="shared" si="0"/>
        <v>1.9530000000000001</v>
      </c>
      <c r="D9" s="4">
        <f t="shared" si="1"/>
        <v>5.4341512676774097E-2</v>
      </c>
      <c r="E9" s="4">
        <v>2.012</v>
      </c>
      <c r="F9" s="4">
        <v>1.905</v>
      </c>
      <c r="G9" s="4">
        <v>1.9419999999999999</v>
      </c>
      <c r="H9" s="4">
        <f t="shared" si="2"/>
        <v>0.18713333333333335</v>
      </c>
      <c r="I9" s="4">
        <f t="shared" si="3"/>
        <v>7.0237691685684175E-4</v>
      </c>
      <c r="J9" s="4">
        <v>0.18779999999999999</v>
      </c>
      <c r="K9" s="4">
        <v>0.18640000000000001</v>
      </c>
      <c r="L9" s="4">
        <v>0.18720000000000001</v>
      </c>
    </row>
    <row r="12" spans="2:12" x14ac:dyDescent="0.3">
      <c r="B12" t="s">
        <v>65</v>
      </c>
    </row>
    <row r="13" spans="2:12" x14ac:dyDescent="0.3">
      <c r="B13" t="s">
        <v>64</v>
      </c>
      <c r="C13" s="8">
        <f>(1/11)</f>
        <v>9.0909090909090912E-2</v>
      </c>
    </row>
    <row r="15" spans="2:12" x14ac:dyDescent="0.3">
      <c r="B15" s="27" t="s">
        <v>117</v>
      </c>
      <c r="C15" s="27" t="s">
        <v>110</v>
      </c>
      <c r="D15" s="27" t="s">
        <v>111</v>
      </c>
      <c r="E15" s="27" t="s">
        <v>112</v>
      </c>
      <c r="F15" s="27" t="s">
        <v>113</v>
      </c>
      <c r="G15" s="27" t="s">
        <v>114</v>
      </c>
      <c r="H15" s="27" t="s">
        <v>115</v>
      </c>
      <c r="I15" s="27" t="s">
        <v>109</v>
      </c>
      <c r="J15" s="27" t="s">
        <v>116</v>
      </c>
    </row>
    <row r="16" spans="2:12" x14ac:dyDescent="0.3">
      <c r="B16" s="27" t="s">
        <v>13</v>
      </c>
      <c r="C16" s="4">
        <v>0.2051</v>
      </c>
      <c r="D16" s="4">
        <v>2.0139999999999998</v>
      </c>
      <c r="E16" s="4">
        <v>0.19919999999999999</v>
      </c>
      <c r="F16" s="4">
        <v>2.0013000000000001</v>
      </c>
      <c r="G16" s="4">
        <v>0.19800000000000001</v>
      </c>
      <c r="H16" s="4">
        <v>1.9944999999999999</v>
      </c>
      <c r="I16" s="4">
        <v>0.19600000000000001</v>
      </c>
      <c r="J16" s="4">
        <v>1.9878</v>
      </c>
    </row>
    <row r="17" spans="2:10" x14ac:dyDescent="0.3">
      <c r="B17" s="27" t="s">
        <v>14</v>
      </c>
      <c r="C17" s="4">
        <v>0.2092</v>
      </c>
      <c r="D17" s="4">
        <v>2.0139</v>
      </c>
      <c r="E17" s="4">
        <v>0.19939999999999999</v>
      </c>
      <c r="F17" s="4">
        <v>1.9952000000000001</v>
      </c>
      <c r="G17" s="4">
        <v>0.19650000000000001</v>
      </c>
      <c r="H17" s="4">
        <v>1.9890000000000001</v>
      </c>
      <c r="I17" s="4">
        <v>0.20180000000000001</v>
      </c>
      <c r="J17" s="4">
        <v>1.9902</v>
      </c>
    </row>
    <row r="18" spans="2:10" x14ac:dyDescent="0.3">
      <c r="B18" s="27" t="s">
        <v>15</v>
      </c>
      <c r="C18" s="4">
        <v>0.20349999999999999</v>
      </c>
      <c r="D18" s="4">
        <v>2.0028999999999999</v>
      </c>
      <c r="E18" s="4">
        <v>0.2</v>
      </c>
      <c r="F18" s="4">
        <v>1.9964</v>
      </c>
      <c r="G18" s="4">
        <v>0.19700000000000001</v>
      </c>
      <c r="H18" s="4">
        <v>1.9855</v>
      </c>
      <c r="I18" s="4">
        <v>0.2009</v>
      </c>
      <c r="J18" s="4">
        <v>1.9905999999999999</v>
      </c>
    </row>
    <row r="19" spans="2:10" ht="15" thickBot="1" x14ac:dyDescent="0.35">
      <c r="C19" s="3"/>
      <c r="D19" s="3"/>
      <c r="E19" s="3"/>
      <c r="F19" s="3"/>
      <c r="G19" s="3"/>
      <c r="H19" s="3"/>
      <c r="I19" s="3"/>
      <c r="J19" s="3"/>
    </row>
    <row r="20" spans="2:10" ht="15" thickBot="1" x14ac:dyDescent="0.35">
      <c r="B20" s="143" t="s">
        <v>118</v>
      </c>
      <c r="C20" s="284" t="s">
        <v>117</v>
      </c>
      <c r="D20" s="285"/>
      <c r="E20" s="285"/>
      <c r="F20" s="286"/>
      <c r="G20" s="3"/>
      <c r="H20" s="3"/>
      <c r="I20" s="3"/>
      <c r="J20" s="3"/>
    </row>
    <row r="21" spans="2:10" ht="15" thickBot="1" x14ac:dyDescent="0.35">
      <c r="B21" s="141" t="s">
        <v>3</v>
      </c>
      <c r="C21" s="134">
        <v>1</v>
      </c>
      <c r="D21" s="132">
        <v>2</v>
      </c>
      <c r="E21" s="132">
        <v>3</v>
      </c>
      <c r="F21" s="133">
        <v>4</v>
      </c>
      <c r="G21" s="3"/>
      <c r="H21" s="3"/>
      <c r="I21" s="3"/>
      <c r="J21" s="3"/>
    </row>
    <row r="22" spans="2:10" x14ac:dyDescent="0.3">
      <c r="B22" s="137" t="s">
        <v>13</v>
      </c>
      <c r="C22" s="144">
        <v>0.97399999999999998</v>
      </c>
      <c r="D22" s="145">
        <v>0.71599999999999997</v>
      </c>
      <c r="E22" s="145">
        <v>0.47599999999999998</v>
      </c>
      <c r="F22" s="146">
        <v>0.23400000000000001</v>
      </c>
      <c r="G22" s="3"/>
      <c r="H22" s="3"/>
      <c r="I22" s="3"/>
      <c r="J22" s="3"/>
    </row>
    <row r="23" spans="2:10" x14ac:dyDescent="0.3">
      <c r="B23" s="138" t="s">
        <v>14</v>
      </c>
      <c r="C23" s="135">
        <v>0.94299999999999995</v>
      </c>
      <c r="D23" s="4">
        <v>0.70299999999999996</v>
      </c>
      <c r="E23" s="4">
        <v>0.46</v>
      </c>
      <c r="F23" s="78">
        <v>0.25600000000000001</v>
      </c>
      <c r="G23" s="3"/>
      <c r="H23" s="3"/>
      <c r="I23" s="3"/>
      <c r="J23" s="3"/>
    </row>
    <row r="24" spans="2:10" ht="15" thickBot="1" x14ac:dyDescent="0.35">
      <c r="B24" s="139" t="s">
        <v>15</v>
      </c>
      <c r="C24" s="136">
        <v>0.92600000000000005</v>
      </c>
      <c r="D24" s="72">
        <v>0.71099999999999997</v>
      </c>
      <c r="E24" s="72">
        <v>0.47299999999999998</v>
      </c>
      <c r="F24" s="79">
        <v>0.253</v>
      </c>
      <c r="G24" s="3"/>
      <c r="H24" s="3"/>
      <c r="I24" s="3"/>
      <c r="J24" s="3"/>
    </row>
    <row r="25" spans="2:10" ht="15" thickBot="1" x14ac:dyDescent="0.35">
      <c r="B25" s="141" t="s">
        <v>22</v>
      </c>
      <c r="C25" s="140">
        <f>AVERAGE(C22:C24)</f>
        <v>0.94766666666666666</v>
      </c>
      <c r="D25" s="130">
        <f t="shared" ref="D25:F25" si="5">AVERAGE(D22:D24)</f>
        <v>0.71</v>
      </c>
      <c r="E25" s="130">
        <f t="shared" si="5"/>
        <v>0.46966666666666662</v>
      </c>
      <c r="F25" s="131">
        <f t="shared" si="5"/>
        <v>0.24766666666666667</v>
      </c>
      <c r="G25" s="3"/>
      <c r="H25" s="3"/>
      <c r="I25" s="3"/>
      <c r="J25" s="3"/>
    </row>
    <row r="26" spans="2:10" ht="15" thickBot="1" x14ac:dyDescent="0.35">
      <c r="B26" s="142" t="s">
        <v>63</v>
      </c>
      <c r="C26" s="147">
        <f>_xlfn.STDEV.S(C22:C24)</f>
        <v>2.4337899115029052E-2</v>
      </c>
      <c r="D26" s="148">
        <f t="shared" ref="D26:F26" si="6">_xlfn.STDEV.S(D22:D24)</f>
        <v>6.557438524302006E-3</v>
      </c>
      <c r="E26" s="148">
        <f t="shared" si="6"/>
        <v>8.5049005481153579E-3</v>
      </c>
      <c r="F26" s="149">
        <f t="shared" si="6"/>
        <v>1.1930353445448849E-2</v>
      </c>
      <c r="G26" s="3"/>
      <c r="H26" s="3"/>
      <c r="I26" s="3"/>
      <c r="J26" s="3"/>
    </row>
    <row r="27" spans="2:10" ht="15" thickBot="1" x14ac:dyDescent="0.35">
      <c r="B27" s="141" t="s">
        <v>62</v>
      </c>
      <c r="C27" s="140">
        <v>1</v>
      </c>
      <c r="D27" s="130">
        <v>0.75</v>
      </c>
      <c r="E27" s="130">
        <v>0.5</v>
      </c>
      <c r="F27" s="131">
        <v>0.25</v>
      </c>
      <c r="G27" s="3"/>
      <c r="H27" s="3"/>
      <c r="I27" s="3"/>
      <c r="J27" s="3"/>
    </row>
    <row r="28" spans="2:10" ht="15" thickBot="1" x14ac:dyDescent="0.35">
      <c r="B28" s="141" t="s">
        <v>1</v>
      </c>
      <c r="C28" s="282" t="s">
        <v>117</v>
      </c>
      <c r="D28" s="282"/>
      <c r="E28" s="282"/>
      <c r="F28" s="283"/>
      <c r="G28" s="3"/>
      <c r="H28" s="3"/>
      <c r="I28" s="3"/>
      <c r="J28" s="3"/>
    </row>
    <row r="29" spans="2:10" ht="15" thickBot="1" x14ac:dyDescent="0.35">
      <c r="B29" s="142" t="s">
        <v>120</v>
      </c>
      <c r="C29" s="134">
        <v>1</v>
      </c>
      <c r="D29" s="132">
        <v>2</v>
      </c>
      <c r="E29" s="132">
        <v>3</v>
      </c>
      <c r="F29" s="133">
        <v>4</v>
      </c>
      <c r="G29" s="3"/>
      <c r="H29" s="3"/>
      <c r="I29" s="3"/>
      <c r="J29" s="3"/>
    </row>
    <row r="30" spans="2:10" x14ac:dyDescent="0.3">
      <c r="B30" s="137" t="s">
        <v>13</v>
      </c>
      <c r="C30" s="144">
        <f>C13*(C16/D16)*(E16/F16)*(G16/H16)*1000000</f>
        <v>91.479081904662067</v>
      </c>
      <c r="D30" s="145">
        <f>$C$13*(C16/D16)*(E16/F16)*(G16/H16)*1000000*D27</f>
        <v>68.609311428496554</v>
      </c>
      <c r="E30" s="145">
        <f>$C$13*(C16/D16)*(E16/F16)*(I16/J16)*1000000*E27</f>
        <v>45.430136022075956</v>
      </c>
      <c r="F30" s="146">
        <f>$C$13*(C16/D16)*(E16/F16)*(I16/J16)*1000000*F27</f>
        <v>22.715068011037978</v>
      </c>
      <c r="G30" s="3"/>
      <c r="H30" s="3"/>
      <c r="I30" s="3"/>
      <c r="J30" s="3"/>
    </row>
    <row r="31" spans="2:10" x14ac:dyDescent="0.3">
      <c r="B31" s="138" t="s">
        <v>14</v>
      </c>
      <c r="C31" s="135">
        <f>C13*(C17/D17)*(E17/F17)*(G17/H17)*1000000</f>
        <v>93.238994750816701</v>
      </c>
      <c r="D31" s="4">
        <f>$C$13*(C17/D17)*(E17/F17)*(G17/H17)*1000000*D27</f>
        <v>69.929246063112529</v>
      </c>
      <c r="E31" s="4">
        <f>$C$13*(C17/D17)*(E17/F17)*(I17/J17)*1000000*E27</f>
        <v>47.8480513305039</v>
      </c>
      <c r="F31" s="78">
        <f>$C$13*(C17/D17)*(E17/F17)*(I17/J17)*1000000*F27</f>
        <v>23.92402566525195</v>
      </c>
      <c r="G31" s="3"/>
      <c r="H31" s="3"/>
      <c r="I31" s="3"/>
      <c r="J31" s="3"/>
    </row>
    <row r="32" spans="2:10" ht="15" thickBot="1" x14ac:dyDescent="0.35">
      <c r="B32" s="139" t="s">
        <v>15</v>
      </c>
      <c r="C32" s="136">
        <f>C13*(C18/D18)*(E18/F18)*(G18/H18)*1000000</f>
        <v>91.810262917134594</v>
      </c>
      <c r="D32" s="72">
        <f>$C$13*(C18/D18)*(E18/F18)*(G18/H18)*1000000*D27</f>
        <v>68.857697187850945</v>
      </c>
      <c r="E32" s="72">
        <f>$C$13*(C18/D18)*(E18/F18)*(I18/J18)*1000000*E27</f>
        <v>46.69397405587214</v>
      </c>
      <c r="F32" s="79">
        <f>$C$13*(C18/D18)*(E18/F18)*(I18/J18)*1000000*F27</f>
        <v>23.34698702793607</v>
      </c>
      <c r="G32" s="3"/>
      <c r="H32" s="3"/>
      <c r="I32" s="3"/>
      <c r="J32" s="3"/>
    </row>
    <row r="33" spans="2:10" ht="15" thickBot="1" x14ac:dyDescent="0.35">
      <c r="B33" s="141" t="s">
        <v>22</v>
      </c>
      <c r="C33" s="140">
        <f>AVERAGE(C30:C32)</f>
        <v>92.176113190871135</v>
      </c>
      <c r="D33" s="130">
        <f t="shared" ref="D33:F33" si="7">AVERAGE(D30:D32)</f>
        <v>69.132084893153333</v>
      </c>
      <c r="E33" s="130">
        <f t="shared" si="7"/>
        <v>46.657387136150668</v>
      </c>
      <c r="F33" s="131">
        <f t="shared" si="7"/>
        <v>23.328693568075334</v>
      </c>
      <c r="G33" s="3"/>
      <c r="H33" s="3"/>
      <c r="I33" s="3"/>
      <c r="J33" s="3"/>
    </row>
    <row r="34" spans="2:10" ht="15" thickBot="1" x14ac:dyDescent="0.35">
      <c r="B34" s="142" t="s">
        <v>63</v>
      </c>
      <c r="C34" s="147">
        <f>_xlfn.STDEV.S(C30:C32)</f>
        <v>0.93525831918772317</v>
      </c>
      <c r="D34" s="148">
        <f t="shared" ref="D34:F34" si="8">_xlfn.STDEV.S(D30:D32)</f>
        <v>0.70144373939079308</v>
      </c>
      <c r="E34" s="148">
        <f t="shared" si="8"/>
        <v>1.2093727968263459</v>
      </c>
      <c r="F34" s="149">
        <f t="shared" si="8"/>
        <v>0.60468639841317295</v>
      </c>
      <c r="G34" s="3"/>
      <c r="H34" s="3"/>
      <c r="I34" s="3"/>
      <c r="J34" s="3"/>
    </row>
    <row r="56" spans="11:11" x14ac:dyDescent="0.3">
      <c r="K56">
        <v>10.26</v>
      </c>
    </row>
  </sheetData>
  <mergeCells count="4">
    <mergeCell ref="C2:G2"/>
    <mergeCell ref="H2:L2"/>
    <mergeCell ref="C28:F28"/>
    <mergeCell ref="C20:F20"/>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EA52B1-C596-4B0F-9566-5D20380C385F}">
  <dimension ref="A1:AI201"/>
  <sheetViews>
    <sheetView zoomScale="55" zoomScaleNormal="55" workbookViewId="0">
      <selection activeCell="N5" sqref="N5"/>
    </sheetView>
  </sheetViews>
  <sheetFormatPr defaultRowHeight="14.4" x14ac:dyDescent="0.3"/>
  <cols>
    <col min="1" max="1" width="23.109375" customWidth="1"/>
    <col min="3" max="3" width="11.6640625" bestFit="1" customWidth="1"/>
    <col min="4" max="4" width="11.6640625" customWidth="1"/>
    <col min="6" max="6" width="11.88671875" bestFit="1" customWidth="1"/>
    <col min="7" max="8" width="12" bestFit="1" customWidth="1"/>
    <col min="12" max="12" width="9.33203125" customWidth="1"/>
    <col min="13" max="13" width="32.6640625" bestFit="1" customWidth="1"/>
    <col min="14" max="14" width="39" bestFit="1" customWidth="1"/>
    <col min="15" max="15" width="12.33203125" bestFit="1" customWidth="1"/>
    <col min="16" max="16" width="20" bestFit="1" customWidth="1"/>
    <col min="17" max="17" width="19.6640625" bestFit="1" customWidth="1"/>
    <col min="18" max="18" width="15.88671875" bestFit="1" customWidth="1"/>
    <col min="19" max="19" width="12.44140625" customWidth="1"/>
    <col min="34" max="34" width="20.6640625" bestFit="1" customWidth="1"/>
    <col min="40" max="40" width="12.6640625" bestFit="1" customWidth="1"/>
  </cols>
  <sheetData>
    <row r="1" spans="1:32" x14ac:dyDescent="0.3">
      <c r="A1" s="39"/>
      <c r="B1" s="39"/>
      <c r="C1" s="39"/>
      <c r="D1" s="39"/>
      <c r="E1" s="39"/>
      <c r="F1" s="39"/>
      <c r="G1" s="39"/>
      <c r="H1" s="39"/>
      <c r="I1" s="39"/>
      <c r="J1" s="39"/>
      <c r="K1" s="39"/>
      <c r="L1" s="39"/>
      <c r="M1" s="39"/>
      <c r="N1" s="39"/>
      <c r="O1" s="39"/>
      <c r="P1" s="39"/>
      <c r="Q1" s="39"/>
      <c r="R1" s="39"/>
      <c r="S1" s="39"/>
      <c r="T1" s="39"/>
      <c r="U1" s="39"/>
      <c r="V1" s="39"/>
      <c r="W1" s="39"/>
      <c r="X1" s="39"/>
      <c r="Y1" s="39"/>
      <c r="Z1" s="39"/>
      <c r="AA1" s="39"/>
      <c r="AB1" s="39"/>
      <c r="AC1" s="39"/>
      <c r="AD1" s="39"/>
      <c r="AE1" s="39"/>
      <c r="AF1" s="39"/>
    </row>
    <row r="2" spans="1:32" x14ac:dyDescent="0.3">
      <c r="A2" s="39"/>
      <c r="B2" s="39"/>
      <c r="C2" s="39"/>
      <c r="D2" s="39"/>
      <c r="E2" s="39"/>
      <c r="F2" s="39"/>
      <c r="G2" s="39"/>
      <c r="H2" s="39"/>
      <c r="I2" s="39"/>
      <c r="J2" s="39"/>
      <c r="K2" s="39"/>
      <c r="L2" s="39"/>
      <c r="M2" s="39"/>
      <c r="N2" s="39"/>
      <c r="O2" s="39"/>
      <c r="P2" s="39"/>
      <c r="Q2" s="39"/>
      <c r="R2" s="39"/>
      <c r="S2" s="39"/>
      <c r="T2" s="39"/>
      <c r="U2" s="39"/>
      <c r="V2" s="39"/>
      <c r="W2" s="39"/>
      <c r="X2" s="39"/>
      <c r="Y2" s="39"/>
      <c r="Z2" s="39"/>
      <c r="AA2" s="39"/>
      <c r="AB2" s="39"/>
      <c r="AC2" s="39"/>
      <c r="AD2" s="39"/>
      <c r="AE2" s="39"/>
      <c r="AF2" s="39"/>
    </row>
    <row r="3" spans="1:32" x14ac:dyDescent="0.3">
      <c r="A3" s="39"/>
      <c r="B3" s="39"/>
      <c r="C3" s="39"/>
      <c r="D3" s="39"/>
      <c r="E3" s="39"/>
      <c r="F3" s="39"/>
      <c r="G3" s="39"/>
      <c r="H3" s="39"/>
      <c r="I3" s="39"/>
      <c r="J3" s="39"/>
      <c r="K3" s="39"/>
      <c r="L3" s="39"/>
      <c r="M3" s="39"/>
      <c r="N3" s="39"/>
      <c r="O3" s="39"/>
      <c r="P3" s="39"/>
      <c r="Q3" s="39"/>
      <c r="R3" s="39"/>
      <c r="S3" s="39"/>
      <c r="T3" s="39"/>
      <c r="U3" s="39"/>
      <c r="V3" s="39"/>
      <c r="W3" s="39"/>
      <c r="X3" s="39"/>
      <c r="Y3" s="39"/>
      <c r="Z3" s="39"/>
      <c r="AA3" s="39"/>
      <c r="AB3" s="39"/>
      <c r="AC3" s="39"/>
      <c r="AD3" s="39"/>
      <c r="AE3" s="39"/>
      <c r="AF3" s="39"/>
    </row>
    <row r="4" spans="1:32" x14ac:dyDescent="0.3">
      <c r="A4" s="192" t="s">
        <v>46</v>
      </c>
      <c r="B4" s="39"/>
      <c r="C4" s="39"/>
      <c r="D4" s="39"/>
      <c r="E4" s="39"/>
      <c r="F4" s="39"/>
      <c r="G4" s="39"/>
      <c r="H4" s="39"/>
      <c r="I4" s="39"/>
      <c r="J4" s="39"/>
      <c r="K4" s="39"/>
      <c r="L4" s="39"/>
      <c r="M4" s="39"/>
      <c r="N4" s="39"/>
      <c r="O4" s="39"/>
      <c r="P4" s="39"/>
      <c r="Q4" s="39"/>
      <c r="R4" s="39"/>
      <c r="S4" s="39"/>
      <c r="T4" s="39"/>
      <c r="U4" s="39"/>
      <c r="V4" s="39"/>
      <c r="W4" s="39"/>
      <c r="X4" s="39"/>
      <c r="Y4" s="39"/>
      <c r="Z4" s="39"/>
      <c r="AA4" s="39"/>
      <c r="AB4" s="39"/>
      <c r="AC4" s="39"/>
      <c r="AD4" s="39"/>
      <c r="AE4" s="39"/>
      <c r="AF4" s="39"/>
    </row>
    <row r="5" spans="1:32" x14ac:dyDescent="0.3">
      <c r="A5" s="39"/>
      <c r="B5" s="151"/>
      <c r="C5" s="291" t="s">
        <v>19</v>
      </c>
      <c r="D5" s="291"/>
      <c r="E5" s="291"/>
      <c r="F5" s="36"/>
      <c r="G5" s="40"/>
      <c r="H5" s="40"/>
      <c r="I5" s="151"/>
      <c r="J5" s="291" t="s">
        <v>20</v>
      </c>
      <c r="K5" s="291"/>
      <c r="L5" s="151"/>
      <c r="M5" s="39"/>
      <c r="N5" s="39"/>
      <c r="O5" s="39"/>
      <c r="P5" s="39"/>
      <c r="Q5" s="39"/>
      <c r="R5" s="39"/>
      <c r="S5" s="39"/>
      <c r="T5" s="39"/>
      <c r="U5" s="39"/>
      <c r="V5" s="39"/>
      <c r="W5" s="39"/>
      <c r="X5" s="39"/>
      <c r="Y5" s="39"/>
      <c r="Z5" s="39"/>
      <c r="AA5" s="39"/>
      <c r="AB5" s="39"/>
      <c r="AC5" s="39"/>
      <c r="AD5" s="39"/>
      <c r="AE5" s="39"/>
      <c r="AF5" s="39"/>
    </row>
    <row r="6" spans="1:32" x14ac:dyDescent="0.3">
      <c r="A6" s="39"/>
      <c r="B6" s="151" t="s">
        <v>12</v>
      </c>
      <c r="C6" s="151" t="s">
        <v>49</v>
      </c>
      <c r="D6" s="151" t="s">
        <v>40</v>
      </c>
      <c r="E6" s="151" t="s">
        <v>21</v>
      </c>
      <c r="F6" s="39"/>
      <c r="G6" s="39"/>
      <c r="H6" s="39"/>
      <c r="I6" s="151" t="s">
        <v>12</v>
      </c>
      <c r="J6" s="151" t="s">
        <v>17</v>
      </c>
      <c r="K6" s="151" t="s">
        <v>18</v>
      </c>
      <c r="L6" s="151" t="s">
        <v>29</v>
      </c>
      <c r="M6" s="39"/>
      <c r="N6" s="39"/>
      <c r="O6" s="39"/>
      <c r="P6" s="39"/>
      <c r="Q6" s="39"/>
      <c r="R6" s="39"/>
      <c r="S6" s="39"/>
      <c r="T6" s="39"/>
      <c r="U6" s="39"/>
      <c r="V6" s="39"/>
      <c r="W6" s="39"/>
      <c r="X6" s="39"/>
      <c r="Y6" s="39"/>
      <c r="Z6" s="39"/>
      <c r="AA6" s="39"/>
      <c r="AB6" s="39"/>
      <c r="AC6" s="39"/>
      <c r="AD6" s="39"/>
      <c r="AE6" s="39"/>
      <c r="AF6" s="39"/>
    </row>
    <row r="7" spans="1:32" x14ac:dyDescent="0.3">
      <c r="A7" s="39"/>
      <c r="B7" s="5" t="s">
        <v>13</v>
      </c>
      <c r="C7" s="41">
        <v>5.12</v>
      </c>
      <c r="D7" s="41">
        <v>5.1100000000000003</v>
      </c>
      <c r="E7" s="41">
        <f>SUM(C7:D7)</f>
        <v>10.23</v>
      </c>
      <c r="F7" s="39"/>
      <c r="G7" s="42"/>
      <c r="H7" s="42"/>
      <c r="I7" s="156" t="s">
        <v>13</v>
      </c>
      <c r="J7" s="43">
        <f>C7*0.5/E7</f>
        <v>0.25024437927663734</v>
      </c>
      <c r="K7" s="43">
        <f>D7*0.2/E7</f>
        <v>9.9902248289345061E-2</v>
      </c>
      <c r="L7" s="43">
        <f>1-K7-J7</f>
        <v>0.64985337243401764</v>
      </c>
      <c r="M7" s="39"/>
      <c r="N7" s="39"/>
      <c r="O7" s="39"/>
      <c r="P7" s="39"/>
      <c r="Q7" s="39"/>
      <c r="R7" s="39"/>
      <c r="S7" s="39"/>
      <c r="T7" s="39"/>
      <c r="U7" s="39"/>
      <c r="V7" s="39" t="s">
        <v>12</v>
      </c>
      <c r="W7" s="39" t="s">
        <v>17</v>
      </c>
      <c r="X7" s="39" t="s">
        <v>18</v>
      </c>
      <c r="Y7" s="39" t="s">
        <v>44</v>
      </c>
      <c r="Z7" s="39"/>
      <c r="AA7" s="39"/>
      <c r="AB7" s="39"/>
      <c r="AC7" s="39"/>
      <c r="AD7" s="39"/>
      <c r="AE7" s="39"/>
      <c r="AF7" s="39"/>
    </row>
    <row r="8" spans="1:32" x14ac:dyDescent="0.3">
      <c r="A8" s="39"/>
      <c r="B8" s="5"/>
      <c r="C8" s="41"/>
      <c r="D8" s="41"/>
      <c r="E8" s="41"/>
      <c r="F8" s="39"/>
      <c r="G8" s="42"/>
      <c r="H8" s="42"/>
      <c r="I8" s="156" t="s">
        <v>14</v>
      </c>
      <c r="J8" s="43"/>
      <c r="K8" s="43"/>
      <c r="L8" s="43"/>
      <c r="M8" s="39"/>
      <c r="N8" s="39"/>
      <c r="O8" s="39"/>
      <c r="P8" s="39"/>
      <c r="Q8" s="39"/>
      <c r="R8" s="39"/>
      <c r="S8" s="39"/>
      <c r="T8" s="39"/>
      <c r="U8" s="39"/>
      <c r="V8" s="197" t="s">
        <v>13</v>
      </c>
      <c r="W8" s="197">
        <f>J10</f>
        <v>0.25024437927663734</v>
      </c>
      <c r="X8" s="197">
        <f>K10</f>
        <v>9.9902248289345061E-2</v>
      </c>
      <c r="Y8" s="197">
        <f>L10</f>
        <v>0.64985337243401764</v>
      </c>
      <c r="Z8" s="39"/>
      <c r="AA8" s="39"/>
      <c r="AB8" s="39"/>
      <c r="AC8" s="39"/>
      <c r="AD8" s="39"/>
      <c r="AE8" s="39"/>
      <c r="AF8" s="39"/>
    </row>
    <row r="9" spans="1:32" x14ac:dyDescent="0.3">
      <c r="A9" s="39"/>
      <c r="B9" s="5"/>
      <c r="C9" s="41"/>
      <c r="D9" s="41"/>
      <c r="E9" s="41"/>
      <c r="F9" s="39"/>
      <c r="G9" s="42"/>
      <c r="H9" s="42"/>
      <c r="I9" s="156" t="s">
        <v>15</v>
      </c>
      <c r="J9" s="43"/>
      <c r="K9" s="43"/>
      <c r="L9" s="43"/>
      <c r="M9" s="39"/>
      <c r="N9" s="39"/>
      <c r="O9" s="39"/>
      <c r="P9" s="39" t="s">
        <v>1</v>
      </c>
      <c r="Q9" s="39" t="s">
        <v>42</v>
      </c>
      <c r="R9" s="39"/>
      <c r="S9" s="39"/>
      <c r="T9" s="39"/>
      <c r="U9" s="39"/>
      <c r="V9" s="197" t="s">
        <v>53</v>
      </c>
      <c r="W9" s="197">
        <f>W17</f>
        <v>0.14131838626276161</v>
      </c>
      <c r="X9" s="197">
        <f>X17</f>
        <v>0.14540954490937325</v>
      </c>
      <c r="Y9" s="197">
        <f>Y17</f>
        <v>0.7132720688278652</v>
      </c>
      <c r="Z9" s="39"/>
      <c r="AA9" s="39"/>
      <c r="AB9" s="39"/>
      <c r="AC9" s="39"/>
      <c r="AD9" s="39"/>
      <c r="AE9" s="39"/>
      <c r="AF9" s="39"/>
    </row>
    <row r="10" spans="1:32" x14ac:dyDescent="0.3">
      <c r="A10" s="39"/>
      <c r="B10" s="39"/>
      <c r="C10" s="42"/>
      <c r="D10" s="42"/>
      <c r="E10" s="42"/>
      <c r="F10" s="42"/>
      <c r="G10" s="42"/>
      <c r="H10" s="42"/>
      <c r="I10" s="156" t="s">
        <v>22</v>
      </c>
      <c r="J10" s="43">
        <f>AVERAGE(J7:J9)</f>
        <v>0.25024437927663734</v>
      </c>
      <c r="K10" s="43">
        <f>AVERAGE(K7:K9)</f>
        <v>9.9902248289345061E-2</v>
      </c>
      <c r="L10" s="43">
        <f>AVERAGE(L7:L9)</f>
        <v>0.64985337243401764</v>
      </c>
      <c r="M10" s="39"/>
      <c r="N10" s="39"/>
      <c r="O10" s="39"/>
      <c r="P10" s="39" t="s">
        <v>0</v>
      </c>
      <c r="Q10" s="39" t="s">
        <v>43</v>
      </c>
      <c r="R10" s="39"/>
      <c r="S10" s="39"/>
      <c r="T10" s="39"/>
      <c r="U10" s="39"/>
      <c r="V10" s="197" t="s">
        <v>14</v>
      </c>
      <c r="W10" s="197">
        <f>W26</f>
        <v>0.428003014150241</v>
      </c>
      <c r="X10" s="197">
        <v>1E-3</v>
      </c>
      <c r="Y10" s="197">
        <f>Y26</f>
        <v>0.55593933413066199</v>
      </c>
      <c r="Z10" s="39"/>
      <c r="AA10" s="39"/>
      <c r="AB10" s="39"/>
      <c r="AC10" s="39"/>
      <c r="AD10" s="39"/>
      <c r="AE10" s="39"/>
      <c r="AF10" s="39"/>
    </row>
    <row r="11" spans="1:32" x14ac:dyDescent="0.3">
      <c r="A11" s="39"/>
      <c r="B11" s="39" t="s">
        <v>31</v>
      </c>
      <c r="C11" s="42"/>
      <c r="D11" s="42"/>
      <c r="E11" s="42"/>
      <c r="F11" s="42"/>
      <c r="G11" s="42"/>
      <c r="H11" s="42"/>
      <c r="I11" s="156" t="s">
        <v>8</v>
      </c>
      <c r="J11" s="43" t="e">
        <f>_xlfn.STDEV.S(J7:J9)</f>
        <v>#DIV/0!</v>
      </c>
      <c r="K11" s="43" t="e">
        <f>_xlfn.STDEV.S(K7:K9)</f>
        <v>#DIV/0!</v>
      </c>
      <c r="L11" s="43" t="e">
        <f>_xlfn.STDEV.S(L7:L9)</f>
        <v>#DIV/0!</v>
      </c>
      <c r="M11" s="39"/>
      <c r="N11" s="39"/>
      <c r="O11" s="39"/>
      <c r="P11" s="39"/>
      <c r="Q11" s="39"/>
      <c r="R11" s="39"/>
      <c r="S11" s="39"/>
      <c r="T11" s="39"/>
      <c r="U11" s="39"/>
      <c r="V11" s="197"/>
      <c r="W11" s="197"/>
      <c r="X11" s="197"/>
      <c r="Y11" s="197"/>
      <c r="Z11" s="39"/>
      <c r="AA11" s="39"/>
      <c r="AB11" s="39"/>
      <c r="AC11" s="39"/>
      <c r="AD11" s="39"/>
      <c r="AE11" s="39"/>
      <c r="AF11" s="39"/>
    </row>
    <row r="12" spans="1:32" x14ac:dyDescent="0.3">
      <c r="A12" s="39"/>
      <c r="B12" s="39">
        <v>1.5</v>
      </c>
      <c r="C12" s="39"/>
      <c r="D12" s="39"/>
      <c r="E12" s="39"/>
      <c r="F12" s="39"/>
      <c r="G12" s="39"/>
      <c r="H12" s="39"/>
      <c r="I12" s="39"/>
      <c r="J12" s="39"/>
      <c r="K12" s="39"/>
      <c r="L12" s="39"/>
      <c r="M12" s="39"/>
      <c r="N12" s="39"/>
      <c r="O12" s="39"/>
      <c r="P12" s="39"/>
      <c r="Q12" s="39"/>
      <c r="R12" s="39"/>
      <c r="S12" s="39"/>
      <c r="T12" s="39"/>
      <c r="U12" s="39"/>
      <c r="V12" s="198" t="s">
        <v>20</v>
      </c>
      <c r="W12" s="199"/>
      <c r="X12" s="199"/>
      <c r="Y12" s="200"/>
      <c r="Z12" s="39"/>
      <c r="AA12" s="39"/>
      <c r="AB12" s="39"/>
      <c r="AC12" s="39"/>
      <c r="AD12" s="39"/>
      <c r="AE12" s="39"/>
      <c r="AF12" s="39"/>
    </row>
    <row r="13" spans="1:32" x14ac:dyDescent="0.3">
      <c r="A13" s="39"/>
      <c r="B13" s="151" t="s">
        <v>10</v>
      </c>
      <c r="C13" s="151" t="s">
        <v>23</v>
      </c>
      <c r="D13" s="151" t="s">
        <v>32</v>
      </c>
      <c r="E13" s="151" t="s">
        <v>24</v>
      </c>
      <c r="F13" s="151" t="s">
        <v>33</v>
      </c>
      <c r="G13" s="151" t="s">
        <v>28</v>
      </c>
      <c r="H13" s="151" t="s">
        <v>27</v>
      </c>
      <c r="I13" s="151" t="s">
        <v>26</v>
      </c>
      <c r="J13" s="39"/>
      <c r="K13" s="39"/>
      <c r="L13" s="151" t="s">
        <v>10</v>
      </c>
      <c r="M13" s="151" t="s">
        <v>30</v>
      </c>
      <c r="N13" s="151" t="s">
        <v>36</v>
      </c>
      <c r="O13" s="151" t="s">
        <v>35</v>
      </c>
      <c r="P13" s="151" t="s">
        <v>37</v>
      </c>
      <c r="Q13" s="151" t="s">
        <v>38</v>
      </c>
      <c r="R13" s="151" t="s">
        <v>39</v>
      </c>
      <c r="S13" s="151" t="s">
        <v>47</v>
      </c>
      <c r="T13" s="39"/>
      <c r="U13" s="39"/>
      <c r="V13" s="201" t="s">
        <v>10</v>
      </c>
      <c r="W13" s="201" t="s">
        <v>17</v>
      </c>
      <c r="X13" s="201" t="s">
        <v>18</v>
      </c>
      <c r="Y13" s="201" t="s">
        <v>44</v>
      </c>
      <c r="AA13" s="39"/>
      <c r="AB13" s="39"/>
      <c r="AC13" s="39"/>
      <c r="AD13" s="39"/>
      <c r="AE13" s="39"/>
      <c r="AF13" s="39"/>
    </row>
    <row r="14" spans="1:32" x14ac:dyDescent="0.3">
      <c r="A14" s="39"/>
      <c r="B14" s="151" t="s">
        <v>13</v>
      </c>
      <c r="C14" s="41">
        <v>0.5403</v>
      </c>
      <c r="D14" s="41">
        <v>2.0405000000000002</v>
      </c>
      <c r="E14" s="41">
        <v>1.3436999999999999</v>
      </c>
      <c r="F14" s="41">
        <v>1.0699999999999999E-2</v>
      </c>
      <c r="G14" s="41">
        <v>2.0059</v>
      </c>
      <c r="H14" s="41">
        <v>0.1</v>
      </c>
      <c r="I14" s="41">
        <v>0.20300000000000001</v>
      </c>
      <c r="J14" s="42"/>
      <c r="K14" s="42"/>
      <c r="L14" s="156" t="s">
        <v>13</v>
      </c>
      <c r="M14" s="41">
        <f>I14/0.01043</f>
        <v>19.46308724832215</v>
      </c>
      <c r="N14" s="41">
        <f>(M14*G14/H14)/1000000/F14</f>
        <v>3.6486922160195702E-2</v>
      </c>
      <c r="O14" s="41">
        <f>N14*D14/C14</f>
        <v>0.13779671417338393</v>
      </c>
      <c r="P14" s="41">
        <f>N14*0.1478+1.333</f>
        <v>1.3383927670952769</v>
      </c>
      <c r="Q14" s="41">
        <f>E14-(P14-1.333)</f>
        <v>1.338307232904723</v>
      </c>
      <c r="R14" s="41">
        <f>(Q14-1.333)/0.1358</f>
        <v>3.9081243775574474E-2</v>
      </c>
      <c r="S14" s="41">
        <f>R14*D14/C14</f>
        <v>0.14759444368695118</v>
      </c>
      <c r="T14" s="42"/>
      <c r="U14" s="42"/>
      <c r="V14" s="201" t="s">
        <v>13</v>
      </c>
      <c r="W14" s="43">
        <f>O14</f>
        <v>0.13779671417338393</v>
      </c>
      <c r="X14" s="43">
        <f>S14</f>
        <v>0.14759444368695118</v>
      </c>
      <c r="Y14" s="43">
        <f>1-X14-W14</f>
        <v>0.71460884213966491</v>
      </c>
      <c r="Z14" s="42"/>
      <c r="AA14" s="42"/>
      <c r="AB14" s="39"/>
      <c r="AC14" s="39"/>
      <c r="AD14" s="39"/>
      <c r="AE14" s="39"/>
      <c r="AF14" s="39"/>
    </row>
    <row r="15" spans="1:32" x14ac:dyDescent="0.3">
      <c r="A15" s="39"/>
      <c r="B15" s="151" t="s">
        <v>14</v>
      </c>
      <c r="C15" s="41">
        <v>0.54190000000000005</v>
      </c>
      <c r="D15" s="41">
        <v>2.0404</v>
      </c>
      <c r="E15" s="41">
        <v>1.3438000000000001</v>
      </c>
      <c r="F15" s="41">
        <v>1.0200000000000001E-2</v>
      </c>
      <c r="G15" s="41">
        <v>2.0131999999999999</v>
      </c>
      <c r="H15" s="41">
        <v>0.1</v>
      </c>
      <c r="I15" s="41">
        <v>0.193</v>
      </c>
      <c r="J15" s="42"/>
      <c r="K15" s="42"/>
      <c r="L15" s="156" t="s">
        <v>14</v>
      </c>
      <c r="M15" s="41">
        <f t="shared" ref="M15:M16" si="0">I15/0.01043</f>
        <v>18.504314477468839</v>
      </c>
      <c r="N15" s="41">
        <f>(M15*G15/H15)/1000000/F15</f>
        <v>3.6522437162784568E-2</v>
      </c>
      <c r="O15" s="41">
        <f>N15*D15/C15</f>
        <v>0.13751684957915783</v>
      </c>
      <c r="P15" s="41">
        <f>N15*0.1478+1.333</f>
        <v>1.3383980162126594</v>
      </c>
      <c r="Q15" s="41">
        <f t="shared" ref="Q15:Q16" si="1">E15-(P15-1.333)</f>
        <v>1.3384019837873407</v>
      </c>
      <c r="R15" s="41">
        <f t="shared" ref="R15:R16" si="2">(Q15-1.333)/0.1358</f>
        <v>3.9778967506190657E-2</v>
      </c>
      <c r="S15" s="41">
        <f>R15*D15/C15</f>
        <v>0.14977856670904485</v>
      </c>
      <c r="T15" s="42"/>
      <c r="U15" s="42"/>
      <c r="V15" s="201" t="s">
        <v>14</v>
      </c>
      <c r="W15" s="43">
        <f>O15</f>
        <v>0.13751684957915783</v>
      </c>
      <c r="X15" s="43">
        <f>S15</f>
        <v>0.14977856670904485</v>
      </c>
      <c r="Y15" s="43">
        <f>1-X15-W15</f>
        <v>0.71270458371179735</v>
      </c>
      <c r="Z15" s="42"/>
      <c r="AA15" s="42"/>
      <c r="AB15" s="39"/>
      <c r="AC15" s="39"/>
      <c r="AD15" s="39"/>
      <c r="AE15" s="39"/>
      <c r="AF15" s="39"/>
    </row>
    <row r="16" spans="1:32" x14ac:dyDescent="0.3">
      <c r="A16" s="39"/>
      <c r="B16" s="151" t="s">
        <v>15</v>
      </c>
      <c r="C16" s="41">
        <v>0.54249999999999998</v>
      </c>
      <c r="D16" s="41">
        <v>2.0394999999999999</v>
      </c>
      <c r="E16" s="41">
        <v>1.3438000000000001</v>
      </c>
      <c r="F16" s="41">
        <v>1.0699999999999999E-2</v>
      </c>
      <c r="G16" s="41">
        <v>2.0036999999999998</v>
      </c>
      <c r="H16" s="41">
        <v>0.1</v>
      </c>
      <c r="I16" s="41">
        <v>0.215</v>
      </c>
      <c r="J16" s="42"/>
      <c r="K16" s="42"/>
      <c r="L16" s="156" t="s">
        <v>15</v>
      </c>
      <c r="M16" s="41">
        <f t="shared" si="0"/>
        <v>20.613614573346116</v>
      </c>
      <c r="N16" s="41">
        <f>(M16*G16/H16)/1000000/F16</f>
        <v>3.8601401421134211E-2</v>
      </c>
      <c r="O16" s="41">
        <f>N16*D16/C16</f>
        <v>0.14511992294636539</v>
      </c>
      <c r="P16" s="41">
        <f>N16*0.1478+1.333</f>
        <v>1.3387052871300436</v>
      </c>
      <c r="Q16" s="41">
        <f t="shared" si="1"/>
        <v>1.3380947128699565</v>
      </c>
      <c r="R16" s="41">
        <f t="shared" si="2"/>
        <v>3.751629506595399E-2</v>
      </c>
      <c r="S16" s="41">
        <f>R16*D16/C16</f>
        <v>0.14104052310970167</v>
      </c>
      <c r="T16" s="42"/>
      <c r="U16" s="42"/>
      <c r="V16" s="201" t="s">
        <v>15</v>
      </c>
      <c r="W16" s="43">
        <f>O16</f>
        <v>0.14511992294636539</v>
      </c>
      <c r="X16" s="43">
        <f>S16</f>
        <v>0.14104052310970167</v>
      </c>
      <c r="Y16" s="43">
        <f>1-X16-W16</f>
        <v>0.71383955394393306</v>
      </c>
      <c r="Z16" s="156" t="s">
        <v>69</v>
      </c>
      <c r="AA16" s="156" t="s">
        <v>8</v>
      </c>
      <c r="AB16" s="44"/>
      <c r="AC16" s="44"/>
      <c r="AD16" s="44"/>
      <c r="AE16" s="39"/>
      <c r="AF16" s="39"/>
    </row>
    <row r="17" spans="1:32" x14ac:dyDescent="0.3">
      <c r="A17" s="39"/>
      <c r="B17" s="151" t="s">
        <v>22</v>
      </c>
      <c r="C17" s="41">
        <f>AVERAGE(C14:C16)</f>
        <v>0.54156666666666664</v>
      </c>
      <c r="D17" s="41">
        <f>C17+1.5</f>
        <v>2.0415666666666668</v>
      </c>
      <c r="E17" s="41">
        <f>AVERAGE(E14:E16)</f>
        <v>1.3437666666666666</v>
      </c>
      <c r="F17" s="41">
        <f>AVERAGE(F14:F16)</f>
        <v>1.0533333333333334E-2</v>
      </c>
      <c r="G17" s="41">
        <f>AVERAGE(G14:G16)</f>
        <v>2.0076000000000001</v>
      </c>
      <c r="H17" s="41">
        <f>AVERAGE(H14:H16)</f>
        <v>0.10000000000000002</v>
      </c>
      <c r="I17" s="41">
        <f>AVERAGE(I14:I16)</f>
        <v>0.20366666666666666</v>
      </c>
      <c r="J17" s="42"/>
      <c r="K17" s="42"/>
      <c r="L17" s="156" t="s">
        <v>22</v>
      </c>
      <c r="M17" s="41">
        <f>AVERAGE(M14:M16)</f>
        <v>19.527005433045701</v>
      </c>
      <c r="N17" s="41">
        <f>AVERAGE(N14:N16)</f>
        <v>3.720358691470483E-2</v>
      </c>
      <c r="O17" s="41">
        <f>AVERAGE(O15:O16)</f>
        <v>0.14131838626276161</v>
      </c>
      <c r="P17" s="41">
        <f>AVERAGE(P15:P16)</f>
        <v>1.3385516516713514</v>
      </c>
      <c r="Q17" s="41">
        <f>AVERAGE(Q15:Q16)</f>
        <v>1.3382483483286487</v>
      </c>
      <c r="R17" s="41">
        <f>AVERAGE(R15:R16)</f>
        <v>3.864763128607232E-2</v>
      </c>
      <c r="S17" s="193">
        <f>AVERAGE(S14,S15)</f>
        <v>0.14868650519799803</v>
      </c>
      <c r="T17" s="19"/>
      <c r="U17" s="42"/>
      <c r="V17" s="201" t="s">
        <v>22</v>
      </c>
      <c r="W17" s="43">
        <f>AVERAGE(W15:W16)</f>
        <v>0.14131838626276161</v>
      </c>
      <c r="X17" s="43">
        <f>AVERAGE(X15:X16)</f>
        <v>0.14540954490937325</v>
      </c>
      <c r="Y17" s="43">
        <f>AVERAGE(Y15:Y16)</f>
        <v>0.7132720688278652</v>
      </c>
      <c r="Z17" s="41">
        <f>C17/0.5</f>
        <v>1.0831333333333333</v>
      </c>
      <c r="AA17" s="41">
        <f>C18/0.5</f>
        <v>2.2744962812309274E-3</v>
      </c>
      <c r="AB17" s="39"/>
      <c r="AC17" s="39"/>
      <c r="AD17" s="39"/>
      <c r="AE17" s="39"/>
      <c r="AF17" s="39"/>
    </row>
    <row r="18" spans="1:32" x14ac:dyDescent="0.3">
      <c r="A18" s="39"/>
      <c r="B18" s="151" t="s">
        <v>8</v>
      </c>
      <c r="C18" s="41">
        <f t="shared" ref="C18:I18" si="3">_xlfn.STDEV.S(C14:C16)</f>
        <v>1.1372481406154637E-3</v>
      </c>
      <c r="D18" s="41">
        <f t="shared" si="3"/>
        <v>5.5075705472875107E-4</v>
      </c>
      <c r="E18" s="41">
        <f t="shared" si="3"/>
        <v>5.7735026919084416E-5</v>
      </c>
      <c r="F18" s="41">
        <f t="shared" si="3"/>
        <v>2.8867513459481214E-4</v>
      </c>
      <c r="G18" s="41">
        <f t="shared" si="3"/>
        <v>4.9729267036625439E-3</v>
      </c>
      <c r="H18" s="41">
        <f t="shared" si="3"/>
        <v>1.6996749443881478E-17</v>
      </c>
      <c r="I18" s="41">
        <f t="shared" si="3"/>
        <v>1.10151410945722E-2</v>
      </c>
      <c r="J18" s="42"/>
      <c r="K18" s="42"/>
      <c r="L18" s="156" t="s">
        <v>8</v>
      </c>
      <c r="M18" s="41">
        <f>_xlfn.STDEV.S(M14:M16)</f>
        <v>1.0561017348583128</v>
      </c>
      <c r="N18" s="41">
        <f>_xlfn.STDEV.S(N14:N16)</f>
        <v>1.2106731080851424E-3</v>
      </c>
      <c r="O18" s="41">
        <f>_xlfn.STDEV.S(O15:O16)</f>
        <v>5.3761847358113016E-3</v>
      </c>
      <c r="P18" s="41">
        <f>_xlfn.STDEV.S(P15:P16)</f>
        <v>2.1727334934373629E-4</v>
      </c>
      <c r="Q18" s="41">
        <f>_xlfn.STDEV.S(Q15:Q16)</f>
        <v>2.1727334934373629E-4</v>
      </c>
      <c r="R18" s="41">
        <f>_xlfn.STDEV.S(R15:R16)</f>
        <v>1.5999510260952603E-3</v>
      </c>
      <c r="S18" s="41">
        <f>_xlfn.STDEV.S(S15:S16)</f>
        <v>6.1787298833992747E-3</v>
      </c>
      <c r="T18" s="42"/>
      <c r="U18" s="42"/>
      <c r="V18" s="201" t="s">
        <v>8</v>
      </c>
      <c r="W18" s="43">
        <f>_xlfn.STDEV.S(W14:W16)</f>
        <v>4.3111180984155137E-3</v>
      </c>
      <c r="X18" s="43">
        <f>_xlfn.STDEV.S(X14:X16)</f>
        <v>4.5474841808879453E-3</v>
      </c>
      <c r="Y18" s="43">
        <f>_xlfn.STDEV.S(Y14:Y16)</f>
        <v>9.5796328357190721E-4</v>
      </c>
      <c r="Z18" s="41"/>
      <c r="AA18" s="41"/>
      <c r="AB18" s="39"/>
      <c r="AC18" s="39"/>
      <c r="AD18" s="39"/>
      <c r="AE18" s="39"/>
      <c r="AF18" s="39"/>
    </row>
    <row r="19" spans="1:32" x14ac:dyDescent="0.3">
      <c r="A19" s="39"/>
      <c r="B19" s="39"/>
      <c r="C19" s="42"/>
      <c r="D19" s="42"/>
      <c r="E19" s="42"/>
      <c r="F19" s="42"/>
      <c r="G19" s="42"/>
      <c r="H19" s="42"/>
      <c r="I19" s="42"/>
      <c r="J19" s="42"/>
      <c r="K19" s="42"/>
      <c r="L19" s="42"/>
      <c r="M19" s="42"/>
      <c r="N19" s="42"/>
      <c r="O19" s="42"/>
      <c r="P19" s="42"/>
      <c r="Q19" s="42"/>
      <c r="R19" s="42"/>
      <c r="S19" s="42"/>
      <c r="T19" s="42"/>
      <c r="U19" s="42"/>
      <c r="V19" s="197"/>
      <c r="W19" s="197"/>
      <c r="X19" s="197"/>
      <c r="Y19" s="197"/>
      <c r="Z19" s="42"/>
      <c r="AA19" s="42"/>
      <c r="AB19" s="39"/>
      <c r="AC19" s="39"/>
      <c r="AD19" s="39"/>
      <c r="AE19" s="39"/>
      <c r="AF19" s="39"/>
    </row>
    <row r="20" spans="1:32" x14ac:dyDescent="0.3">
      <c r="A20" s="39"/>
      <c r="B20" s="39"/>
      <c r="C20" s="42"/>
      <c r="D20" s="42"/>
      <c r="E20" s="42"/>
      <c r="F20" s="42"/>
      <c r="G20" s="42"/>
      <c r="H20" s="42"/>
      <c r="I20" s="42"/>
      <c r="J20" s="42"/>
      <c r="K20" s="42"/>
      <c r="L20" s="42"/>
      <c r="M20" s="42"/>
      <c r="N20" s="42"/>
      <c r="O20" s="42"/>
      <c r="P20" s="42"/>
      <c r="Q20" s="42"/>
      <c r="R20" s="42"/>
      <c r="S20" s="42"/>
      <c r="T20" s="42"/>
      <c r="U20" s="42"/>
      <c r="V20" s="197"/>
      <c r="W20" s="197"/>
      <c r="X20" s="197"/>
      <c r="Y20" s="197"/>
      <c r="Z20" s="42"/>
      <c r="AA20" s="42"/>
      <c r="AB20" s="39"/>
      <c r="AC20" s="39"/>
      <c r="AD20" s="39"/>
      <c r="AE20" s="39"/>
      <c r="AF20" s="39"/>
    </row>
    <row r="21" spans="1:32" x14ac:dyDescent="0.3">
      <c r="A21" s="39"/>
      <c r="B21" s="39"/>
      <c r="C21" s="42"/>
      <c r="D21" s="42"/>
      <c r="E21" s="42"/>
      <c r="F21" s="42"/>
      <c r="G21" s="42"/>
      <c r="H21" s="42"/>
      <c r="I21" s="42"/>
      <c r="J21" s="42"/>
      <c r="K21" s="42"/>
      <c r="L21" s="42"/>
      <c r="M21" s="42"/>
      <c r="N21" s="42"/>
      <c r="O21" s="42"/>
      <c r="P21" s="42"/>
      <c r="Q21" s="42"/>
      <c r="R21" s="42"/>
      <c r="S21" s="42"/>
      <c r="T21" s="42"/>
      <c r="U21" s="42"/>
      <c r="V21" s="288" t="s">
        <v>20</v>
      </c>
      <c r="W21" s="289"/>
      <c r="X21" s="289"/>
      <c r="Y21" s="290"/>
      <c r="Z21" s="42"/>
      <c r="AA21" s="42"/>
      <c r="AB21" s="39"/>
      <c r="AC21" s="39"/>
      <c r="AD21" s="39"/>
      <c r="AE21" s="39"/>
      <c r="AF21" s="39"/>
    </row>
    <row r="22" spans="1:32" x14ac:dyDescent="0.3">
      <c r="A22" s="39"/>
      <c r="B22" s="151" t="s">
        <v>11</v>
      </c>
      <c r="C22" s="156" t="s">
        <v>23</v>
      </c>
      <c r="D22" s="156" t="s">
        <v>32</v>
      </c>
      <c r="E22" s="156" t="s">
        <v>24</v>
      </c>
      <c r="F22" s="156" t="s">
        <v>25</v>
      </c>
      <c r="G22" s="156" t="s">
        <v>28</v>
      </c>
      <c r="H22" s="156" t="s">
        <v>27</v>
      </c>
      <c r="I22" s="156" t="s">
        <v>26</v>
      </c>
      <c r="J22" s="42"/>
      <c r="K22" s="42"/>
      <c r="L22" s="156" t="s">
        <v>11</v>
      </c>
      <c r="M22" s="156" t="s">
        <v>30</v>
      </c>
      <c r="N22" s="156" t="s">
        <v>34</v>
      </c>
      <c r="O22" s="156" t="s">
        <v>35</v>
      </c>
      <c r="P22" s="156" t="s">
        <v>37</v>
      </c>
      <c r="Q22" s="156" t="s">
        <v>38</v>
      </c>
      <c r="R22" s="156" t="s">
        <v>39</v>
      </c>
      <c r="S22" s="156" t="s">
        <v>47</v>
      </c>
      <c r="T22" s="42"/>
      <c r="U22" s="42"/>
      <c r="V22" s="201" t="s">
        <v>11</v>
      </c>
      <c r="W22" s="201" t="s">
        <v>17</v>
      </c>
      <c r="X22" s="201" t="s">
        <v>18</v>
      </c>
      <c r="Y22" s="201" t="s">
        <v>44</v>
      </c>
      <c r="Z22" s="42"/>
      <c r="AA22" s="42"/>
      <c r="AB22" s="39"/>
      <c r="AC22" s="39"/>
      <c r="AD22" s="39"/>
      <c r="AE22" s="39"/>
      <c r="AF22" s="39"/>
    </row>
    <row r="23" spans="1:32" x14ac:dyDescent="0.3">
      <c r="A23" s="39"/>
      <c r="B23" s="151" t="s">
        <v>13</v>
      </c>
      <c r="C23" s="41">
        <v>0.59350000000000003</v>
      </c>
      <c r="D23" s="41">
        <v>2.0907</v>
      </c>
      <c r="E23" s="41">
        <v>1.3514999999999999</v>
      </c>
      <c r="F23" s="41">
        <v>1.04E-2</v>
      </c>
      <c r="G23" s="41">
        <v>2.0034999999999998</v>
      </c>
      <c r="H23" s="41">
        <v>0.1</v>
      </c>
      <c r="I23" s="41">
        <v>0.746</v>
      </c>
      <c r="J23" s="42"/>
      <c r="K23" s="42"/>
      <c r="L23" s="156" t="s">
        <v>13</v>
      </c>
      <c r="M23" s="41">
        <f>I23/0.01043</f>
        <v>71.524448705656752</v>
      </c>
      <c r="N23" s="41">
        <f>(M23*G23/H23)/1000000/F23</f>
        <v>0.13778772402094547</v>
      </c>
      <c r="O23" s="41">
        <f>N23*D23/C23</f>
        <v>0.48537960338768443</v>
      </c>
      <c r="P23" s="41">
        <f>N23*0.1478+1.333</f>
        <v>1.3533650256102958</v>
      </c>
      <c r="Q23" s="41">
        <f>E23-(P23-1.333)</f>
        <v>1.3311349743897041</v>
      </c>
      <c r="R23" s="41">
        <f>(Q23-1.333)/0.1358</f>
        <v>-1.3733620105271646E-2</v>
      </c>
      <c r="S23" s="41">
        <f>R23*D23/C23</f>
        <v>-4.8378904050701645E-2</v>
      </c>
      <c r="T23" s="42"/>
      <c r="U23" s="42"/>
      <c r="V23" s="201" t="s">
        <v>13</v>
      </c>
      <c r="W23" s="43">
        <f>O23</f>
        <v>0.48537960338768443</v>
      </c>
      <c r="X23" s="43">
        <f>S23</f>
        <v>-4.8378904050701645E-2</v>
      </c>
      <c r="Y23" s="43">
        <f>1-X23-W23</f>
        <v>0.56299930066301718</v>
      </c>
      <c r="Z23" s="42"/>
      <c r="AA23" s="42"/>
      <c r="AB23" s="39"/>
      <c r="AC23" s="39"/>
      <c r="AD23" s="39"/>
      <c r="AE23" s="39"/>
      <c r="AF23" s="39"/>
    </row>
    <row r="24" spans="1:32" x14ac:dyDescent="0.3">
      <c r="A24" s="39"/>
      <c r="B24" s="151" t="s">
        <v>14</v>
      </c>
      <c r="C24" s="41">
        <v>0.59650000000000003</v>
      </c>
      <c r="D24" s="41">
        <v>2.097</v>
      </c>
      <c r="E24" s="41">
        <v>1.3515999999999999</v>
      </c>
      <c r="F24" s="41">
        <v>1.04E-2</v>
      </c>
      <c r="G24" s="41">
        <v>2.0024999999999999</v>
      </c>
      <c r="H24" s="41">
        <v>0.1</v>
      </c>
      <c r="I24" s="41">
        <v>0.66700000000000004</v>
      </c>
      <c r="J24" s="42"/>
      <c r="K24" s="42"/>
      <c r="L24" s="156" t="s">
        <v>14</v>
      </c>
      <c r="M24" s="41">
        <f t="shared" ref="M24:M25" si="4">I24/0.01043</f>
        <v>63.950143815915631</v>
      </c>
      <c r="N24" s="41">
        <f>(M24*G24/H24)/1000000/F24</f>
        <v>0.12313477210708755</v>
      </c>
      <c r="O24" s="41">
        <f>N24*D24/C24</f>
        <v>0.43288116866481574</v>
      </c>
      <c r="P24" s="41">
        <f>N24*0.1478+1.333</f>
        <v>1.3511993193174274</v>
      </c>
      <c r="Q24" s="41">
        <f t="shared" ref="Q24:Q25" si="5">E24-(P24-1.333)</f>
        <v>1.3334006806825724</v>
      </c>
      <c r="R24" s="41">
        <f t="shared" ref="R24:R25" si="6">(Q24-1.333)/0.1358</f>
        <v>2.9505204902244855E-3</v>
      </c>
      <c r="S24" s="41">
        <f>R24*D24/C24</f>
        <v>1.0372575805533522E-2</v>
      </c>
      <c r="T24" s="42"/>
      <c r="U24" s="42"/>
      <c r="V24" s="201" t="s">
        <v>14</v>
      </c>
      <c r="W24" s="43">
        <f>O24</f>
        <v>0.43288116866481574</v>
      </c>
      <c r="X24" s="43">
        <f>S24</f>
        <v>1.0372575805533522E-2</v>
      </c>
      <c r="Y24" s="43">
        <f>1-X24-W24</f>
        <v>0.55674625552965074</v>
      </c>
      <c r="Z24" s="42"/>
      <c r="AA24" s="42"/>
      <c r="AB24" s="39"/>
      <c r="AC24" s="39"/>
      <c r="AD24" s="39"/>
      <c r="AE24" s="39"/>
      <c r="AF24" s="39"/>
    </row>
    <row r="25" spans="1:32" x14ac:dyDescent="0.3">
      <c r="A25" s="39"/>
      <c r="B25" s="151" t="s">
        <v>15</v>
      </c>
      <c r="C25" s="41">
        <v>0.6</v>
      </c>
      <c r="D25" s="41">
        <v>2.1013000000000002</v>
      </c>
      <c r="E25" s="41">
        <v>1.3516999999999999</v>
      </c>
      <c r="F25" s="41">
        <v>1.0999999999999999E-2</v>
      </c>
      <c r="G25" s="41">
        <v>2.0030999999999999</v>
      </c>
      <c r="H25" s="41">
        <v>0.1</v>
      </c>
      <c r="I25" s="41">
        <v>0.69199999999999995</v>
      </c>
      <c r="J25" s="42"/>
      <c r="K25" s="42"/>
      <c r="L25" s="156" t="s">
        <v>15</v>
      </c>
      <c r="M25" s="41">
        <f t="shared" si="4"/>
        <v>66.34707574304889</v>
      </c>
      <c r="N25" s="41">
        <f>(M25*G25/H25)/1000000/F25</f>
        <v>0.12081802492809202</v>
      </c>
      <c r="O25" s="41">
        <f>N25*D25/C25</f>
        <v>0.42312485963566626</v>
      </c>
      <c r="P25" s="41">
        <f>N25*0.1478+1.333</f>
        <v>1.3508569040843719</v>
      </c>
      <c r="Q25" s="41">
        <f t="shared" si="5"/>
        <v>1.333843095915628</v>
      </c>
      <c r="R25" s="41">
        <f t="shared" si="6"/>
        <v>6.208364621708643E-3</v>
      </c>
      <c r="S25" s="41">
        <f>R25*D25/C25</f>
        <v>2.1742727632660622E-2</v>
      </c>
      <c r="T25" s="42"/>
      <c r="U25" s="42"/>
      <c r="V25" s="201" t="s">
        <v>15</v>
      </c>
      <c r="W25" s="43">
        <f>O25</f>
        <v>0.42312485963566626</v>
      </c>
      <c r="X25" s="43">
        <f>S25</f>
        <v>2.1742727632660622E-2</v>
      </c>
      <c r="Y25" s="43">
        <f>1-X25-W25</f>
        <v>0.55513241273167313</v>
      </c>
      <c r="Z25" s="156" t="s">
        <v>69</v>
      </c>
      <c r="AA25" s="156" t="s">
        <v>8</v>
      </c>
      <c r="AB25" s="39"/>
      <c r="AC25" s="39"/>
      <c r="AD25" s="39"/>
      <c r="AE25" s="39"/>
      <c r="AF25" s="39"/>
    </row>
    <row r="26" spans="1:32" x14ac:dyDescent="0.3">
      <c r="A26" s="39"/>
      <c r="B26" s="151" t="s">
        <v>22</v>
      </c>
      <c r="C26" s="41">
        <f>AVERAGE(C23:C25)</f>
        <v>0.59666666666666668</v>
      </c>
      <c r="D26" s="41">
        <f>C26+1.5</f>
        <v>2.0966666666666667</v>
      </c>
      <c r="E26" s="41">
        <f>AVERAGE(E23:E25)</f>
        <v>1.3516000000000001</v>
      </c>
      <c r="F26" s="41">
        <f>AVERAGE(F23:F25)</f>
        <v>1.0599999999999998E-2</v>
      </c>
      <c r="G26" s="41">
        <f>AVERAGE(G23:G25)</f>
        <v>2.0030333333333332</v>
      </c>
      <c r="H26" s="41">
        <f>AVERAGE(H23:H25)</f>
        <v>0.10000000000000002</v>
      </c>
      <c r="I26" s="41">
        <f>AVERAGE(I23:I25)</f>
        <v>0.70166666666666666</v>
      </c>
      <c r="J26" s="42"/>
      <c r="K26" s="42"/>
      <c r="L26" s="156" t="s">
        <v>22</v>
      </c>
      <c r="M26" s="41">
        <f t="shared" ref="M26:R26" si="7">AVERAGE(M23:M25)</f>
        <v>67.273889421540431</v>
      </c>
      <c r="N26" s="41">
        <f t="shared" si="7"/>
        <v>0.12724684035204167</v>
      </c>
      <c r="O26" s="41">
        <f t="shared" si="7"/>
        <v>0.4471285438960555</v>
      </c>
      <c r="P26" s="41">
        <f t="shared" si="7"/>
        <v>1.3518070830040319</v>
      </c>
      <c r="Q26" s="41">
        <f t="shared" si="7"/>
        <v>1.3327929169959682</v>
      </c>
      <c r="R26" s="41">
        <f t="shared" si="7"/>
        <v>-1.5249116644461722E-3</v>
      </c>
      <c r="S26" s="193">
        <f>AVERAGE(S23,S24)</f>
        <v>-1.900316412258406E-2</v>
      </c>
      <c r="T26" s="42"/>
      <c r="U26" s="42"/>
      <c r="V26" s="201" t="s">
        <v>22</v>
      </c>
      <c r="W26" s="43">
        <f>AVERAGE(W24:W25)</f>
        <v>0.428003014150241</v>
      </c>
      <c r="X26" s="43">
        <f>AVERAGE(X24:X25)</f>
        <v>1.6057651719097073E-2</v>
      </c>
      <c r="Y26" s="43">
        <f>AVERAGE(Y24:Y25)</f>
        <v>0.55593933413066199</v>
      </c>
      <c r="Z26" s="41">
        <f>C26/0.5</f>
        <v>1.1933333333333334</v>
      </c>
      <c r="AA26" s="41">
        <f>C27/0.5</f>
        <v>6.5064070986476609E-3</v>
      </c>
      <c r="AB26" s="39"/>
      <c r="AC26" s="39"/>
      <c r="AD26" s="39"/>
      <c r="AE26" s="39"/>
      <c r="AF26" s="39"/>
    </row>
    <row r="27" spans="1:32" x14ac:dyDescent="0.3">
      <c r="A27" s="39"/>
      <c r="B27" s="151" t="s">
        <v>8</v>
      </c>
      <c r="C27" s="41">
        <f t="shared" ref="C27:I27" si="8">_xlfn.STDEV.S(C23:C25)</f>
        <v>3.2532035493238304E-3</v>
      </c>
      <c r="D27" s="41">
        <f t="shared" si="8"/>
        <v>5.3313537993022126E-3</v>
      </c>
      <c r="E27" s="41">
        <f t="shared" si="8"/>
        <v>9.9999999999988987E-5</v>
      </c>
      <c r="F27" s="41">
        <f t="shared" si="8"/>
        <v>3.4641016151377535E-4</v>
      </c>
      <c r="G27" s="41">
        <f t="shared" si="8"/>
        <v>5.0332229568466117E-4</v>
      </c>
      <c r="H27" s="41">
        <f t="shared" si="8"/>
        <v>1.6996749443881478E-17</v>
      </c>
      <c r="I27" s="41">
        <f t="shared" si="8"/>
        <v>4.0377386410382389E-2</v>
      </c>
      <c r="J27" s="42"/>
      <c r="K27" s="42"/>
      <c r="L27" s="156" t="s">
        <v>8</v>
      </c>
      <c r="M27" s="41">
        <f t="shared" ref="M27:R27" si="9">_xlfn.STDEV.S(M23:M25)</f>
        <v>3.8712738648496985</v>
      </c>
      <c r="N27" s="41">
        <f t="shared" si="9"/>
        <v>9.2018748504784555E-3</v>
      </c>
      <c r="O27" s="41">
        <f t="shared" si="9"/>
        <v>3.3483638626083771E-2</v>
      </c>
      <c r="P27" s="41">
        <f t="shared" si="9"/>
        <v>1.3600371029008288E-3</v>
      </c>
      <c r="Q27" s="41">
        <f t="shared" si="9"/>
        <v>1.4527605012042571E-3</v>
      </c>
      <c r="R27" s="41">
        <f t="shared" si="9"/>
        <v>1.0697794559677887E-2</v>
      </c>
      <c r="S27" s="41">
        <f>_xlfn.STDEV.S(S24:S25)</f>
        <v>8.039911460082181E-3</v>
      </c>
      <c r="T27" s="42"/>
      <c r="U27" s="42"/>
      <c r="V27" s="201" t="s">
        <v>8</v>
      </c>
      <c r="W27" s="43">
        <f>_xlfn.STDEV.S(W23:W25)</f>
        <v>3.3483638626083771E-2</v>
      </c>
      <c r="X27" s="43">
        <f>_xlfn.STDEV.S(X24:X25)</f>
        <v>8.039911460082181E-3</v>
      </c>
      <c r="Y27" s="43">
        <f>_xlfn.STDEV.S(Y23:Y25)</f>
        <v>4.1551772473391261E-3</v>
      </c>
      <c r="Z27" s="3"/>
      <c r="AA27" s="19"/>
      <c r="AB27" s="39"/>
      <c r="AC27" s="39"/>
      <c r="AD27" s="39"/>
      <c r="AE27" s="39"/>
      <c r="AF27" s="39"/>
    </row>
    <row r="28" spans="1:32" x14ac:dyDescent="0.3">
      <c r="A28" s="39"/>
      <c r="B28" s="39"/>
      <c r="C28" s="42"/>
      <c r="D28" s="42"/>
      <c r="E28" s="42"/>
      <c r="F28" s="42"/>
      <c r="G28" s="42"/>
      <c r="H28" s="42"/>
      <c r="I28" s="42"/>
      <c r="J28" s="42"/>
      <c r="K28" s="42"/>
      <c r="L28" s="42"/>
      <c r="M28" s="42"/>
      <c r="N28" s="42"/>
      <c r="O28" s="42"/>
      <c r="P28" s="42"/>
      <c r="Q28" s="42"/>
      <c r="R28" s="42"/>
      <c r="S28" s="42"/>
      <c r="T28" s="42"/>
      <c r="U28" s="42"/>
      <c r="V28" s="197"/>
      <c r="W28" s="197"/>
      <c r="X28" s="197"/>
      <c r="Y28" s="197"/>
      <c r="Z28" s="42"/>
      <c r="AA28" s="42"/>
      <c r="AB28" s="39"/>
      <c r="AC28" s="39"/>
      <c r="AD28" s="39"/>
      <c r="AE28" s="39"/>
      <c r="AF28" s="39"/>
    </row>
    <row r="29" spans="1:32" x14ac:dyDescent="0.3">
      <c r="A29" s="39"/>
      <c r="B29" s="39"/>
      <c r="C29" s="42"/>
      <c r="D29" s="42"/>
      <c r="E29" s="42"/>
      <c r="F29" s="42"/>
      <c r="G29" s="42"/>
      <c r="H29" s="42"/>
      <c r="I29" s="42"/>
      <c r="J29" s="42"/>
      <c r="K29" s="42"/>
      <c r="L29" s="42"/>
      <c r="M29" s="42"/>
      <c r="N29" s="42"/>
      <c r="O29" s="42"/>
      <c r="P29" s="42"/>
      <c r="Q29" s="42"/>
      <c r="R29" s="42"/>
      <c r="S29" s="42"/>
      <c r="T29" s="42"/>
      <c r="U29" s="42"/>
      <c r="V29" s="197"/>
      <c r="W29" s="197"/>
      <c r="X29" s="197"/>
      <c r="Y29" s="197"/>
      <c r="Z29" s="42"/>
      <c r="AA29" s="42"/>
      <c r="AB29" s="39"/>
      <c r="AC29" s="39"/>
      <c r="AD29" s="39"/>
      <c r="AE29" s="39"/>
      <c r="AF29" s="39"/>
    </row>
    <row r="30" spans="1:32" x14ac:dyDescent="0.3">
      <c r="A30" s="39"/>
      <c r="B30" s="39"/>
      <c r="C30" s="42"/>
      <c r="D30" s="42"/>
      <c r="E30" s="42"/>
      <c r="F30" s="42"/>
      <c r="G30" s="42"/>
      <c r="H30" s="42"/>
      <c r="I30" s="42"/>
      <c r="J30" s="42"/>
      <c r="K30" s="42"/>
      <c r="L30" s="42"/>
      <c r="M30" s="42"/>
      <c r="N30" s="42"/>
      <c r="O30" s="42"/>
      <c r="P30" s="42"/>
      <c r="Q30" s="42"/>
      <c r="R30" s="42"/>
      <c r="S30" s="42"/>
      <c r="T30" s="42"/>
      <c r="U30" s="42"/>
      <c r="V30" s="197"/>
      <c r="W30" s="197"/>
      <c r="X30" s="197"/>
      <c r="Y30" s="197"/>
      <c r="Z30" s="42"/>
      <c r="AA30" s="42"/>
      <c r="AB30" s="39"/>
      <c r="AC30" s="39"/>
      <c r="AD30" s="39"/>
      <c r="AE30" s="39"/>
      <c r="AF30" s="39"/>
    </row>
    <row r="31" spans="1:32" x14ac:dyDescent="0.3">
      <c r="A31" s="39"/>
      <c r="B31" s="39"/>
      <c r="C31" s="42"/>
      <c r="D31" s="42"/>
      <c r="E31" s="42"/>
      <c r="F31" s="42"/>
      <c r="G31" s="42"/>
      <c r="H31" s="42"/>
      <c r="I31" s="42"/>
      <c r="J31" s="42"/>
      <c r="K31" s="42"/>
      <c r="L31" s="42"/>
      <c r="M31" s="42"/>
      <c r="N31" s="42"/>
      <c r="O31" s="42"/>
      <c r="P31" s="42"/>
      <c r="Q31" s="42"/>
      <c r="R31" s="42"/>
      <c r="S31" s="42"/>
      <c r="T31" s="42"/>
      <c r="U31" s="42"/>
      <c r="V31" s="197"/>
      <c r="W31" s="197"/>
      <c r="X31" s="197"/>
      <c r="Y31" s="197"/>
      <c r="Z31" s="42"/>
      <c r="AA31" s="42"/>
      <c r="AB31" s="39"/>
      <c r="AC31" s="39"/>
      <c r="AD31" s="39"/>
      <c r="AE31" s="39"/>
      <c r="AF31" s="39"/>
    </row>
    <row r="32" spans="1:32" x14ac:dyDescent="0.3">
      <c r="A32" s="39"/>
      <c r="B32" s="39"/>
      <c r="C32" s="42"/>
      <c r="D32" s="42"/>
      <c r="E32" s="42"/>
      <c r="F32" s="42"/>
      <c r="G32" s="42"/>
      <c r="H32" s="42"/>
      <c r="I32" s="42"/>
      <c r="J32" s="42"/>
      <c r="K32" s="42"/>
      <c r="L32" s="42"/>
      <c r="M32" s="42"/>
      <c r="N32" s="42"/>
      <c r="O32" s="42"/>
      <c r="P32" s="42"/>
      <c r="Q32" s="42"/>
      <c r="R32" s="42"/>
      <c r="S32" s="42"/>
      <c r="T32" s="42"/>
      <c r="U32" s="42"/>
      <c r="V32" s="197"/>
      <c r="W32" s="197"/>
      <c r="X32" s="197"/>
      <c r="Y32" s="197"/>
      <c r="Z32" s="42"/>
      <c r="AA32" s="42"/>
      <c r="AB32" s="39"/>
      <c r="AC32" s="39"/>
      <c r="AD32" s="39"/>
      <c r="AE32" s="39"/>
      <c r="AF32" s="39"/>
    </row>
    <row r="33" spans="1:32" x14ac:dyDescent="0.3">
      <c r="A33" s="39"/>
      <c r="B33" s="39"/>
      <c r="C33" s="42"/>
      <c r="D33" s="42"/>
      <c r="E33" s="42"/>
      <c r="F33" s="42"/>
      <c r="G33" s="42"/>
      <c r="H33" s="42"/>
      <c r="I33" s="42"/>
      <c r="J33" s="42"/>
      <c r="K33" s="42"/>
      <c r="L33" s="42"/>
      <c r="M33" s="42"/>
      <c r="N33" s="42"/>
      <c r="O33" s="42"/>
      <c r="P33" s="42"/>
      <c r="Q33" s="42"/>
      <c r="R33" s="42"/>
      <c r="S33" s="42"/>
      <c r="T33" s="42"/>
      <c r="U33" s="42"/>
      <c r="V33" s="197"/>
      <c r="W33" s="197"/>
      <c r="X33" s="197"/>
      <c r="Y33" s="197"/>
      <c r="Z33" s="42"/>
      <c r="AA33" s="42"/>
      <c r="AB33" s="39"/>
      <c r="AC33" s="39"/>
      <c r="AD33" s="39"/>
      <c r="AE33" s="39"/>
      <c r="AF33" s="39"/>
    </row>
    <row r="34" spans="1:32" x14ac:dyDescent="0.3">
      <c r="A34" s="192" t="s">
        <v>50</v>
      </c>
      <c r="B34" s="39"/>
      <c r="C34" s="42"/>
      <c r="D34" s="42"/>
      <c r="E34" s="42"/>
      <c r="F34" s="42"/>
      <c r="G34" s="42"/>
      <c r="H34" s="42"/>
      <c r="I34" s="42"/>
      <c r="J34" s="42"/>
      <c r="K34" s="42"/>
      <c r="L34" s="42"/>
      <c r="M34" s="42"/>
      <c r="N34" s="42"/>
      <c r="O34" s="42"/>
      <c r="P34" s="42"/>
      <c r="Q34" s="42"/>
      <c r="R34" s="42"/>
      <c r="S34" s="42"/>
      <c r="T34" s="42"/>
      <c r="U34" s="42"/>
      <c r="V34" s="197"/>
      <c r="W34" s="197"/>
      <c r="X34" s="197"/>
      <c r="Y34" s="197"/>
      <c r="Z34" s="42"/>
      <c r="AA34" s="42"/>
      <c r="AB34" s="39"/>
      <c r="AC34" s="39"/>
      <c r="AD34" s="39"/>
      <c r="AE34" s="39"/>
      <c r="AF34" s="39"/>
    </row>
    <row r="35" spans="1:32" x14ac:dyDescent="0.3">
      <c r="A35" s="39"/>
      <c r="B35" s="151"/>
      <c r="C35" s="287" t="s">
        <v>19</v>
      </c>
      <c r="D35" s="287"/>
      <c r="E35" s="287"/>
      <c r="F35" s="194"/>
      <c r="G35" s="195"/>
      <c r="H35" s="195"/>
      <c r="I35" s="156"/>
      <c r="J35" s="287" t="s">
        <v>20</v>
      </c>
      <c r="K35" s="287"/>
      <c r="L35" s="156"/>
      <c r="M35" s="42"/>
      <c r="N35" s="42"/>
      <c r="O35" s="42"/>
      <c r="P35" s="42"/>
      <c r="Q35" s="42"/>
      <c r="R35" s="42"/>
      <c r="S35" s="42"/>
      <c r="T35" s="42"/>
      <c r="U35" s="42"/>
      <c r="V35" s="197"/>
      <c r="W35" s="197"/>
      <c r="X35" s="197"/>
      <c r="Y35" s="197"/>
      <c r="Z35" s="42"/>
      <c r="AA35" s="42"/>
      <c r="AB35" s="39"/>
      <c r="AC35" s="39"/>
      <c r="AD35" s="39"/>
      <c r="AE35" s="39"/>
      <c r="AF35" s="39"/>
    </row>
    <row r="36" spans="1:32" x14ac:dyDescent="0.3">
      <c r="A36" s="39"/>
      <c r="B36" s="151" t="s">
        <v>12</v>
      </c>
      <c r="C36" s="156" t="s">
        <v>51</v>
      </c>
      <c r="D36" s="156" t="s">
        <v>16</v>
      </c>
      <c r="E36" s="156" t="s">
        <v>21</v>
      </c>
      <c r="F36" s="42"/>
      <c r="G36" s="42"/>
      <c r="H36" s="42"/>
      <c r="I36" s="156" t="s">
        <v>12</v>
      </c>
      <c r="J36" s="156" t="s">
        <v>17</v>
      </c>
      <c r="K36" s="156" t="s">
        <v>18</v>
      </c>
      <c r="L36" s="156" t="s">
        <v>29</v>
      </c>
      <c r="M36" s="42"/>
      <c r="N36" s="42"/>
      <c r="O36" s="42"/>
      <c r="P36" s="42"/>
      <c r="Q36" s="42"/>
      <c r="R36" s="42"/>
      <c r="S36" s="42"/>
      <c r="T36" s="42"/>
      <c r="U36" s="42"/>
      <c r="V36" s="197"/>
      <c r="W36" s="197"/>
      <c r="X36" s="197"/>
      <c r="Y36" s="197"/>
      <c r="Z36" s="42"/>
      <c r="AA36" s="42"/>
      <c r="AB36" s="39"/>
      <c r="AC36" s="39"/>
      <c r="AD36" s="39"/>
      <c r="AE36" s="39"/>
      <c r="AF36" s="39"/>
    </row>
    <row r="37" spans="1:32" x14ac:dyDescent="0.3">
      <c r="A37" s="39"/>
      <c r="B37" s="151" t="s">
        <v>13</v>
      </c>
      <c r="C37" s="41">
        <v>5.12</v>
      </c>
      <c r="D37" s="41">
        <v>5.0999999999999996</v>
      </c>
      <c r="E37" s="41">
        <f>SUM(C37:D37)</f>
        <v>10.219999999999999</v>
      </c>
      <c r="F37" s="42"/>
      <c r="G37" s="42"/>
      <c r="H37" s="42"/>
      <c r="I37" s="156" t="s">
        <v>13</v>
      </c>
      <c r="J37" s="43">
        <f>C37*0.6/E37</f>
        <v>0.30058708414872803</v>
      </c>
      <c r="K37" s="43">
        <f>D37*0.1/E37</f>
        <v>4.9902152641878673E-2</v>
      </c>
      <c r="L37" s="43">
        <f>1-K37-J37</f>
        <v>0.64951076320939327</v>
      </c>
      <c r="M37" s="42"/>
      <c r="N37" s="42"/>
      <c r="O37" s="42"/>
      <c r="P37" s="42"/>
      <c r="Q37" s="42"/>
      <c r="R37" s="42"/>
      <c r="S37" s="42"/>
      <c r="T37" s="42"/>
      <c r="U37" s="42"/>
      <c r="V37" s="197"/>
      <c r="W37" s="197" t="s">
        <v>17</v>
      </c>
      <c r="X37" s="197" t="s">
        <v>18</v>
      </c>
      <c r="Y37" s="197" t="s">
        <v>44</v>
      </c>
      <c r="Z37" s="42"/>
      <c r="AA37" s="42"/>
      <c r="AB37" s="39"/>
      <c r="AC37" s="39"/>
      <c r="AD37" s="39"/>
      <c r="AE37" s="39"/>
      <c r="AF37" s="39"/>
    </row>
    <row r="38" spans="1:32" x14ac:dyDescent="0.3">
      <c r="A38" s="39"/>
      <c r="B38" s="5"/>
      <c r="C38" s="41"/>
      <c r="D38" s="41"/>
      <c r="E38" s="41"/>
      <c r="F38" s="42"/>
      <c r="G38" s="42"/>
      <c r="H38" s="42"/>
      <c r="I38" s="156"/>
      <c r="J38" s="43"/>
      <c r="K38" s="43"/>
      <c r="L38" s="43"/>
      <c r="M38" s="42"/>
      <c r="N38" s="42"/>
      <c r="O38" s="42"/>
      <c r="P38" s="42"/>
      <c r="Q38" s="42"/>
      <c r="R38" s="42"/>
      <c r="S38" s="42"/>
      <c r="T38" s="42"/>
      <c r="U38" s="42"/>
      <c r="V38" s="197" t="s">
        <v>52</v>
      </c>
      <c r="W38" s="197">
        <f>J40</f>
        <v>0.30058708414872803</v>
      </c>
      <c r="X38" s="197">
        <f>K40</f>
        <v>4.9902152641878673E-2</v>
      </c>
      <c r="Y38" s="197">
        <f>L40</f>
        <v>0.64951076320939327</v>
      </c>
      <c r="Z38" s="42"/>
      <c r="AA38" s="42"/>
      <c r="AB38" s="39"/>
      <c r="AC38" s="39"/>
      <c r="AD38" s="39"/>
      <c r="AE38" s="39"/>
      <c r="AF38" s="39"/>
    </row>
    <row r="39" spans="1:32" x14ac:dyDescent="0.3">
      <c r="A39" s="39"/>
      <c r="B39" s="5"/>
      <c r="C39" s="41"/>
      <c r="D39" s="41"/>
      <c r="E39" s="41"/>
      <c r="F39" s="42"/>
      <c r="G39" s="42"/>
      <c r="H39" s="42"/>
      <c r="I39" s="156"/>
      <c r="J39" s="43"/>
      <c r="K39" s="43"/>
      <c r="L39" s="43"/>
      <c r="M39" s="42"/>
      <c r="N39" s="42"/>
      <c r="O39" s="42"/>
      <c r="P39" s="42" t="s">
        <v>1</v>
      </c>
      <c r="Q39" s="42" t="s">
        <v>42</v>
      </c>
      <c r="R39" s="42"/>
      <c r="S39" s="42"/>
      <c r="T39" s="42"/>
      <c r="U39" s="42"/>
      <c r="V39" s="197" t="s">
        <v>53</v>
      </c>
      <c r="W39" s="197">
        <f>W47</f>
        <v>0.19090136456015738</v>
      </c>
      <c r="X39" s="197">
        <f>X47</f>
        <v>9.0260384198242935E-2</v>
      </c>
      <c r="Y39" s="197">
        <f>Y47</f>
        <v>0.71883825124159972</v>
      </c>
      <c r="Z39" s="42"/>
      <c r="AA39" s="42"/>
      <c r="AB39" s="39"/>
      <c r="AC39" s="39"/>
      <c r="AD39" s="39"/>
      <c r="AE39" s="39"/>
      <c r="AF39" s="39"/>
    </row>
    <row r="40" spans="1:32" x14ac:dyDescent="0.3">
      <c r="A40" s="39"/>
      <c r="B40" s="39"/>
      <c r="C40" s="42"/>
      <c r="D40" s="42"/>
      <c r="E40" s="42"/>
      <c r="F40" s="42"/>
      <c r="G40" s="42"/>
      <c r="H40" s="42"/>
      <c r="I40" s="156" t="s">
        <v>22</v>
      </c>
      <c r="J40" s="43">
        <f>AVERAGE(J37:J39)</f>
        <v>0.30058708414872803</v>
      </c>
      <c r="K40" s="43">
        <f>AVERAGE(K37:K39)</f>
        <v>4.9902152641878673E-2</v>
      </c>
      <c r="L40" s="43">
        <f>AVERAGE(L37:L39)</f>
        <v>0.64951076320939327</v>
      </c>
      <c r="M40" s="42"/>
      <c r="N40" s="42"/>
      <c r="O40" s="42"/>
      <c r="P40" s="42" t="s">
        <v>0</v>
      </c>
      <c r="Q40" s="42" t="s">
        <v>43</v>
      </c>
      <c r="R40" s="42"/>
      <c r="S40" s="42"/>
      <c r="T40" s="42"/>
      <c r="U40" s="42"/>
      <c r="V40" s="197" t="s">
        <v>14</v>
      </c>
      <c r="W40" s="197">
        <f>W56</f>
        <v>0.38948910617414195</v>
      </c>
      <c r="X40" s="197">
        <f>0.001</f>
        <v>1E-3</v>
      </c>
      <c r="Y40" s="197">
        <f>Y56</f>
        <v>0.60951924524199863</v>
      </c>
      <c r="Z40" s="42"/>
      <c r="AA40" s="42"/>
      <c r="AB40" s="39"/>
      <c r="AC40" s="39"/>
      <c r="AD40" s="39"/>
      <c r="AE40" s="39"/>
      <c r="AF40" s="39"/>
    </row>
    <row r="41" spans="1:32" x14ac:dyDescent="0.3">
      <c r="A41" s="39"/>
      <c r="B41" s="39" t="s">
        <v>31</v>
      </c>
      <c r="C41" s="42"/>
      <c r="D41" s="42"/>
      <c r="E41" s="42"/>
      <c r="F41" s="42"/>
      <c r="G41" s="42"/>
      <c r="H41" s="42"/>
      <c r="I41" s="156" t="s">
        <v>8</v>
      </c>
      <c r="J41" s="43" t="e">
        <f>_xlfn.STDEV.S(J37:J39)</f>
        <v>#DIV/0!</v>
      </c>
      <c r="K41" s="43" t="e">
        <f>_xlfn.STDEV.S(K37:K39)</f>
        <v>#DIV/0!</v>
      </c>
      <c r="L41" s="43" t="e">
        <f>_xlfn.STDEV.S(L37:L39)</f>
        <v>#DIV/0!</v>
      </c>
      <c r="M41" s="42"/>
      <c r="N41" s="42"/>
      <c r="O41" s="42"/>
      <c r="P41" s="42"/>
      <c r="Q41" s="42"/>
      <c r="R41" s="42"/>
      <c r="S41" s="42"/>
      <c r="T41" s="42"/>
      <c r="U41" s="42"/>
      <c r="V41" s="197"/>
      <c r="W41" s="197"/>
      <c r="X41" s="197"/>
      <c r="Y41" s="197"/>
      <c r="Z41" s="42"/>
      <c r="AA41" s="42"/>
      <c r="AB41" s="39"/>
      <c r="AC41" s="39"/>
      <c r="AD41" s="39"/>
      <c r="AE41" s="39"/>
      <c r="AF41" s="39"/>
    </row>
    <row r="42" spans="1:32" x14ac:dyDescent="0.3">
      <c r="A42" s="39"/>
      <c r="B42" s="39">
        <v>1.5</v>
      </c>
      <c r="C42" s="42"/>
      <c r="D42" s="42"/>
      <c r="E42" s="42"/>
      <c r="F42" s="42"/>
      <c r="G42" s="42"/>
      <c r="H42" s="42"/>
      <c r="I42" s="42"/>
      <c r="J42" s="42"/>
      <c r="K42" s="42"/>
      <c r="L42" s="42"/>
      <c r="M42" s="42"/>
      <c r="N42" s="42"/>
      <c r="O42" s="42"/>
      <c r="P42" s="42"/>
      <c r="Q42" s="42"/>
      <c r="R42" s="42"/>
      <c r="S42" s="42"/>
      <c r="T42" s="42"/>
      <c r="U42" s="42"/>
      <c r="V42" s="198" t="s">
        <v>20</v>
      </c>
      <c r="W42" s="199"/>
      <c r="X42" s="199"/>
      <c r="Y42" s="200"/>
      <c r="Z42" s="42"/>
      <c r="AA42" s="42"/>
      <c r="AB42" s="39"/>
      <c r="AC42" s="39"/>
      <c r="AD42" s="39"/>
      <c r="AE42" s="39"/>
      <c r="AF42" s="39"/>
    </row>
    <row r="43" spans="1:32" x14ac:dyDescent="0.3">
      <c r="A43" s="39"/>
      <c r="B43" s="151" t="s">
        <v>10</v>
      </c>
      <c r="C43" s="156" t="s">
        <v>23</v>
      </c>
      <c r="D43" s="156" t="s">
        <v>32</v>
      </c>
      <c r="E43" s="156" t="s">
        <v>24</v>
      </c>
      <c r="F43" s="156" t="s">
        <v>33</v>
      </c>
      <c r="G43" s="156" t="s">
        <v>28</v>
      </c>
      <c r="H43" s="156" t="s">
        <v>27</v>
      </c>
      <c r="I43" s="156" t="s">
        <v>26</v>
      </c>
      <c r="J43" s="42"/>
      <c r="K43" s="42"/>
      <c r="L43" s="156" t="s">
        <v>10</v>
      </c>
      <c r="M43" s="156" t="s">
        <v>30</v>
      </c>
      <c r="N43" s="156" t="s">
        <v>36</v>
      </c>
      <c r="O43" s="156" t="s">
        <v>35</v>
      </c>
      <c r="P43" s="156" t="s">
        <v>37</v>
      </c>
      <c r="Q43" s="156" t="s">
        <v>38</v>
      </c>
      <c r="R43" s="156" t="s">
        <v>39</v>
      </c>
      <c r="S43" s="156" t="s">
        <v>47</v>
      </c>
      <c r="T43" s="42"/>
      <c r="U43" s="42"/>
      <c r="V43" s="201" t="s">
        <v>10</v>
      </c>
      <c r="W43" s="201" t="s">
        <v>17</v>
      </c>
      <c r="X43" s="201" t="s">
        <v>18</v>
      </c>
      <c r="Y43" s="201" t="s">
        <v>44</v>
      </c>
      <c r="Z43" s="42"/>
      <c r="AA43" s="42"/>
      <c r="AB43" s="39"/>
      <c r="AC43" s="39"/>
      <c r="AD43" s="39"/>
      <c r="AE43" s="39"/>
      <c r="AF43" s="39"/>
    </row>
    <row r="44" spans="1:32" x14ac:dyDescent="0.3">
      <c r="A44" s="39"/>
      <c r="B44" s="151" t="s">
        <v>13</v>
      </c>
      <c r="C44" s="41">
        <v>0.54610000000000003</v>
      </c>
      <c r="D44" s="41">
        <v>2.0474000000000001</v>
      </c>
      <c r="E44" s="41">
        <v>1.3438000000000001</v>
      </c>
      <c r="F44" s="41">
        <v>1.0200000000000001E-2</v>
      </c>
      <c r="G44" s="41">
        <v>1.9999</v>
      </c>
      <c r="H44" s="41">
        <v>0.1</v>
      </c>
      <c r="I44" s="41">
        <v>0.27800000000000002</v>
      </c>
      <c r="J44" s="42"/>
      <c r="K44" s="42"/>
      <c r="L44" s="156" t="s">
        <v>13</v>
      </c>
      <c r="M44" s="41">
        <f>I44/0.01043</f>
        <v>26.653883029721957</v>
      </c>
      <c r="N44" s="41">
        <f>(M44*G44/H44)/1000000/F44</f>
        <v>5.2259902618765626E-2</v>
      </c>
      <c r="O44" s="41">
        <f>N44*D44/C44</f>
        <v>0.19592917894462689</v>
      </c>
      <c r="P44" s="41">
        <f>N44*0.1478+1.333</f>
        <v>1.3407240136070535</v>
      </c>
      <c r="Q44" s="41">
        <f>E44-(P44-1.333)</f>
        <v>1.3360759863929466</v>
      </c>
      <c r="R44" s="41">
        <f>(Q44-1.333)/0.1358</f>
        <v>2.2650857090917485E-2</v>
      </c>
      <c r="S44" s="41">
        <f>R44*D44/C44</f>
        <v>8.4921012283362865E-2</v>
      </c>
      <c r="T44" s="42"/>
      <c r="U44" s="42"/>
      <c r="V44" s="201" t="s">
        <v>13</v>
      </c>
      <c r="W44" s="43">
        <f>O44</f>
        <v>0.19592917894462689</v>
      </c>
      <c r="X44" s="43">
        <f>S44</f>
        <v>8.4921012283362865E-2</v>
      </c>
      <c r="Y44" s="43">
        <f>1-X44-W44</f>
        <v>0.71914980877201018</v>
      </c>
      <c r="Z44" s="42"/>
      <c r="AA44" s="42"/>
      <c r="AB44" s="39"/>
      <c r="AC44" s="39"/>
      <c r="AD44" s="39"/>
      <c r="AE44" s="39"/>
      <c r="AF44" s="39"/>
    </row>
    <row r="45" spans="1:32" x14ac:dyDescent="0.3">
      <c r="A45" s="39"/>
      <c r="B45" s="151" t="s">
        <v>14</v>
      </c>
      <c r="C45" s="41">
        <v>0.54790000000000005</v>
      </c>
      <c r="D45" s="41">
        <v>2.0468999999999999</v>
      </c>
      <c r="E45" s="41">
        <v>1.3438000000000001</v>
      </c>
      <c r="F45" s="41">
        <v>1.0500000000000001E-2</v>
      </c>
      <c r="G45" s="41">
        <v>2.0041000000000002</v>
      </c>
      <c r="H45" s="41">
        <v>0.1</v>
      </c>
      <c r="I45" s="41">
        <v>0.28100000000000003</v>
      </c>
      <c r="J45" s="42"/>
      <c r="K45" s="42"/>
      <c r="L45" s="156" t="s">
        <v>14</v>
      </c>
      <c r="M45" s="41">
        <f t="shared" ref="M45:M46" si="10">I45/0.01043</f>
        <v>26.94151486097795</v>
      </c>
      <c r="N45" s="41">
        <f>(M45*G45/H45)/1000000/F45</f>
        <v>5.1422371364653247E-2</v>
      </c>
      <c r="O45" s="41">
        <f>N45*D45/C45</f>
        <v>0.1921088737841006</v>
      </c>
      <c r="P45" s="41">
        <f>N45*0.1478+1.333</f>
        <v>1.3406002264876957</v>
      </c>
      <c r="Q45" s="41">
        <f t="shared" ref="Q45:Q46" si="11">E45-(P45-1.333)</f>
        <v>1.3361997735123043</v>
      </c>
      <c r="R45" s="41">
        <f t="shared" ref="R45:R46" si="12">(Q45-1.333)/0.1358</f>
        <v>2.3562396997823139E-2</v>
      </c>
      <c r="S45" s="41">
        <f>R45*D45/C45</f>
        <v>8.8026775716087205E-2</v>
      </c>
      <c r="T45" s="42"/>
      <c r="U45" s="42"/>
      <c r="V45" s="201" t="s">
        <v>14</v>
      </c>
      <c r="W45" s="43">
        <f>O45</f>
        <v>0.1921088737841006</v>
      </c>
      <c r="X45" s="43">
        <f>S45</f>
        <v>8.8026775716087205E-2</v>
      </c>
      <c r="Y45" s="43">
        <f>1-X45-W45</f>
        <v>0.71986435049981223</v>
      </c>
      <c r="Z45" s="42"/>
      <c r="AA45" s="42"/>
      <c r="AB45" s="39"/>
      <c r="AC45" s="39"/>
      <c r="AD45" s="39"/>
      <c r="AE45" s="39"/>
      <c r="AF45" s="39"/>
    </row>
    <row r="46" spans="1:32" x14ac:dyDescent="0.3">
      <c r="A46" s="39"/>
      <c r="B46" s="151" t="s">
        <v>15</v>
      </c>
      <c r="C46" s="41">
        <v>0.54400000000000004</v>
      </c>
      <c r="D46" s="41">
        <v>2.044</v>
      </c>
      <c r="E46" s="41">
        <v>1.3438000000000001</v>
      </c>
      <c r="F46" s="41">
        <v>1.04E-2</v>
      </c>
      <c r="G46" s="41">
        <v>2.0042</v>
      </c>
      <c r="H46" s="41">
        <v>0.1</v>
      </c>
      <c r="I46" s="41">
        <v>0.26600000000000001</v>
      </c>
      <c r="J46" s="42"/>
      <c r="K46" s="42"/>
      <c r="L46" s="156" t="s">
        <v>15</v>
      </c>
      <c r="M46" s="41">
        <f t="shared" si="10"/>
        <v>25.503355704697988</v>
      </c>
      <c r="N46" s="41">
        <f>(M46*G46/H46)/1000000/F46</f>
        <v>4.9147909137842026E-2</v>
      </c>
      <c r="O46" s="41">
        <f>N46*D46/C46</f>
        <v>0.18466604095174466</v>
      </c>
      <c r="P46" s="41">
        <f>N46*0.1478+1.333</f>
        <v>1.3402640609705729</v>
      </c>
      <c r="Q46" s="41">
        <f t="shared" si="11"/>
        <v>1.3365359390294271</v>
      </c>
      <c r="R46" s="41">
        <f t="shared" si="12"/>
        <v>2.6037842632011567E-2</v>
      </c>
      <c r="S46" s="41">
        <f>R46*D46/C46</f>
        <v>9.7833364595278749E-2</v>
      </c>
      <c r="T46" s="42"/>
      <c r="U46" s="42"/>
      <c r="V46" s="201" t="s">
        <v>15</v>
      </c>
      <c r="W46" s="43">
        <f>O46</f>
        <v>0.18466604095174466</v>
      </c>
      <c r="X46" s="43">
        <f>S46</f>
        <v>9.7833364595278749E-2</v>
      </c>
      <c r="Y46" s="43">
        <f>1-X46-W46</f>
        <v>0.71750059445297665</v>
      </c>
      <c r="Z46" s="156" t="s">
        <v>69</v>
      </c>
      <c r="AA46" s="156" t="s">
        <v>8</v>
      </c>
      <c r="AB46" s="39"/>
      <c r="AC46" s="39"/>
      <c r="AD46" s="39"/>
      <c r="AE46" s="39"/>
      <c r="AF46" s="39"/>
    </row>
    <row r="47" spans="1:32" x14ac:dyDescent="0.3">
      <c r="A47" s="39"/>
      <c r="B47" s="151" t="s">
        <v>22</v>
      </c>
      <c r="C47" s="41">
        <f>AVERAGE(C44:C46)</f>
        <v>0.54600000000000004</v>
      </c>
      <c r="D47" s="41">
        <f>C47+1.5</f>
        <v>2.0460000000000003</v>
      </c>
      <c r="E47" s="41">
        <f>AVERAGE(E44:E46)</f>
        <v>1.3438000000000001</v>
      </c>
      <c r="F47" s="41">
        <f>AVERAGE(F44:F46)</f>
        <v>1.0366666666666668E-2</v>
      </c>
      <c r="G47" s="41">
        <f>AVERAGE(G44:G46)</f>
        <v>2.0027333333333335</v>
      </c>
      <c r="H47" s="41">
        <f>AVERAGE(H44:H46)</f>
        <v>0.10000000000000002</v>
      </c>
      <c r="I47" s="41">
        <f>AVERAGE(I44:I46)</f>
        <v>0.27500000000000002</v>
      </c>
      <c r="J47" s="42"/>
      <c r="K47" s="42"/>
      <c r="L47" s="156" t="s">
        <v>22</v>
      </c>
      <c r="M47" s="41">
        <f>AVERAGE(M44:M46)</f>
        <v>26.366251198465964</v>
      </c>
      <c r="N47" s="41">
        <f>AVERAGE(N44:N46)</f>
        <v>5.0943394373753635E-2</v>
      </c>
      <c r="O47" s="41">
        <f>AVERAGE(O45:O46)</f>
        <v>0.18838745736792262</v>
      </c>
      <c r="P47" s="41">
        <f>AVERAGE(P45:P46)</f>
        <v>1.3404321437291342</v>
      </c>
      <c r="Q47" s="41">
        <f>AVERAGE(Q45:Q46)</f>
        <v>1.3363678562708659</v>
      </c>
      <c r="R47" s="41">
        <f>AVERAGE(R45:R46)</f>
        <v>2.4800119814917351E-2</v>
      </c>
      <c r="S47" s="193">
        <f>AVERAGE(S44,S45)</f>
        <v>8.6473893999725035E-2</v>
      </c>
      <c r="T47" s="19"/>
      <c r="U47" s="42"/>
      <c r="V47" s="201" t="s">
        <v>22</v>
      </c>
      <c r="W47" s="43">
        <f>AVERAGE(W44:W46)</f>
        <v>0.19090136456015738</v>
      </c>
      <c r="X47" s="43">
        <f>AVERAGE(X44:X46)</f>
        <v>9.0260384198242935E-2</v>
      </c>
      <c r="Y47" s="43">
        <f>AVERAGE(Y44:Y46)</f>
        <v>0.71883825124159972</v>
      </c>
      <c r="Z47" s="41">
        <f>C47/0.5</f>
        <v>1.0920000000000001</v>
      </c>
      <c r="AA47" s="41">
        <f>C48/0.5</f>
        <v>3.9038442591886407E-3</v>
      </c>
      <c r="AB47" s="39"/>
      <c r="AC47" s="39"/>
      <c r="AD47" s="39"/>
      <c r="AE47" s="39"/>
      <c r="AF47" s="39"/>
    </row>
    <row r="48" spans="1:32" x14ac:dyDescent="0.3">
      <c r="A48" s="39"/>
      <c r="B48" s="151" t="s">
        <v>8</v>
      </c>
      <c r="C48" s="41">
        <f t="shared" ref="C48:I48" si="13">_xlfn.STDEV.S(C44:C46)</f>
        <v>1.9519221295943203E-3</v>
      </c>
      <c r="D48" s="41">
        <f t="shared" si="13"/>
        <v>1.8357559750685854E-3</v>
      </c>
      <c r="E48" s="41">
        <f t="shared" si="13"/>
        <v>0</v>
      </c>
      <c r="F48" s="41">
        <f t="shared" si="13"/>
        <v>1.5275252316519452E-4</v>
      </c>
      <c r="G48" s="41">
        <f t="shared" si="13"/>
        <v>2.4542480178933765E-3</v>
      </c>
      <c r="H48" s="41">
        <f t="shared" si="13"/>
        <v>1.6996749443881478E-17</v>
      </c>
      <c r="I48" s="41">
        <f t="shared" si="13"/>
        <v>7.9372539331937792E-3</v>
      </c>
      <c r="J48" s="42"/>
      <c r="K48" s="42"/>
      <c r="L48" s="156" t="s">
        <v>8</v>
      </c>
      <c r="M48" s="41">
        <f>_xlfn.STDEV.S(M44:M46)</f>
        <v>0.76100229464945079</v>
      </c>
      <c r="N48" s="41">
        <f>_xlfn.STDEV.S(N44:N46)</f>
        <v>1.6103384969273331E-3</v>
      </c>
      <c r="O48" s="41">
        <f>_xlfn.STDEV.S(O45:O46)</f>
        <v>5.2628775669967664E-3</v>
      </c>
      <c r="P48" s="41">
        <f>_xlfn.STDEV.S(P45:P46)</f>
        <v>2.3770491675860613E-4</v>
      </c>
      <c r="Q48" s="41">
        <f>_xlfn.STDEV.S(Q45:Q46)</f>
        <v>2.3770491675860613E-4</v>
      </c>
      <c r="R48" s="41">
        <f>_xlfn.STDEV.S(R45:R46)</f>
        <v>1.7504043943932705E-3</v>
      </c>
      <c r="S48" s="41">
        <f>_xlfn.STDEV.S(S45:S46)</f>
        <v>6.9343054967849257E-3</v>
      </c>
      <c r="T48" s="42"/>
      <c r="U48" s="42"/>
      <c r="V48" s="201" t="s">
        <v>8</v>
      </c>
      <c r="W48" s="43">
        <f>_xlfn.STDEV.S(W44:W46)</f>
        <v>5.7278380088919886E-3</v>
      </c>
      <c r="X48" s="43">
        <f>_xlfn.STDEV.S(X44:X46)</f>
        <v>6.7397303874434326E-3</v>
      </c>
      <c r="Y48" s="43">
        <f>_xlfn.STDEV.S(Y44:Y46)</f>
        <v>1.2122857473815991E-3</v>
      </c>
      <c r="Z48" s="41">
        <f>C48/0.5</f>
        <v>3.9038442591886407E-3</v>
      </c>
      <c r="AA48" s="41"/>
      <c r="AB48" s="39"/>
      <c r="AC48" s="39"/>
      <c r="AD48" s="39"/>
      <c r="AE48" s="39"/>
      <c r="AF48" s="39"/>
    </row>
    <row r="49" spans="1:35" x14ac:dyDescent="0.3">
      <c r="A49" s="39"/>
      <c r="B49" s="39"/>
      <c r="C49" s="42"/>
      <c r="D49" s="42"/>
      <c r="E49" s="42"/>
      <c r="F49" s="42"/>
      <c r="G49" s="42"/>
      <c r="H49" s="42"/>
      <c r="I49" s="42"/>
      <c r="J49" s="42"/>
      <c r="K49" s="42"/>
      <c r="L49" s="42"/>
      <c r="M49" s="42"/>
      <c r="N49" s="42"/>
      <c r="O49" s="42"/>
      <c r="P49" s="42"/>
      <c r="Q49" s="42"/>
      <c r="R49" s="42"/>
      <c r="S49" s="42"/>
      <c r="T49" s="42"/>
      <c r="U49" s="42"/>
      <c r="V49" s="197"/>
      <c r="W49" s="197"/>
      <c r="X49" s="197"/>
      <c r="Y49" s="197"/>
      <c r="Z49" s="42"/>
      <c r="AA49" s="42"/>
      <c r="AB49" s="39"/>
      <c r="AC49" s="39"/>
      <c r="AD49" s="39"/>
      <c r="AE49" s="39"/>
      <c r="AF49" s="39"/>
      <c r="AH49" s="12"/>
      <c r="AI49" s="12"/>
    </row>
    <row r="50" spans="1:35" x14ac:dyDescent="0.3">
      <c r="A50" s="39"/>
      <c r="B50" s="39"/>
      <c r="C50" s="42"/>
      <c r="D50" s="42"/>
      <c r="E50" s="42"/>
      <c r="F50" s="42"/>
      <c r="G50" s="42"/>
      <c r="H50" s="42"/>
      <c r="I50" s="42"/>
      <c r="J50" s="42"/>
      <c r="K50" s="42"/>
      <c r="L50" s="42"/>
      <c r="M50" s="42"/>
      <c r="N50" s="42"/>
      <c r="O50" s="42"/>
      <c r="P50" s="42"/>
      <c r="Q50" s="42"/>
      <c r="R50" s="42"/>
      <c r="S50" s="42"/>
      <c r="T50" s="42"/>
      <c r="U50" s="42"/>
      <c r="V50" s="197"/>
      <c r="W50" s="197"/>
      <c r="X50" s="197"/>
      <c r="Y50" s="197"/>
      <c r="Z50" s="42"/>
      <c r="AA50" s="42"/>
      <c r="AB50" s="39"/>
      <c r="AC50" s="39"/>
      <c r="AD50" s="39"/>
      <c r="AE50" s="39"/>
      <c r="AF50" s="39"/>
      <c r="AH50" s="12"/>
      <c r="AI50" s="12"/>
    </row>
    <row r="51" spans="1:35" x14ac:dyDescent="0.3">
      <c r="A51" s="39"/>
      <c r="B51" s="39"/>
      <c r="C51" s="42"/>
      <c r="D51" s="42"/>
      <c r="E51" s="42"/>
      <c r="F51" s="42"/>
      <c r="G51" s="42"/>
      <c r="H51" s="42"/>
      <c r="I51" s="42"/>
      <c r="J51" s="42"/>
      <c r="K51" s="42"/>
      <c r="L51" s="42"/>
      <c r="M51" s="42"/>
      <c r="N51" s="42"/>
      <c r="O51" s="42"/>
      <c r="P51" s="42"/>
      <c r="Q51" s="42"/>
      <c r="R51" s="42"/>
      <c r="S51" s="42"/>
      <c r="T51" s="42"/>
      <c r="U51" s="42"/>
      <c r="V51" s="288" t="s">
        <v>20</v>
      </c>
      <c r="W51" s="289"/>
      <c r="X51" s="289"/>
      <c r="Y51" s="290"/>
      <c r="Z51" s="42"/>
      <c r="AA51" s="42"/>
      <c r="AB51" s="39"/>
      <c r="AC51" s="39"/>
      <c r="AD51" s="39"/>
      <c r="AE51" s="39"/>
      <c r="AF51" s="39"/>
      <c r="AH51" s="12"/>
      <c r="AI51" s="12"/>
    </row>
    <row r="52" spans="1:35" x14ac:dyDescent="0.3">
      <c r="A52" s="39"/>
      <c r="B52" s="151" t="s">
        <v>11</v>
      </c>
      <c r="C52" s="156" t="s">
        <v>23</v>
      </c>
      <c r="D52" s="156" t="s">
        <v>32</v>
      </c>
      <c r="E52" s="156" t="s">
        <v>24</v>
      </c>
      <c r="F52" s="156" t="s">
        <v>25</v>
      </c>
      <c r="G52" s="156" t="s">
        <v>28</v>
      </c>
      <c r="H52" s="156" t="s">
        <v>27</v>
      </c>
      <c r="I52" s="156" t="s">
        <v>26</v>
      </c>
      <c r="J52" s="42"/>
      <c r="K52" s="42"/>
      <c r="L52" s="156" t="s">
        <v>11</v>
      </c>
      <c r="M52" s="156" t="s">
        <v>30</v>
      </c>
      <c r="N52" s="156" t="s">
        <v>34</v>
      </c>
      <c r="O52" s="156" t="s">
        <v>35</v>
      </c>
      <c r="P52" s="156" t="s">
        <v>37</v>
      </c>
      <c r="Q52" s="156" t="s">
        <v>38</v>
      </c>
      <c r="R52" s="156" t="s">
        <v>39</v>
      </c>
      <c r="S52" s="156" t="s">
        <v>47</v>
      </c>
      <c r="T52" s="42"/>
      <c r="U52" s="42"/>
      <c r="V52" s="201" t="s">
        <v>11</v>
      </c>
      <c r="W52" s="201" t="s">
        <v>17</v>
      </c>
      <c r="X52" s="201" t="s">
        <v>18</v>
      </c>
      <c r="Y52" s="201" t="s">
        <v>44</v>
      </c>
      <c r="Z52" s="42"/>
      <c r="AA52" s="42"/>
      <c r="AB52" s="39"/>
      <c r="AC52" s="39"/>
      <c r="AD52" s="39"/>
      <c r="AE52" s="39"/>
      <c r="AF52" s="39"/>
      <c r="AH52" s="12"/>
      <c r="AI52" s="12"/>
    </row>
    <row r="53" spans="1:35" x14ac:dyDescent="0.3">
      <c r="A53" s="39"/>
      <c r="B53" s="151" t="s">
        <v>13</v>
      </c>
      <c r="C53" s="41">
        <v>0.58189999999999997</v>
      </c>
      <c r="D53" s="41">
        <v>2.0809000000000002</v>
      </c>
      <c r="E53" s="41">
        <v>1.3491</v>
      </c>
      <c r="F53" s="41">
        <v>1.0500000000000001E-2</v>
      </c>
      <c r="G53" s="41">
        <v>2.0026000000000002</v>
      </c>
      <c r="H53" s="41">
        <v>0.1</v>
      </c>
      <c r="I53" s="41">
        <v>0.61499999999999999</v>
      </c>
      <c r="J53" s="42"/>
      <c r="K53" s="42"/>
      <c r="L53" s="156" t="s">
        <v>13</v>
      </c>
      <c r="M53" s="41">
        <f>I53/0.01043</f>
        <v>58.964525407478426</v>
      </c>
      <c r="N53" s="41">
        <f>(M53*G53/H53)/1000000/F53</f>
        <v>0.1124593891247774</v>
      </c>
      <c r="O53" s="41">
        <f>N53*D53/C53</f>
        <v>0.40215972302758091</v>
      </c>
      <c r="P53" s="41">
        <f>N53*0.1478+1.333</f>
        <v>1.3496214977126422</v>
      </c>
      <c r="Q53" s="41">
        <f>E53-(P53-1.333)</f>
        <v>1.3324785022873578</v>
      </c>
      <c r="R53" s="41">
        <f>(Q53-1.333)/0.1358</f>
        <v>-3.8401893419897268E-3</v>
      </c>
      <c r="S53" s="41">
        <f>R53*D53/C53</f>
        <v>-1.3732686031528482E-2</v>
      </c>
      <c r="T53" s="42"/>
      <c r="U53" s="42"/>
      <c r="V53" s="201" t="s">
        <v>13</v>
      </c>
      <c r="W53" s="43">
        <f>O53</f>
        <v>0.40215972302758091</v>
      </c>
      <c r="X53" s="43">
        <f>S53</f>
        <v>-1.3732686031528482E-2</v>
      </c>
      <c r="Y53" s="43">
        <f>1-X53-W53</f>
        <v>0.6115729630039477</v>
      </c>
      <c r="Z53" s="42"/>
      <c r="AA53" s="42"/>
      <c r="AB53" s="39"/>
      <c r="AC53" s="39"/>
      <c r="AD53" s="39"/>
      <c r="AE53" s="39"/>
      <c r="AF53" s="39"/>
      <c r="AH53" s="12"/>
      <c r="AI53" s="12"/>
    </row>
    <row r="54" spans="1:35" x14ac:dyDescent="0.3">
      <c r="A54" s="39"/>
      <c r="B54" s="151" t="s">
        <v>14</v>
      </c>
      <c r="C54" s="41">
        <v>0.5786</v>
      </c>
      <c r="D54" s="41">
        <v>2.0771999999999999</v>
      </c>
      <c r="E54" s="41">
        <v>1.349</v>
      </c>
      <c r="F54" s="41">
        <v>1.06E-2</v>
      </c>
      <c r="G54" s="41">
        <v>2.0026000000000002</v>
      </c>
      <c r="H54" s="41">
        <v>0.1</v>
      </c>
      <c r="I54" s="41">
        <v>0.61299999999999999</v>
      </c>
      <c r="J54" s="42"/>
      <c r="K54" s="42"/>
      <c r="L54" s="156" t="s">
        <v>14</v>
      </c>
      <c r="M54" s="41">
        <f t="shared" ref="M54:M55" si="14">I54/0.01043</f>
        <v>58.772770853307762</v>
      </c>
      <c r="N54" s="41">
        <f>(M54*G54/H54)/1000000/F54</f>
        <v>0.11103618010456048</v>
      </c>
      <c r="O54" s="41">
        <f>N54*D54/C54</f>
        <v>0.39862487610299518</v>
      </c>
      <c r="P54" s="41">
        <f>N54*0.1478+1.333</f>
        <v>1.3494111474194539</v>
      </c>
      <c r="Q54" s="41">
        <f t="shared" ref="Q54:Q55" si="15">E54-(P54-1.333)</f>
        <v>1.332588852580546</v>
      </c>
      <c r="R54" s="41">
        <f t="shared" ref="R54:R55" si="16">(Q54-1.333)/0.1358</f>
        <v>-3.0275951358904023E-3</v>
      </c>
      <c r="S54" s="41">
        <f>R54*D54/C54</f>
        <v>-1.0869202586020641E-2</v>
      </c>
      <c r="T54" s="42"/>
      <c r="U54" s="42"/>
      <c r="V54" s="201" t="s">
        <v>14</v>
      </c>
      <c r="W54" s="43">
        <f>O54</f>
        <v>0.39862487610299518</v>
      </c>
      <c r="X54" s="43">
        <f>S54</f>
        <v>-1.0869202586020641E-2</v>
      </c>
      <c r="Y54" s="43">
        <f>1-X54-W54</f>
        <v>0.61224432648302551</v>
      </c>
      <c r="Z54" s="42"/>
      <c r="AA54" s="42"/>
      <c r="AB54" s="39"/>
      <c r="AC54" s="39"/>
      <c r="AD54" s="39"/>
      <c r="AE54" s="39"/>
      <c r="AF54" s="39"/>
      <c r="AH54" s="12"/>
      <c r="AI54" s="12"/>
    </row>
    <row r="55" spans="1:35" x14ac:dyDescent="0.3">
      <c r="A55" s="39"/>
      <c r="B55" s="151" t="s">
        <v>15</v>
      </c>
      <c r="C55" s="41">
        <v>0.57969999999999999</v>
      </c>
      <c r="D55" s="41">
        <v>2.0775999999999999</v>
      </c>
      <c r="E55" s="41">
        <v>1.3491</v>
      </c>
      <c r="F55" s="41">
        <v>1.0699999999999999E-2</v>
      </c>
      <c r="G55" s="41">
        <v>2.0047000000000001</v>
      </c>
      <c r="H55" s="41">
        <v>0.1</v>
      </c>
      <c r="I55" s="41">
        <v>0.60499999999999998</v>
      </c>
      <c r="J55" s="42"/>
      <c r="K55" s="42"/>
      <c r="L55" s="156" t="s">
        <v>15</v>
      </c>
      <c r="M55" s="41">
        <f t="shared" si="14"/>
        <v>58.005752636625118</v>
      </c>
      <c r="N55" s="41">
        <f>(M55*G55/H55)/1000000/F55</f>
        <v>0.10867675916882466</v>
      </c>
      <c r="O55" s="41">
        <f>N55*D55/C55</f>
        <v>0.38948910617414195</v>
      </c>
      <c r="P55" s="41">
        <f>N55*0.1478+1.333</f>
        <v>1.3490624250051522</v>
      </c>
      <c r="Q55" s="41">
        <f t="shared" si="15"/>
        <v>1.3330375749948478</v>
      </c>
      <c r="R55" s="41">
        <f t="shared" si="16"/>
        <v>2.7669362921796696E-4</v>
      </c>
      <c r="S55" s="41">
        <f>R55*D55/C55</f>
        <v>9.9164858385932062E-4</v>
      </c>
      <c r="T55" s="42"/>
      <c r="U55" s="42"/>
      <c r="V55" s="201" t="s">
        <v>15</v>
      </c>
      <c r="W55" s="43">
        <f>O55</f>
        <v>0.38948910617414195</v>
      </c>
      <c r="X55" s="43">
        <f>S55</f>
        <v>9.9164858385932062E-4</v>
      </c>
      <c r="Y55" s="43">
        <f>1-X55-W55</f>
        <v>0.60951924524199863</v>
      </c>
      <c r="Z55" s="156" t="s">
        <v>69</v>
      </c>
      <c r="AA55" s="156" t="s">
        <v>8</v>
      </c>
      <c r="AB55" s="39"/>
      <c r="AC55" s="39"/>
      <c r="AD55" s="39"/>
      <c r="AE55" s="39"/>
      <c r="AF55" s="39"/>
      <c r="AH55" s="12"/>
      <c r="AI55" s="12"/>
    </row>
    <row r="56" spans="1:35" x14ac:dyDescent="0.3">
      <c r="A56" s="39"/>
      <c r="B56" s="151" t="s">
        <v>22</v>
      </c>
      <c r="C56" s="41">
        <f>AVERAGE(C53:C55)</f>
        <v>0.58006666666666662</v>
      </c>
      <c r="D56" s="41">
        <f>C56+1.5</f>
        <v>2.0800666666666667</v>
      </c>
      <c r="E56" s="41">
        <f>AVERAGE(E53:E55)</f>
        <v>1.3490666666666666</v>
      </c>
      <c r="F56" s="41">
        <f>AVERAGE(F53:F55)</f>
        <v>1.06E-2</v>
      </c>
      <c r="G56" s="41">
        <f>AVERAGE(G53:G55)</f>
        <v>2.0032999999999999</v>
      </c>
      <c r="H56" s="41">
        <f>AVERAGE(H53:H55)</f>
        <v>0.10000000000000002</v>
      </c>
      <c r="I56" s="41">
        <f>AVERAGE(I53:I55)</f>
        <v>0.61099999999999999</v>
      </c>
      <c r="J56" s="42"/>
      <c r="K56" s="42"/>
      <c r="L56" s="156" t="s">
        <v>22</v>
      </c>
      <c r="M56" s="41">
        <f t="shared" ref="M56:R56" si="17">AVERAGE(M53:M55)</f>
        <v>58.581016299137104</v>
      </c>
      <c r="N56" s="41">
        <f t="shared" si="17"/>
        <v>0.1107241094660542</v>
      </c>
      <c r="O56" s="41">
        <f t="shared" si="17"/>
        <v>0.39675790176823938</v>
      </c>
      <c r="P56" s="41">
        <f t="shared" si="17"/>
        <v>1.3493650233790826</v>
      </c>
      <c r="Q56" s="41">
        <f t="shared" si="17"/>
        <v>1.3327016432875838</v>
      </c>
      <c r="R56" s="41">
        <f t="shared" si="17"/>
        <v>-2.1970302828873875E-3</v>
      </c>
      <c r="S56" s="193">
        <f>AVERAGE(S53,S54)</f>
        <v>-1.2300944308774563E-2</v>
      </c>
      <c r="T56" s="42"/>
      <c r="U56" s="42"/>
      <c r="V56" s="201" t="s">
        <v>22</v>
      </c>
      <c r="W56" s="43">
        <f>AVERAGE(W55)</f>
        <v>0.38948910617414195</v>
      </c>
      <c r="X56" s="43">
        <f>ABS(AVERAGE(X55))</f>
        <v>9.9164858385932062E-4</v>
      </c>
      <c r="Y56" s="43">
        <f>AVERAGE(Y55)</f>
        <v>0.60951924524199863</v>
      </c>
      <c r="Z56" s="41">
        <f>C56/0.5</f>
        <v>1.1601333333333332</v>
      </c>
      <c r="AA56" s="41">
        <f>C57/0.5</f>
        <v>3.3605555096342518E-3</v>
      </c>
      <c r="AB56" s="39"/>
      <c r="AC56" s="39"/>
      <c r="AD56" s="39"/>
      <c r="AE56" s="39"/>
      <c r="AF56" s="39"/>
      <c r="AH56" s="12"/>
      <c r="AI56" s="12"/>
    </row>
    <row r="57" spans="1:35" x14ac:dyDescent="0.3">
      <c r="A57" s="39"/>
      <c r="B57" s="151" t="s">
        <v>8</v>
      </c>
      <c r="C57" s="41">
        <f t="shared" ref="C57:I57" si="18">_xlfn.STDEV.S(C53:C55)</f>
        <v>1.6802777548171259E-3</v>
      </c>
      <c r="D57" s="41">
        <f t="shared" si="18"/>
        <v>2.030599254735897E-3</v>
      </c>
      <c r="E57" s="41">
        <f t="shared" si="18"/>
        <v>5.7735026918956222E-5</v>
      </c>
      <c r="F57" s="41">
        <f t="shared" si="18"/>
        <v>9.9999999999999395E-5</v>
      </c>
      <c r="G57" s="41">
        <f t="shared" si="18"/>
        <v>1.2124355652982088E-3</v>
      </c>
      <c r="H57" s="41">
        <f t="shared" si="18"/>
        <v>1.6996749443881478E-17</v>
      </c>
      <c r="I57" s="41">
        <f t="shared" si="18"/>
        <v>5.2915026221291859E-3</v>
      </c>
      <c r="J57" s="42"/>
      <c r="K57" s="42"/>
      <c r="L57" s="156" t="s">
        <v>8</v>
      </c>
      <c r="M57" s="41">
        <f t="shared" ref="M57:R57" si="19">_xlfn.STDEV.S(M53:M55)</f>
        <v>0.50733486309963349</v>
      </c>
      <c r="N57" s="41">
        <f t="shared" si="19"/>
        <v>1.9105269975797413E-3</v>
      </c>
      <c r="O57" s="41">
        <f t="shared" si="19"/>
        <v>6.53837347791028E-3</v>
      </c>
      <c r="P57" s="41">
        <f t="shared" si="19"/>
        <v>2.8237589024236953E-4</v>
      </c>
      <c r="Q57" s="41">
        <f t="shared" si="19"/>
        <v>2.961112641569345E-4</v>
      </c>
      <c r="R57" s="41">
        <f t="shared" si="19"/>
        <v>2.1804953177977505E-3</v>
      </c>
      <c r="S57" s="41">
        <f>_xlfn.STDEV.S(S54:S55)</f>
        <v>8.3868882928665178E-3</v>
      </c>
      <c r="T57" s="42"/>
      <c r="U57" s="42"/>
      <c r="V57" s="201" t="s">
        <v>8</v>
      </c>
      <c r="W57" s="43">
        <f>_xlfn.STDEV.S(W53:W55)</f>
        <v>6.53837347791028E-3</v>
      </c>
      <c r="X57" s="43">
        <f>_xlfn.STDEV.S(X53:X55)</f>
        <v>7.8068918034286386E-3</v>
      </c>
      <c r="Y57" s="43">
        <f>_xlfn.STDEV.S(Y53:Y55)</f>
        <v>1.4197742389185906E-3</v>
      </c>
      <c r="Z57" s="41">
        <f>C57/0.5</f>
        <v>3.3605555096342518E-3</v>
      </c>
      <c r="AA57" s="41"/>
      <c r="AB57" s="39"/>
      <c r="AC57" s="39"/>
      <c r="AD57" s="39"/>
      <c r="AE57" s="39"/>
      <c r="AF57" s="39"/>
    </row>
    <row r="58" spans="1:35" x14ac:dyDescent="0.3">
      <c r="A58" s="39"/>
      <c r="B58" s="39"/>
      <c r="C58" s="42"/>
      <c r="D58" s="42"/>
      <c r="E58" s="42"/>
      <c r="F58" s="42"/>
      <c r="G58" s="42"/>
      <c r="H58" s="42"/>
      <c r="I58" s="42"/>
      <c r="J58" s="42"/>
      <c r="K58" s="42"/>
      <c r="L58" s="42"/>
      <c r="M58" s="42"/>
      <c r="N58" s="42"/>
      <c r="O58" s="42"/>
      <c r="P58" s="42"/>
      <c r="Q58" s="42"/>
      <c r="R58" s="42"/>
      <c r="S58" s="42"/>
      <c r="T58" s="42"/>
      <c r="U58" s="42"/>
      <c r="V58" s="197"/>
      <c r="W58" s="197"/>
      <c r="X58" s="197"/>
      <c r="Y58" s="197"/>
      <c r="Z58" s="42"/>
      <c r="AA58" s="42"/>
      <c r="AB58" s="39"/>
      <c r="AC58" s="39"/>
      <c r="AD58" s="39"/>
      <c r="AE58" s="39"/>
      <c r="AF58" s="39"/>
    </row>
    <row r="59" spans="1:35" x14ac:dyDescent="0.3">
      <c r="A59" s="39"/>
      <c r="B59" s="39"/>
      <c r="C59" s="42"/>
      <c r="D59" s="42"/>
      <c r="E59" s="42"/>
      <c r="F59" s="42"/>
      <c r="G59" s="42"/>
      <c r="H59" s="42"/>
      <c r="I59" s="42"/>
      <c r="J59" s="42"/>
      <c r="K59" s="42"/>
      <c r="L59" s="42"/>
      <c r="M59" s="42"/>
      <c r="N59" s="42"/>
      <c r="O59" s="42"/>
      <c r="P59" s="42"/>
      <c r="Q59" s="42"/>
      <c r="R59" s="42"/>
      <c r="S59" s="42"/>
      <c r="T59" s="42"/>
      <c r="U59" s="42"/>
      <c r="V59" s="197"/>
      <c r="W59" s="197"/>
      <c r="X59" s="197"/>
      <c r="Y59" s="197"/>
      <c r="Z59" s="42"/>
      <c r="AA59" s="42"/>
      <c r="AB59" s="39"/>
      <c r="AC59" s="39"/>
      <c r="AD59" s="39"/>
      <c r="AE59" s="39"/>
      <c r="AF59" s="39"/>
    </row>
    <row r="60" spans="1:35" x14ac:dyDescent="0.3">
      <c r="A60" s="39"/>
      <c r="B60" s="39"/>
      <c r="C60" s="42"/>
      <c r="D60" s="42"/>
      <c r="E60" s="42"/>
      <c r="F60" s="42"/>
      <c r="G60" s="42"/>
      <c r="H60" s="42"/>
      <c r="I60" s="42"/>
      <c r="J60" s="42"/>
      <c r="K60" s="42"/>
      <c r="L60" s="42"/>
      <c r="M60" s="42"/>
      <c r="N60" s="42"/>
      <c r="O60" s="42"/>
      <c r="P60" s="42"/>
      <c r="Q60" s="42"/>
      <c r="R60" s="42"/>
      <c r="S60" s="42"/>
      <c r="T60" s="42"/>
      <c r="U60" s="42"/>
      <c r="V60" s="197"/>
      <c r="W60" s="197"/>
      <c r="X60" s="197"/>
      <c r="Y60" s="197"/>
      <c r="Z60" s="42"/>
      <c r="AA60" s="42"/>
      <c r="AB60" s="39"/>
      <c r="AC60" s="39"/>
      <c r="AD60" s="39"/>
      <c r="AE60" s="39"/>
      <c r="AF60" s="39"/>
    </row>
    <row r="61" spans="1:35" x14ac:dyDescent="0.3">
      <c r="A61" s="192" t="s">
        <v>45</v>
      </c>
      <c r="B61" s="39"/>
      <c r="C61" s="42"/>
      <c r="D61" s="42"/>
      <c r="E61" s="42"/>
      <c r="F61" s="42"/>
      <c r="G61" s="42"/>
      <c r="H61" s="42"/>
      <c r="I61" s="42"/>
      <c r="J61" s="42"/>
      <c r="K61" s="42"/>
      <c r="L61" s="42"/>
      <c r="M61" s="42"/>
      <c r="N61" s="42"/>
      <c r="O61" s="42"/>
      <c r="P61" s="42"/>
      <c r="Q61" s="42"/>
      <c r="R61" s="42"/>
      <c r="S61" s="42"/>
      <c r="T61" s="42"/>
      <c r="U61" s="42"/>
      <c r="V61" s="197"/>
      <c r="W61" s="197"/>
      <c r="X61" s="197"/>
      <c r="Y61" s="197"/>
      <c r="Z61" s="42"/>
      <c r="AA61" s="42"/>
      <c r="AB61" s="39"/>
      <c r="AC61" s="39"/>
      <c r="AD61" s="39"/>
      <c r="AE61" s="39"/>
      <c r="AF61" s="39"/>
    </row>
    <row r="62" spans="1:35" x14ac:dyDescent="0.3">
      <c r="A62" s="39"/>
      <c r="B62" s="151"/>
      <c r="C62" s="287" t="s">
        <v>19</v>
      </c>
      <c r="D62" s="287"/>
      <c r="E62" s="287"/>
      <c r="F62" s="196"/>
      <c r="G62" s="195"/>
      <c r="H62" s="195"/>
      <c r="I62" s="156"/>
      <c r="J62" s="287" t="s">
        <v>20</v>
      </c>
      <c r="K62" s="287"/>
      <c r="L62" s="156"/>
      <c r="M62" s="42"/>
      <c r="N62" s="42"/>
      <c r="O62" s="42"/>
      <c r="P62" s="42"/>
      <c r="Q62" s="42"/>
      <c r="R62" s="42"/>
      <c r="S62" s="42"/>
      <c r="T62" s="42"/>
      <c r="U62" s="42"/>
      <c r="V62" s="197"/>
      <c r="W62" s="197"/>
      <c r="X62" s="197"/>
      <c r="Y62" s="197"/>
      <c r="Z62" s="42"/>
      <c r="AA62" s="42"/>
      <c r="AB62" s="39"/>
      <c r="AC62" s="39"/>
      <c r="AD62" s="39"/>
      <c r="AE62" s="39"/>
      <c r="AF62" s="39"/>
    </row>
    <row r="63" spans="1:35" x14ac:dyDescent="0.3">
      <c r="A63" s="39"/>
      <c r="B63" s="151" t="s">
        <v>12</v>
      </c>
      <c r="C63" s="156" t="s">
        <v>49</v>
      </c>
      <c r="D63" s="156" t="s">
        <v>40</v>
      </c>
      <c r="E63" s="156" t="s">
        <v>44</v>
      </c>
      <c r="F63" s="156" t="s">
        <v>21</v>
      </c>
      <c r="G63" s="42"/>
      <c r="H63" s="42"/>
      <c r="I63" s="156" t="s">
        <v>12</v>
      </c>
      <c r="J63" s="156" t="s">
        <v>17</v>
      </c>
      <c r="K63" s="156" t="s">
        <v>18</v>
      </c>
      <c r="L63" s="156" t="s">
        <v>29</v>
      </c>
      <c r="M63" s="42"/>
      <c r="N63" s="42"/>
      <c r="O63" s="42"/>
      <c r="P63" s="42"/>
      <c r="Q63" s="42"/>
      <c r="R63" s="42"/>
      <c r="S63" s="42"/>
      <c r="T63" s="42"/>
      <c r="U63" s="42"/>
      <c r="V63" s="197"/>
      <c r="W63" s="197"/>
      <c r="X63" s="197"/>
      <c r="Y63" s="197"/>
      <c r="Z63" s="42"/>
      <c r="AA63" s="42"/>
      <c r="AB63" s="39"/>
      <c r="AC63" s="39"/>
      <c r="AD63" s="39"/>
      <c r="AE63" s="39"/>
      <c r="AF63" s="39"/>
    </row>
    <row r="64" spans="1:35" x14ac:dyDescent="0.3">
      <c r="A64" s="39"/>
      <c r="B64" s="5" t="s">
        <v>13</v>
      </c>
      <c r="C64" s="41">
        <v>5</v>
      </c>
      <c r="D64" s="41">
        <v>2.5</v>
      </c>
      <c r="E64" s="41">
        <v>2.5099999999999998</v>
      </c>
      <c r="F64" s="41">
        <f>SUM(C64:E64)</f>
        <v>10.01</v>
      </c>
      <c r="G64" s="42"/>
      <c r="H64" s="42"/>
      <c r="I64" s="156" t="s">
        <v>13</v>
      </c>
      <c r="J64" s="43">
        <f>C64*0.5/F64</f>
        <v>0.24975024975024976</v>
      </c>
      <c r="K64" s="43">
        <f>D64*0.2/F64</f>
        <v>4.9950049950049952E-2</v>
      </c>
      <c r="L64" s="43">
        <f>1-K64-J64</f>
        <v>0.70029970029970035</v>
      </c>
      <c r="M64" s="42"/>
      <c r="N64" s="42"/>
      <c r="O64" s="42"/>
      <c r="P64" s="42"/>
      <c r="Q64" s="42"/>
      <c r="R64" s="42"/>
      <c r="S64" s="42"/>
      <c r="T64" s="42"/>
      <c r="U64" s="42"/>
      <c r="V64" s="197" t="s">
        <v>12</v>
      </c>
      <c r="W64" s="197" t="s">
        <v>17</v>
      </c>
      <c r="X64" s="197" t="s">
        <v>18</v>
      </c>
      <c r="Y64" s="197" t="s">
        <v>44</v>
      </c>
      <c r="Z64" s="42"/>
      <c r="AA64" s="42"/>
      <c r="AB64" s="39"/>
      <c r="AC64" s="39"/>
      <c r="AD64" s="39"/>
      <c r="AE64" s="39"/>
      <c r="AF64" s="39"/>
    </row>
    <row r="65" spans="1:32" x14ac:dyDescent="0.3">
      <c r="A65" s="39"/>
      <c r="B65" s="5"/>
      <c r="C65" s="41"/>
      <c r="D65" s="41"/>
      <c r="E65" s="41"/>
      <c r="F65" s="41"/>
      <c r="G65" s="42"/>
      <c r="H65" s="42"/>
      <c r="I65" s="156" t="s">
        <v>14</v>
      </c>
      <c r="J65" s="43"/>
      <c r="K65" s="43"/>
      <c r="L65" s="43"/>
      <c r="M65" s="42"/>
      <c r="N65" s="42"/>
      <c r="O65" s="42"/>
      <c r="P65" s="42"/>
      <c r="Q65" s="42"/>
      <c r="R65" s="42"/>
      <c r="S65" s="42"/>
      <c r="T65" s="42"/>
      <c r="U65" s="42"/>
      <c r="V65" s="197" t="s">
        <v>13</v>
      </c>
      <c r="W65" s="197">
        <f>J67</f>
        <v>0.24975024975024976</v>
      </c>
      <c r="X65" s="197">
        <f>K67</f>
        <v>4.9950049950049952E-2</v>
      </c>
      <c r="Y65" s="197">
        <f>L67</f>
        <v>0.70029970029970035</v>
      </c>
      <c r="Z65" s="42"/>
      <c r="AA65" s="42"/>
      <c r="AB65" s="39"/>
      <c r="AC65" s="39"/>
      <c r="AD65" s="39"/>
      <c r="AE65" s="39"/>
      <c r="AF65" s="39"/>
    </row>
    <row r="66" spans="1:32" x14ac:dyDescent="0.3">
      <c r="A66" s="39"/>
      <c r="B66" s="5"/>
      <c r="C66" s="41"/>
      <c r="D66" s="41"/>
      <c r="E66" s="41"/>
      <c r="F66" s="41"/>
      <c r="G66" s="42"/>
      <c r="H66" s="42"/>
      <c r="I66" s="156" t="s">
        <v>15</v>
      </c>
      <c r="J66" s="43"/>
      <c r="K66" s="43"/>
      <c r="L66" s="43"/>
      <c r="M66" s="42"/>
      <c r="N66" s="42"/>
      <c r="O66" s="42"/>
      <c r="P66" s="42" t="s">
        <v>1</v>
      </c>
      <c r="Q66" s="42" t="s">
        <v>42</v>
      </c>
      <c r="R66" s="42"/>
      <c r="S66" s="42"/>
      <c r="T66" s="42"/>
      <c r="U66" s="42"/>
      <c r="V66" s="197" t="s">
        <v>53</v>
      </c>
      <c r="W66" s="197">
        <f>W74</f>
        <v>0.17112661819258931</v>
      </c>
      <c r="X66" s="197">
        <f>X74</f>
        <v>8.6337103120981432E-2</v>
      </c>
      <c r="Y66" s="197">
        <f>Y74</f>
        <v>0.74253627868642924</v>
      </c>
      <c r="Z66" s="42"/>
      <c r="AA66" s="42"/>
      <c r="AB66" s="39"/>
      <c r="AC66" s="39"/>
      <c r="AD66" s="39"/>
      <c r="AE66" s="39"/>
      <c r="AF66" s="39"/>
    </row>
    <row r="67" spans="1:32" x14ac:dyDescent="0.3">
      <c r="A67" s="39"/>
      <c r="B67" s="39"/>
      <c r="C67" s="42"/>
      <c r="D67" s="42"/>
      <c r="E67" s="42"/>
      <c r="F67" s="42"/>
      <c r="G67" s="42"/>
      <c r="H67" s="42"/>
      <c r="I67" s="156" t="s">
        <v>22</v>
      </c>
      <c r="J67" s="43">
        <f>AVERAGE(J64:J66)</f>
        <v>0.24975024975024976</v>
      </c>
      <c r="K67" s="43">
        <f>AVERAGE(K64:K66)</f>
        <v>4.9950049950049952E-2</v>
      </c>
      <c r="L67" s="43">
        <f>AVERAGE(L64:L66)</f>
        <v>0.70029970029970035</v>
      </c>
      <c r="M67" s="42"/>
      <c r="N67" s="42"/>
      <c r="O67" s="42"/>
      <c r="P67" s="42" t="s">
        <v>0</v>
      </c>
      <c r="Q67" s="42" t="s">
        <v>43</v>
      </c>
      <c r="R67" s="42"/>
      <c r="S67" s="42"/>
      <c r="T67" s="42"/>
      <c r="U67" s="42"/>
      <c r="V67" s="197" t="s">
        <v>14</v>
      </c>
      <c r="W67" s="197">
        <f>W83</f>
        <v>0.33137956644433736</v>
      </c>
      <c r="X67" s="197">
        <f>X83</f>
        <v>1.2671609602289391E-2</v>
      </c>
      <c r="Y67" s="197">
        <f>Y83</f>
        <v>0.65594882395337328</v>
      </c>
      <c r="Z67" s="42"/>
      <c r="AA67" s="42"/>
      <c r="AB67" s="39"/>
      <c r="AC67" s="39"/>
      <c r="AD67" s="39"/>
      <c r="AE67" s="39"/>
      <c r="AF67" s="39"/>
    </row>
    <row r="68" spans="1:32" x14ac:dyDescent="0.3">
      <c r="A68" s="39"/>
      <c r="B68" s="39" t="s">
        <v>31</v>
      </c>
      <c r="C68" s="42"/>
      <c r="D68" s="42"/>
      <c r="E68" s="42"/>
      <c r="F68" s="42"/>
      <c r="G68" s="42"/>
      <c r="H68" s="42"/>
      <c r="I68" s="156" t="s">
        <v>8</v>
      </c>
      <c r="J68" s="43" t="e">
        <f>_xlfn.STDEV.S(J64:J66)</f>
        <v>#DIV/0!</v>
      </c>
      <c r="K68" s="43" t="e">
        <f>_xlfn.STDEV.S(K64:K66)</f>
        <v>#DIV/0!</v>
      </c>
      <c r="L68" s="43" t="e">
        <f>_xlfn.STDEV.S(L64:L66)</f>
        <v>#DIV/0!</v>
      </c>
      <c r="M68" s="42"/>
      <c r="N68" s="42"/>
      <c r="O68" s="42"/>
      <c r="P68" s="42"/>
      <c r="Q68" s="42"/>
      <c r="R68" s="42"/>
      <c r="S68" s="42"/>
      <c r="T68" s="42"/>
      <c r="U68" s="42"/>
      <c r="V68" s="197"/>
      <c r="W68" s="197"/>
      <c r="X68" s="197"/>
      <c r="Y68" s="197"/>
      <c r="Z68" s="42"/>
      <c r="AA68" s="42"/>
      <c r="AB68" s="39"/>
      <c r="AC68" s="39"/>
      <c r="AD68" s="39"/>
      <c r="AE68" s="39"/>
      <c r="AF68" s="39"/>
    </row>
    <row r="69" spans="1:32" x14ac:dyDescent="0.3">
      <c r="A69" s="39"/>
      <c r="B69" s="39">
        <v>1.5</v>
      </c>
      <c r="C69" s="42"/>
      <c r="D69" s="42"/>
      <c r="E69" s="42"/>
      <c r="F69" s="42"/>
      <c r="G69" s="42"/>
      <c r="H69" s="42"/>
      <c r="I69" s="42"/>
      <c r="J69" s="42"/>
      <c r="K69" s="42"/>
      <c r="L69" s="42"/>
      <c r="M69" s="42"/>
      <c r="N69" s="42"/>
      <c r="O69" s="42"/>
      <c r="P69" s="42"/>
      <c r="Q69" s="42"/>
      <c r="R69" s="42"/>
      <c r="S69" s="42"/>
      <c r="T69" s="42"/>
      <c r="U69" s="42"/>
      <c r="V69" s="198" t="s">
        <v>20</v>
      </c>
      <c r="W69" s="199"/>
      <c r="X69" s="199"/>
      <c r="Y69" s="200"/>
      <c r="Z69" s="42"/>
      <c r="AA69" s="42"/>
      <c r="AB69" s="39"/>
      <c r="AC69" s="39"/>
      <c r="AD69" s="39"/>
      <c r="AE69" s="39"/>
      <c r="AF69" s="39"/>
    </row>
    <row r="70" spans="1:32" x14ac:dyDescent="0.3">
      <c r="A70" s="39"/>
      <c r="B70" s="151" t="s">
        <v>10</v>
      </c>
      <c r="C70" s="156" t="s">
        <v>23</v>
      </c>
      <c r="D70" s="156" t="s">
        <v>32</v>
      </c>
      <c r="E70" s="156" t="s">
        <v>24</v>
      </c>
      <c r="F70" s="156" t="s">
        <v>33</v>
      </c>
      <c r="G70" s="156" t="s">
        <v>28</v>
      </c>
      <c r="H70" s="156" t="s">
        <v>27</v>
      </c>
      <c r="I70" s="156" t="s">
        <v>26</v>
      </c>
      <c r="J70" s="42"/>
      <c r="K70" s="42"/>
      <c r="L70" s="156" t="s">
        <v>10</v>
      </c>
      <c r="M70" s="156" t="s">
        <v>30</v>
      </c>
      <c r="N70" s="156" t="s">
        <v>36</v>
      </c>
      <c r="O70" s="156" t="s">
        <v>35</v>
      </c>
      <c r="P70" s="156" t="s">
        <v>37</v>
      </c>
      <c r="Q70" s="156" t="s">
        <v>38</v>
      </c>
      <c r="R70" s="156" t="s">
        <v>39</v>
      </c>
      <c r="S70" s="156" t="s">
        <v>47</v>
      </c>
      <c r="T70" s="42"/>
      <c r="U70" s="42"/>
      <c r="V70" s="201" t="s">
        <v>10</v>
      </c>
      <c r="W70" s="201" t="s">
        <v>17</v>
      </c>
      <c r="X70" s="201" t="s">
        <v>18</v>
      </c>
      <c r="Y70" s="201" t="s">
        <v>44</v>
      </c>
      <c r="Z70" s="42"/>
      <c r="AA70" s="42"/>
      <c r="AB70" s="39"/>
      <c r="AC70" s="39"/>
      <c r="AD70" s="39"/>
      <c r="AE70" s="39"/>
      <c r="AF70" s="39"/>
    </row>
    <row r="71" spans="1:32" x14ac:dyDescent="0.3">
      <c r="A71" s="39"/>
      <c r="B71" s="151" t="s">
        <v>13</v>
      </c>
      <c r="C71" s="41">
        <v>0.54330000000000001</v>
      </c>
      <c r="D71" s="41">
        <v>2.0406</v>
      </c>
      <c r="E71" s="41">
        <v>1.3428</v>
      </c>
      <c r="F71" s="41">
        <v>1.0200000000000001E-2</v>
      </c>
      <c r="G71" s="41">
        <v>2.0004</v>
      </c>
      <c r="H71" s="41">
        <v>0.1</v>
      </c>
      <c r="I71" s="41">
        <v>0.26200000000000001</v>
      </c>
      <c r="J71" s="42"/>
      <c r="K71" s="42"/>
      <c r="L71" s="156" t="s">
        <v>13</v>
      </c>
      <c r="M71" s="41">
        <f>I71/0.01043</f>
        <v>25.119846596356666</v>
      </c>
      <c r="N71" s="41">
        <f>(M71*G71/H71)/1000000/F71</f>
        <v>4.9264452089560651E-2</v>
      </c>
      <c r="O71" s="41">
        <f>N71*D71/C71</f>
        <v>0.18503412651197768</v>
      </c>
      <c r="P71" s="41">
        <f>N71*0.1478+1.333</f>
        <v>1.3402812860188371</v>
      </c>
      <c r="Q71" s="41">
        <f>E71-(P71-1.333)</f>
        <v>1.3355187139811628</v>
      </c>
      <c r="R71" s="41">
        <f>(Q71-1.333)/0.1358</f>
        <v>1.8547231083673628E-2</v>
      </c>
      <c r="S71" s="41">
        <f>R71*D71/C71</f>
        <v>6.9662211944311436E-2</v>
      </c>
      <c r="T71" s="42"/>
      <c r="U71" s="42"/>
      <c r="V71" s="201" t="s">
        <v>13</v>
      </c>
      <c r="W71" s="43">
        <f>O71</f>
        <v>0.18503412651197768</v>
      </c>
      <c r="X71" s="43">
        <f>S71</f>
        <v>6.9662211944311436E-2</v>
      </c>
      <c r="Y71" s="43">
        <f>1-X71-W71</f>
        <v>0.74530366154371086</v>
      </c>
      <c r="Z71" s="42"/>
      <c r="AA71" s="42"/>
      <c r="AB71" s="39"/>
      <c r="AC71" s="39"/>
      <c r="AD71" s="39"/>
      <c r="AE71" s="39"/>
      <c r="AF71" s="39"/>
    </row>
    <row r="72" spans="1:32" x14ac:dyDescent="0.3">
      <c r="A72" s="39"/>
      <c r="B72" s="151" t="s">
        <v>14</v>
      </c>
      <c r="C72" s="41">
        <v>0.54179999999999995</v>
      </c>
      <c r="D72" s="41">
        <v>2.0365000000000002</v>
      </c>
      <c r="E72" s="41">
        <v>1.3429</v>
      </c>
      <c r="F72" s="41">
        <v>1.03E-2</v>
      </c>
      <c r="G72" s="41">
        <v>1.9972000000000001</v>
      </c>
      <c r="H72" s="41">
        <v>0.1</v>
      </c>
      <c r="I72" s="41">
        <v>0.23499999999999999</v>
      </c>
      <c r="J72" s="42"/>
      <c r="K72" s="42"/>
      <c r="L72" s="156" t="s">
        <v>14</v>
      </c>
      <c r="M72" s="41">
        <f t="shared" ref="M72:M73" si="20">I72/0.01043</f>
        <v>22.531160115052732</v>
      </c>
      <c r="N72" s="41">
        <f>(M72*G72/H72)/1000000/F72</f>
        <v>4.3688575710469232E-2</v>
      </c>
      <c r="O72" s="41">
        <f>N72*D72/C72</f>
        <v>0.1642151798345711</v>
      </c>
      <c r="P72" s="41">
        <f>N72*0.1478+1.333</f>
        <v>1.3394571714900074</v>
      </c>
      <c r="Q72" s="41">
        <f t="shared" ref="Q72:Q73" si="21">E72-(P72-1.333)</f>
        <v>1.3364428285099925</v>
      </c>
      <c r="R72" s="41">
        <f t="shared" ref="R72:R73" si="22">(Q72-1.333)/0.1358</f>
        <v>2.535219815900263E-2</v>
      </c>
      <c r="S72" s="41">
        <f>R72*D72/C72</f>
        <v>9.5293007661145929E-2</v>
      </c>
      <c r="T72" s="42"/>
      <c r="U72" s="42"/>
      <c r="V72" s="201" t="s">
        <v>14</v>
      </c>
      <c r="W72" s="43">
        <f>O72</f>
        <v>0.1642151798345711</v>
      </c>
      <c r="X72" s="43">
        <f>S72</f>
        <v>9.5293007661145929E-2</v>
      </c>
      <c r="Y72" s="43">
        <f>1-X72-W72</f>
        <v>0.74049181250428298</v>
      </c>
      <c r="Z72" s="42"/>
      <c r="AA72" s="42"/>
      <c r="AB72" s="39"/>
      <c r="AC72" s="39"/>
      <c r="AD72" s="39"/>
      <c r="AE72" s="39"/>
      <c r="AF72" s="39"/>
    </row>
    <row r="73" spans="1:32" x14ac:dyDescent="0.3">
      <c r="A73" s="39"/>
      <c r="B73" s="151" t="s">
        <v>15</v>
      </c>
      <c r="C73" s="41">
        <v>0.54420000000000002</v>
      </c>
      <c r="D73" s="41">
        <v>2.0356000000000001</v>
      </c>
      <c r="E73" s="41">
        <v>1.3429</v>
      </c>
      <c r="F73" s="41">
        <v>1.03E-2</v>
      </c>
      <c r="G73" s="41">
        <v>1.9974000000000001</v>
      </c>
      <c r="H73" s="41">
        <v>0.1</v>
      </c>
      <c r="I73" s="41">
        <v>0.23599999999999999</v>
      </c>
      <c r="J73" s="42"/>
      <c r="K73" s="42"/>
      <c r="L73" s="156" t="s">
        <v>15</v>
      </c>
      <c r="M73" s="41">
        <f t="shared" si="20"/>
        <v>22.62703739213806</v>
      </c>
      <c r="N73" s="41">
        <f>(M73*G73/H73)/1000000/F73</f>
        <v>4.3878878142773359E-2</v>
      </c>
      <c r="O73" s="41">
        <f>N73*D73/C73</f>
        <v>0.16413054823121914</v>
      </c>
      <c r="P73" s="41">
        <f>N73*0.1478+1.333</f>
        <v>1.3394852981895018</v>
      </c>
      <c r="Q73" s="41">
        <f t="shared" si="21"/>
        <v>1.3364147018104982</v>
      </c>
      <c r="R73" s="41">
        <f t="shared" si="22"/>
        <v>2.5145079606024953E-2</v>
      </c>
      <c r="S73" s="41">
        <f>R73*D73/C73</f>
        <v>9.4056089757486944E-2</v>
      </c>
      <c r="T73" s="42"/>
      <c r="U73" s="42"/>
      <c r="V73" s="201" t="s">
        <v>15</v>
      </c>
      <c r="W73" s="43">
        <f>O73</f>
        <v>0.16413054823121914</v>
      </c>
      <c r="X73" s="43">
        <f>S73</f>
        <v>9.4056089757486944E-2</v>
      </c>
      <c r="Y73" s="43">
        <f>1-X73-W73</f>
        <v>0.74181336201129389</v>
      </c>
      <c r="Z73" s="156" t="s">
        <v>69</v>
      </c>
      <c r="AA73" s="156" t="s">
        <v>8</v>
      </c>
      <c r="AB73" s="44"/>
      <c r="AC73" s="44"/>
      <c r="AD73" s="44"/>
      <c r="AE73" s="39"/>
      <c r="AF73" s="39"/>
    </row>
    <row r="74" spans="1:32" x14ac:dyDescent="0.3">
      <c r="A74" s="39"/>
      <c r="B74" s="151" t="s">
        <v>22</v>
      </c>
      <c r="C74" s="41">
        <f>AVERAGE(C71:C73)</f>
        <v>0.54310000000000003</v>
      </c>
      <c r="D74" s="41">
        <f>C74+1.5</f>
        <v>2.0430999999999999</v>
      </c>
      <c r="E74" s="41">
        <f>AVERAGE(E71:E73)</f>
        <v>1.3428666666666667</v>
      </c>
      <c r="F74" s="41">
        <f>AVERAGE(F71:F73)</f>
        <v>1.0266666666666667E-2</v>
      </c>
      <c r="G74" s="41">
        <f>AVERAGE(G71:G73)</f>
        <v>1.9983333333333333</v>
      </c>
      <c r="H74" s="41">
        <f>AVERAGE(H71:H73)</f>
        <v>0.10000000000000002</v>
      </c>
      <c r="I74" s="41">
        <f>AVERAGE(I71:I73)</f>
        <v>0.24433333333333332</v>
      </c>
      <c r="J74" s="42"/>
      <c r="K74" s="42"/>
      <c r="L74" s="156" t="s">
        <v>22</v>
      </c>
      <c r="M74" s="41">
        <f>AVERAGE(M71:M73)</f>
        <v>23.426014701182485</v>
      </c>
      <c r="N74" s="41">
        <f>AVERAGE(N71:N73)</f>
        <v>4.5610635314267754E-2</v>
      </c>
      <c r="O74" s="41">
        <f>AVERAGE(O72:O73)</f>
        <v>0.1641728640328951</v>
      </c>
      <c r="P74" s="41">
        <f>AVERAGE(P72:P73)</f>
        <v>1.3394712348397546</v>
      </c>
      <c r="Q74" s="41">
        <f>AVERAGE(Q72:Q73)</f>
        <v>1.3364287651602453</v>
      </c>
      <c r="R74" s="41">
        <f>AVERAGE(R72:R73)</f>
        <v>2.5248638882513792E-2</v>
      </c>
      <c r="S74" s="193">
        <f>AVERAGE(S71,S72)</f>
        <v>8.2477609802728682E-2</v>
      </c>
      <c r="T74" s="19"/>
      <c r="U74" s="42"/>
      <c r="V74" s="201" t="s">
        <v>22</v>
      </c>
      <c r="W74" s="43">
        <f>AVERAGE(W71:W73)</f>
        <v>0.17112661819258931</v>
      </c>
      <c r="X74" s="43">
        <f>AVERAGE(X71:X73)</f>
        <v>8.6337103120981432E-2</v>
      </c>
      <c r="Y74" s="43">
        <f>AVERAGE(Y71:Y73)</f>
        <v>0.74253627868642924</v>
      </c>
      <c r="Z74" s="41">
        <f>C74/0.5</f>
        <v>1.0862000000000001</v>
      </c>
      <c r="AA74" s="41">
        <f>C75/0.5</f>
        <v>2.4248711305965001E-3</v>
      </c>
      <c r="AB74" s="39"/>
      <c r="AC74" s="39"/>
      <c r="AD74" s="39"/>
      <c r="AE74" s="39"/>
      <c r="AF74" s="39"/>
    </row>
    <row r="75" spans="1:32" x14ac:dyDescent="0.3">
      <c r="A75" s="39"/>
      <c r="B75" s="151" t="s">
        <v>8</v>
      </c>
      <c r="C75" s="41">
        <f t="shared" ref="C75:I75" si="23">_xlfn.STDEV.S(C71:C73)</f>
        <v>1.21243556529825E-3</v>
      </c>
      <c r="D75" s="41">
        <f t="shared" si="23"/>
        <v>2.6652079343520048E-3</v>
      </c>
      <c r="E75" s="41">
        <f t="shared" si="23"/>
        <v>5.7735026918956222E-5</v>
      </c>
      <c r="F75" s="41">
        <f t="shared" si="23"/>
        <v>5.7735026918962226E-5</v>
      </c>
      <c r="G75" s="41">
        <f t="shared" si="23"/>
        <v>1.7925772879664307E-3</v>
      </c>
      <c r="H75" s="41">
        <f t="shared" si="23"/>
        <v>1.6996749443881478E-17</v>
      </c>
      <c r="I75" s="41">
        <f t="shared" si="23"/>
        <v>1.5307950004273393E-2</v>
      </c>
      <c r="J75" s="42"/>
      <c r="K75" s="42"/>
      <c r="L75" s="156" t="s">
        <v>8</v>
      </c>
      <c r="M75" s="41">
        <f>_xlfn.STDEV.S(M71:M73)</f>
        <v>1.4676845641681118</v>
      </c>
      <c r="N75" s="41">
        <f>_xlfn.STDEV.S(N71:N73)</f>
        <v>3.1657284350515742E-3</v>
      </c>
      <c r="O75" s="41">
        <f>_xlfn.STDEV.S(O72:O73)</f>
        <v>5.98435806328564E-5</v>
      </c>
      <c r="P75" s="41">
        <f>_xlfn.STDEV.S(P72:P73)</f>
        <v>1.988857994486422E-5</v>
      </c>
      <c r="Q75" s="41">
        <f>_xlfn.STDEV.S(Q72:Q73)</f>
        <v>1.988857994486422E-5</v>
      </c>
      <c r="R75" s="41">
        <f>_xlfn.STDEV.S(R72:R73)</f>
        <v>1.4645493332006041E-4</v>
      </c>
      <c r="S75" s="41">
        <f>_xlfn.STDEV.S(S72:S73)</f>
        <v>8.74633037448317E-4</v>
      </c>
      <c r="T75" s="42"/>
      <c r="U75" s="42"/>
      <c r="V75" s="201" t="s">
        <v>8</v>
      </c>
      <c r="W75" s="43">
        <f>_xlfn.STDEV.S(W71:W73)</f>
        <v>1.2044329843020077E-2</v>
      </c>
      <c r="X75" s="43">
        <f>_xlfn.STDEV.S(X71:X73)</f>
        <v>1.4454116655487405E-2</v>
      </c>
      <c r="Y75" s="43">
        <f>_xlfn.STDEV.S(Y71:Y73)</f>
        <v>2.4860468989848787E-3</v>
      </c>
      <c r="Z75" s="41">
        <f>C75/0.5</f>
        <v>2.4248711305965001E-3</v>
      </c>
      <c r="AA75" s="41"/>
      <c r="AB75" s="39"/>
      <c r="AC75" s="39"/>
      <c r="AD75" s="39"/>
      <c r="AE75" s="39"/>
      <c r="AF75" s="39"/>
    </row>
    <row r="76" spans="1:32" x14ac:dyDescent="0.3">
      <c r="A76" s="39"/>
      <c r="B76" s="39"/>
      <c r="C76" s="42"/>
      <c r="D76" s="42"/>
      <c r="E76" s="42"/>
      <c r="F76" s="42"/>
      <c r="G76" s="42"/>
      <c r="H76" s="42"/>
      <c r="I76" s="42"/>
      <c r="J76" s="42"/>
      <c r="K76" s="42"/>
      <c r="L76" s="42"/>
      <c r="M76" s="42"/>
      <c r="N76" s="42"/>
      <c r="O76" s="42"/>
      <c r="P76" s="42"/>
      <c r="Q76" s="42"/>
      <c r="R76" s="42"/>
      <c r="S76" s="42"/>
      <c r="T76" s="42"/>
      <c r="U76" s="42"/>
      <c r="V76" s="197"/>
      <c r="W76" s="197"/>
      <c r="X76" s="197"/>
      <c r="Y76" s="197"/>
      <c r="Z76" s="42"/>
      <c r="AA76" s="42"/>
      <c r="AB76" s="39"/>
      <c r="AC76" s="39"/>
      <c r="AD76" s="39"/>
      <c r="AE76" s="39"/>
      <c r="AF76" s="39"/>
    </row>
    <row r="77" spans="1:32" x14ac:dyDescent="0.3">
      <c r="A77" s="39"/>
      <c r="B77" s="39"/>
      <c r="C77" s="42"/>
      <c r="D77" s="42"/>
      <c r="E77" s="42"/>
      <c r="F77" s="42"/>
      <c r="G77" s="42"/>
      <c r="H77" s="42"/>
      <c r="I77" s="42"/>
      <c r="J77" s="42"/>
      <c r="K77" s="42"/>
      <c r="L77" s="42"/>
      <c r="M77" s="42"/>
      <c r="N77" s="42"/>
      <c r="O77" s="42"/>
      <c r="P77" s="42"/>
      <c r="Q77" s="42"/>
      <c r="R77" s="42"/>
      <c r="S77" s="42"/>
      <c r="T77" s="42"/>
      <c r="U77" s="42"/>
      <c r="V77" s="197"/>
      <c r="W77" s="197"/>
      <c r="X77" s="197"/>
      <c r="Y77" s="197"/>
      <c r="Z77" s="42"/>
      <c r="AA77" s="42"/>
      <c r="AB77" s="39"/>
      <c r="AC77" s="39"/>
      <c r="AD77" s="39"/>
      <c r="AE77" s="39"/>
      <c r="AF77" s="39"/>
    </row>
    <row r="78" spans="1:32" x14ac:dyDescent="0.3">
      <c r="A78" s="39"/>
      <c r="B78" s="39"/>
      <c r="C78" s="42"/>
      <c r="D78" s="42"/>
      <c r="E78" s="42"/>
      <c r="F78" s="42"/>
      <c r="G78" s="42"/>
      <c r="H78" s="42"/>
      <c r="I78" s="42"/>
      <c r="J78" s="42"/>
      <c r="K78" s="42"/>
      <c r="L78" s="42"/>
      <c r="M78" s="42"/>
      <c r="N78" s="42"/>
      <c r="O78" s="42"/>
      <c r="P78" s="42"/>
      <c r="Q78" s="42"/>
      <c r="R78" s="42"/>
      <c r="S78" s="42"/>
      <c r="T78" s="42"/>
      <c r="U78" s="42"/>
      <c r="V78" s="288" t="s">
        <v>20</v>
      </c>
      <c r="W78" s="289"/>
      <c r="X78" s="289"/>
      <c r="Y78" s="290"/>
      <c r="Z78" s="42"/>
      <c r="AA78" s="42"/>
      <c r="AB78" s="39"/>
      <c r="AC78" s="39"/>
      <c r="AD78" s="39"/>
      <c r="AE78" s="39"/>
      <c r="AF78" s="39"/>
    </row>
    <row r="79" spans="1:32" x14ac:dyDescent="0.3">
      <c r="A79" s="39"/>
      <c r="B79" s="151" t="s">
        <v>11</v>
      </c>
      <c r="C79" s="156" t="s">
        <v>23</v>
      </c>
      <c r="D79" s="156" t="s">
        <v>32</v>
      </c>
      <c r="E79" s="156" t="s">
        <v>24</v>
      </c>
      <c r="F79" s="156" t="s">
        <v>25</v>
      </c>
      <c r="G79" s="156" t="s">
        <v>28</v>
      </c>
      <c r="H79" s="156" t="s">
        <v>27</v>
      </c>
      <c r="I79" s="156" t="s">
        <v>26</v>
      </c>
      <c r="J79" s="42"/>
      <c r="K79" s="42"/>
      <c r="L79" s="156" t="s">
        <v>11</v>
      </c>
      <c r="M79" s="156" t="s">
        <v>30</v>
      </c>
      <c r="N79" s="156" t="s">
        <v>34</v>
      </c>
      <c r="O79" s="156" t="s">
        <v>35</v>
      </c>
      <c r="P79" s="156" t="s">
        <v>37</v>
      </c>
      <c r="Q79" s="156" t="s">
        <v>38</v>
      </c>
      <c r="R79" s="156" t="s">
        <v>39</v>
      </c>
      <c r="S79" s="156" t="s">
        <v>47</v>
      </c>
      <c r="T79" s="42"/>
      <c r="U79" s="42"/>
      <c r="V79" s="201" t="s">
        <v>11</v>
      </c>
      <c r="W79" s="201" t="s">
        <v>17</v>
      </c>
      <c r="X79" s="201" t="s">
        <v>18</v>
      </c>
      <c r="Y79" s="201" t="s">
        <v>44</v>
      </c>
      <c r="Z79" s="42"/>
      <c r="AA79" s="42"/>
      <c r="AB79" s="39"/>
      <c r="AC79" s="39"/>
      <c r="AD79" s="39"/>
      <c r="AE79" s="39"/>
      <c r="AF79" s="39"/>
    </row>
    <row r="80" spans="1:32" x14ac:dyDescent="0.3">
      <c r="A80" s="39"/>
      <c r="B80" s="151" t="s">
        <v>13</v>
      </c>
      <c r="C80" s="41">
        <v>0.57120000000000004</v>
      </c>
      <c r="D80" s="41">
        <v>2.0661</v>
      </c>
      <c r="E80" s="41">
        <v>1.347</v>
      </c>
      <c r="F80" s="41">
        <v>1.04E-2</v>
      </c>
      <c r="G80" s="41">
        <v>1.9984999999999999</v>
      </c>
      <c r="H80" s="41">
        <v>0.1</v>
      </c>
      <c r="I80" s="41">
        <v>0.49</v>
      </c>
      <c r="J80" s="42"/>
      <c r="K80" s="42"/>
      <c r="L80" s="156" t="s">
        <v>13</v>
      </c>
      <c r="M80" s="41">
        <f>I80/0.01043</f>
        <v>46.979865771812079</v>
      </c>
      <c r="N80" s="41">
        <f>(M80*G80/H80)/1000000/F80</f>
        <v>9.0278136293236957E-2</v>
      </c>
      <c r="O80" s="41">
        <f>N80*D80/C80</f>
        <v>0.32654701924974938</v>
      </c>
      <c r="P80" s="41">
        <f>N80*0.1478+1.333</f>
        <v>1.3463431085441404</v>
      </c>
      <c r="Q80" s="41">
        <f>E80-(P80-1.333)</f>
        <v>1.3336568914558595</v>
      </c>
      <c r="R80" s="41">
        <f>(Q80-1.333)/0.1358</f>
        <v>4.8371977603797137E-3</v>
      </c>
      <c r="S80" s="41">
        <f>R80*D80/C80</f>
        <v>1.7496733705743218E-2</v>
      </c>
      <c r="T80" s="42"/>
      <c r="U80" s="42"/>
      <c r="V80" s="201" t="s">
        <v>13</v>
      </c>
      <c r="W80" s="43">
        <f>O80</f>
        <v>0.32654701924974938</v>
      </c>
      <c r="X80" s="43">
        <f>S80</f>
        <v>1.7496733705743218E-2</v>
      </c>
      <c r="Y80" s="43">
        <f>1-X80-W80</f>
        <v>0.65595624704450739</v>
      </c>
      <c r="Z80" s="42"/>
      <c r="AA80" s="42"/>
      <c r="AB80" s="39"/>
      <c r="AC80" s="39"/>
      <c r="AD80" s="39"/>
      <c r="AE80" s="39"/>
      <c r="AF80" s="39"/>
    </row>
    <row r="81" spans="1:32" x14ac:dyDescent="0.3">
      <c r="A81" s="39"/>
      <c r="B81" s="151" t="s">
        <v>14</v>
      </c>
      <c r="C81" s="41">
        <v>0.56979999999999997</v>
      </c>
      <c r="D81" s="41">
        <v>2.0630000000000002</v>
      </c>
      <c r="E81" s="41">
        <v>1.347</v>
      </c>
      <c r="F81" s="41">
        <v>1.0500000000000001E-2</v>
      </c>
      <c r="G81" s="41">
        <v>2.0211000000000001</v>
      </c>
      <c r="H81" s="41">
        <v>0.1</v>
      </c>
      <c r="I81" s="41">
        <v>0.51500000000000001</v>
      </c>
      <c r="J81" s="42"/>
      <c r="K81" s="42"/>
      <c r="L81" s="156" t="s">
        <v>14</v>
      </c>
      <c r="M81" s="41">
        <f t="shared" ref="M81:M82" si="24">I81/0.01043</f>
        <v>49.376797698945353</v>
      </c>
      <c r="N81" s="41">
        <f>(M81*G81/H81)/1000000/F81</f>
        <v>9.5043281742227106E-2</v>
      </c>
      <c r="O81" s="41">
        <f>N81*D81/C81</f>
        <v>0.34411072347177002</v>
      </c>
      <c r="P81" s="41">
        <f>N81*0.1478+1.333</f>
        <v>1.3470473970415011</v>
      </c>
      <c r="Q81" s="41">
        <f t="shared" ref="Q81:Q82" si="25">E81-(P81-1.333)</f>
        <v>1.3329526029584988</v>
      </c>
      <c r="R81" s="41">
        <f t="shared" ref="R81:R82" si="26">(Q81-1.333)/0.1358</f>
        <v>-3.4902092416156429E-4</v>
      </c>
      <c r="S81" s="41">
        <f>R81*D81/C81</f>
        <v>-1.2636542059412199E-3</v>
      </c>
      <c r="T81" s="42"/>
      <c r="U81" s="42"/>
      <c r="V81" s="201" t="s">
        <v>14</v>
      </c>
      <c r="W81" s="43">
        <f>O81</f>
        <v>0.34411072347177002</v>
      </c>
      <c r="X81" s="43">
        <f>S81</f>
        <v>-1.2636542059412199E-3</v>
      </c>
      <c r="Y81" s="43">
        <f>1-X81-W81</f>
        <v>0.65715293073417125</v>
      </c>
      <c r="Z81" s="42"/>
      <c r="AA81" s="42"/>
      <c r="AB81" s="39"/>
      <c r="AC81" s="39"/>
      <c r="AD81" s="39"/>
      <c r="AE81" s="39"/>
      <c r="AF81" s="39"/>
    </row>
    <row r="82" spans="1:32" x14ac:dyDescent="0.3">
      <c r="A82" s="39"/>
      <c r="B82" s="151" t="s">
        <v>15</v>
      </c>
      <c r="C82" s="41">
        <v>0.56920000000000004</v>
      </c>
      <c r="D82" s="41">
        <v>2.0640999999999998</v>
      </c>
      <c r="E82" s="41">
        <v>1.347</v>
      </c>
      <c r="F82" s="41">
        <v>1.0200000000000001E-2</v>
      </c>
      <c r="G82" s="41">
        <v>1.9979</v>
      </c>
      <c r="H82" s="41">
        <v>0.1</v>
      </c>
      <c r="I82" s="41">
        <v>0.47499999999999998</v>
      </c>
      <c r="J82" s="42"/>
      <c r="K82" s="42"/>
      <c r="L82" s="156" t="s">
        <v>15</v>
      </c>
      <c r="M82" s="41">
        <f t="shared" si="24"/>
        <v>45.541706615532114</v>
      </c>
      <c r="N82" s="41">
        <f>(M82*G82/H82)/1000000/F82</f>
        <v>8.920370161487412E-2</v>
      </c>
      <c r="O82" s="41">
        <f>N82*D82/C82</f>
        <v>0.32348095661149268</v>
      </c>
      <c r="P82" s="41">
        <f>N82*0.1478+1.333</f>
        <v>1.3461843070986783</v>
      </c>
      <c r="Q82" s="41">
        <f t="shared" si="25"/>
        <v>1.3338156929013216</v>
      </c>
      <c r="R82" s="41">
        <f t="shared" si="26"/>
        <v>6.0065751201889761E-3</v>
      </c>
      <c r="S82" s="41">
        <f>R82*D82/C82</f>
        <v>2.1781749307066171E-2</v>
      </c>
      <c r="T82" s="42"/>
      <c r="U82" s="42"/>
      <c r="V82" s="201" t="s">
        <v>15</v>
      </c>
      <c r="W82" s="43">
        <f>O82</f>
        <v>0.32348095661149268</v>
      </c>
      <c r="X82" s="43">
        <f>S82</f>
        <v>2.1781749307066171E-2</v>
      </c>
      <c r="Y82" s="43">
        <f>1-X82-W82</f>
        <v>0.6547372940814411</v>
      </c>
      <c r="Z82" s="156" t="s">
        <v>69</v>
      </c>
      <c r="AA82" s="156" t="s">
        <v>8</v>
      </c>
      <c r="AB82" s="39"/>
      <c r="AC82" s="39"/>
      <c r="AD82" s="39"/>
      <c r="AE82" s="39"/>
      <c r="AF82" s="39"/>
    </row>
    <row r="83" spans="1:32" x14ac:dyDescent="0.3">
      <c r="A83" s="39"/>
      <c r="B83" s="151" t="s">
        <v>22</v>
      </c>
      <c r="C83" s="41">
        <f>AVERAGE(C80:C82)</f>
        <v>0.57006666666666661</v>
      </c>
      <c r="D83" s="41">
        <f>C83+1.5</f>
        <v>2.0700666666666665</v>
      </c>
      <c r="E83" s="41">
        <f>AVERAGE(E80:E82)</f>
        <v>1.3470000000000002</v>
      </c>
      <c r="F83" s="41">
        <f>AVERAGE(F80:F82)</f>
        <v>1.0366666666666668E-2</v>
      </c>
      <c r="G83" s="41">
        <f>AVERAGE(G80:G82)</f>
        <v>2.0058333333333334</v>
      </c>
      <c r="H83" s="41">
        <f>AVERAGE(H80:H82)</f>
        <v>0.10000000000000002</v>
      </c>
      <c r="I83" s="41">
        <f>AVERAGE(I80:I82)</f>
        <v>0.49333333333333335</v>
      </c>
      <c r="J83" s="42"/>
      <c r="K83" s="42"/>
      <c r="L83" s="156" t="s">
        <v>22</v>
      </c>
      <c r="M83" s="41">
        <f t="shared" ref="M83:R83" si="27">AVERAGE(M80:M82)</f>
        <v>47.299456695429853</v>
      </c>
      <c r="N83" s="41">
        <f t="shared" si="27"/>
        <v>9.1508373216779404E-2</v>
      </c>
      <c r="O83" s="41">
        <f t="shared" si="27"/>
        <v>0.33137956644433736</v>
      </c>
      <c r="P83" s="41">
        <f t="shared" si="27"/>
        <v>1.3465249375614399</v>
      </c>
      <c r="Q83" s="41">
        <f t="shared" si="27"/>
        <v>1.3334750624385601</v>
      </c>
      <c r="R83" s="41">
        <f t="shared" si="27"/>
        <v>3.4982506521357083E-3</v>
      </c>
      <c r="S83" s="193">
        <f>AVERAGE(S80,S81)</f>
        <v>8.1165397499009997E-3</v>
      </c>
      <c r="T83" s="42"/>
      <c r="U83" s="42"/>
      <c r="V83" s="201" t="s">
        <v>22</v>
      </c>
      <c r="W83" s="43">
        <f>AVERAGE(W80:W82)</f>
        <v>0.33137956644433736</v>
      </c>
      <c r="X83" s="43">
        <f>AVERAGE(X80:X82)</f>
        <v>1.2671609602289391E-2</v>
      </c>
      <c r="Y83" s="43">
        <f t="shared" ref="Y83" si="28">AVERAGE(Y80:Y82)</f>
        <v>0.65594882395337328</v>
      </c>
      <c r="Z83" s="41">
        <f>C83/0.5</f>
        <v>1.1401333333333332</v>
      </c>
      <c r="AA83" s="41">
        <f>C84/0.5</f>
        <v>2.0526405757787729E-3</v>
      </c>
      <c r="AB83" s="39"/>
      <c r="AC83" s="39"/>
      <c r="AD83" s="39"/>
      <c r="AE83" s="39"/>
      <c r="AF83" s="39"/>
    </row>
    <row r="84" spans="1:32" x14ac:dyDescent="0.3">
      <c r="A84" s="39"/>
      <c r="B84" s="151" t="s">
        <v>8</v>
      </c>
      <c r="C84" s="41">
        <f t="shared" ref="C84:I84" si="29">_xlfn.STDEV.S(C80:C82)</f>
        <v>1.0263202878893864E-3</v>
      </c>
      <c r="D84" s="41">
        <f t="shared" si="29"/>
        <v>1.5716233645501393E-3</v>
      </c>
      <c r="E84" s="41">
        <f t="shared" si="29"/>
        <v>2.7194799110210365E-16</v>
      </c>
      <c r="F84" s="41">
        <f t="shared" si="29"/>
        <v>1.5275252316519449E-4</v>
      </c>
      <c r="G84" s="41">
        <f t="shared" si="29"/>
        <v>1.3224724319748048E-2</v>
      </c>
      <c r="H84" s="41">
        <f t="shared" si="29"/>
        <v>1.6996749443881478E-17</v>
      </c>
      <c r="I84" s="41">
        <f t="shared" si="29"/>
        <v>2.0207259421636918E-2</v>
      </c>
      <c r="J84" s="42"/>
      <c r="K84" s="42"/>
      <c r="L84" s="156" t="s">
        <v>8</v>
      </c>
      <c r="M84" s="41">
        <f t="shared" ref="M84:R84" si="30">_xlfn.STDEV.S(M80:M82)</f>
        <v>1.9374170107034463</v>
      </c>
      <c r="N84" s="41">
        <f t="shared" si="30"/>
        <v>3.108100092014308E-3</v>
      </c>
      <c r="O84" s="41">
        <f t="shared" si="30"/>
        <v>1.1131574662566363E-2</v>
      </c>
      <c r="P84" s="41">
        <f t="shared" si="30"/>
        <v>4.5937719359971896E-4</v>
      </c>
      <c r="Q84" s="41">
        <f t="shared" si="30"/>
        <v>4.5937719359971896E-4</v>
      </c>
      <c r="R84" s="41">
        <f t="shared" si="30"/>
        <v>3.382748111927238E-3</v>
      </c>
      <c r="S84" s="41">
        <f>_xlfn.STDEV.S(S81:S82)</f>
        <v>1.629556109922781E-2</v>
      </c>
      <c r="T84" s="42"/>
      <c r="U84" s="42"/>
      <c r="V84" s="201" t="s">
        <v>8</v>
      </c>
      <c r="W84" s="43">
        <f>_xlfn.STDEV.S(W80:W82)</f>
        <v>1.1131574662566363E-2</v>
      </c>
      <c r="X84" s="43">
        <f>_xlfn.STDEV.S(X80:X82)</f>
        <v>1.225699892835239E-2</v>
      </c>
      <c r="Y84" s="43">
        <f>_xlfn.STDEV.S(Y80:Y82)</f>
        <v>1.2078354342437616E-3</v>
      </c>
      <c r="Z84" s="41">
        <f>C84/0.5</f>
        <v>2.0526405757787729E-3</v>
      </c>
      <c r="AA84" s="41"/>
      <c r="AB84" s="39"/>
      <c r="AC84" s="39"/>
      <c r="AD84" s="39"/>
      <c r="AE84" s="39"/>
      <c r="AF84" s="39"/>
    </row>
    <row r="85" spans="1:32" x14ac:dyDescent="0.3">
      <c r="A85" s="39"/>
      <c r="B85" s="39"/>
      <c r="C85" s="42"/>
      <c r="D85" s="42"/>
      <c r="E85" s="42"/>
      <c r="F85" s="42"/>
      <c r="G85" s="42"/>
      <c r="H85" s="42"/>
      <c r="I85" s="42"/>
      <c r="J85" s="42"/>
      <c r="K85" s="42"/>
      <c r="L85" s="42"/>
      <c r="M85" s="42"/>
      <c r="N85" s="42"/>
      <c r="O85" s="42"/>
      <c r="P85" s="42"/>
      <c r="Q85" s="42"/>
      <c r="R85" s="42"/>
      <c r="S85" s="42"/>
      <c r="T85" s="42"/>
      <c r="U85" s="42"/>
      <c r="V85" s="197"/>
      <c r="W85" s="197"/>
      <c r="X85" s="197"/>
      <c r="Y85" s="197"/>
      <c r="Z85" s="42"/>
      <c r="AA85" s="42"/>
      <c r="AB85" s="39"/>
      <c r="AC85" s="39"/>
      <c r="AD85" s="39"/>
      <c r="AE85" s="39"/>
      <c r="AF85" s="39"/>
    </row>
    <row r="86" spans="1:32" x14ac:dyDescent="0.3">
      <c r="A86" s="39"/>
      <c r="B86" s="39"/>
      <c r="C86" s="42"/>
      <c r="D86" s="42"/>
      <c r="E86" s="42"/>
      <c r="F86" s="42"/>
      <c r="G86" s="42"/>
      <c r="H86" s="42"/>
      <c r="I86" s="42"/>
      <c r="J86" s="42"/>
      <c r="K86" s="42"/>
      <c r="L86" s="42"/>
      <c r="M86" s="42"/>
      <c r="N86" s="42"/>
      <c r="O86" s="42"/>
      <c r="P86" s="42"/>
      <c r="Q86" s="42"/>
      <c r="R86" s="42"/>
      <c r="S86" s="42"/>
      <c r="T86" s="42"/>
      <c r="U86" s="42"/>
      <c r="V86" s="197"/>
      <c r="W86" s="197"/>
      <c r="X86" s="197"/>
      <c r="Y86" s="197"/>
      <c r="Z86" s="42"/>
      <c r="AA86" s="42"/>
      <c r="AB86" s="39"/>
      <c r="AC86" s="39"/>
      <c r="AD86" s="39"/>
      <c r="AE86" s="39"/>
      <c r="AF86" s="39"/>
    </row>
    <row r="87" spans="1:32" x14ac:dyDescent="0.3">
      <c r="A87" s="39"/>
      <c r="B87" s="39"/>
      <c r="C87" s="42"/>
      <c r="D87" s="42"/>
      <c r="E87" s="42"/>
      <c r="F87" s="42"/>
      <c r="G87" s="42"/>
      <c r="H87" s="42"/>
      <c r="I87" s="42"/>
      <c r="J87" s="42"/>
      <c r="K87" s="42"/>
      <c r="L87" s="42"/>
      <c r="M87" s="42"/>
      <c r="N87" s="42"/>
      <c r="O87" s="42"/>
      <c r="P87" s="42"/>
      <c r="Q87" s="42"/>
      <c r="R87" s="42"/>
      <c r="S87" s="42"/>
      <c r="T87" s="42"/>
      <c r="U87" s="42"/>
      <c r="V87" s="197"/>
      <c r="W87" s="197"/>
      <c r="X87" s="197"/>
      <c r="Y87" s="197"/>
      <c r="Z87" s="42"/>
      <c r="AA87" s="42"/>
      <c r="AB87" s="39"/>
      <c r="AC87" s="39"/>
      <c r="AD87" s="39"/>
      <c r="AE87" s="39"/>
      <c r="AF87" s="39"/>
    </row>
    <row r="88" spans="1:32" x14ac:dyDescent="0.3">
      <c r="A88" s="39"/>
      <c r="B88" s="39"/>
      <c r="C88" s="42"/>
      <c r="D88" s="42"/>
      <c r="E88" s="42"/>
      <c r="F88" s="42"/>
      <c r="G88" s="42"/>
      <c r="H88" s="42"/>
      <c r="I88" s="42"/>
      <c r="J88" s="42"/>
      <c r="K88" s="42"/>
      <c r="L88" s="42"/>
      <c r="M88" s="42"/>
      <c r="N88" s="42"/>
      <c r="O88" s="42"/>
      <c r="P88" s="42"/>
      <c r="Q88" s="42"/>
      <c r="R88" s="42"/>
      <c r="S88" s="42"/>
      <c r="T88" s="42"/>
      <c r="U88" s="42"/>
      <c r="V88" s="197"/>
      <c r="W88" s="197"/>
      <c r="X88" s="197"/>
      <c r="Y88" s="197"/>
      <c r="Z88" s="42"/>
      <c r="AA88" s="42"/>
      <c r="AB88" s="39"/>
      <c r="AC88" s="39"/>
      <c r="AD88" s="39"/>
      <c r="AE88" s="39"/>
      <c r="AF88" s="39"/>
    </row>
    <row r="89" spans="1:32" x14ac:dyDescent="0.3">
      <c r="A89" s="39"/>
      <c r="B89" s="39"/>
      <c r="C89" s="42"/>
      <c r="D89" s="42"/>
      <c r="E89" s="42"/>
      <c r="F89" s="42"/>
      <c r="G89" s="42"/>
      <c r="H89" s="42"/>
      <c r="I89" s="42"/>
      <c r="J89" s="42"/>
      <c r="K89" s="42"/>
      <c r="L89" s="42"/>
      <c r="M89" s="42"/>
      <c r="N89" s="42"/>
      <c r="O89" s="42"/>
      <c r="P89" s="42"/>
      <c r="Q89" s="42"/>
      <c r="R89" s="42"/>
      <c r="S89" s="42"/>
      <c r="T89" s="42"/>
      <c r="U89" s="42"/>
      <c r="V89" s="197"/>
      <c r="W89" s="197"/>
      <c r="X89" s="197"/>
      <c r="Y89" s="197"/>
      <c r="Z89" s="42"/>
      <c r="AA89" s="42"/>
      <c r="AB89" s="39"/>
      <c r="AC89" s="39"/>
      <c r="AD89" s="39"/>
      <c r="AE89" s="39"/>
      <c r="AF89" s="39"/>
    </row>
    <row r="90" spans="1:32" x14ac:dyDescent="0.3">
      <c r="A90" s="39"/>
      <c r="B90" s="39"/>
      <c r="C90" s="42"/>
      <c r="D90" s="42"/>
      <c r="E90" s="42"/>
      <c r="F90" s="42"/>
      <c r="G90" s="42"/>
      <c r="H90" s="42"/>
      <c r="I90" s="42"/>
      <c r="J90" s="42"/>
      <c r="K90" s="42"/>
      <c r="L90" s="42"/>
      <c r="M90" s="42"/>
      <c r="N90" s="42"/>
      <c r="O90" s="42"/>
      <c r="P90" s="42"/>
      <c r="Q90" s="42"/>
      <c r="R90" s="42"/>
      <c r="S90" s="42"/>
      <c r="T90" s="42"/>
      <c r="U90" s="42"/>
      <c r="V90" s="197"/>
      <c r="W90" s="197"/>
      <c r="X90" s="197"/>
      <c r="Y90" s="197"/>
      <c r="Z90" s="42"/>
      <c r="AA90" s="42"/>
      <c r="AB90" s="39"/>
      <c r="AC90" s="39"/>
      <c r="AD90" s="39"/>
      <c r="AE90" s="39"/>
      <c r="AF90" s="39"/>
    </row>
    <row r="91" spans="1:32" x14ac:dyDescent="0.3">
      <c r="A91" s="192" t="s">
        <v>54</v>
      </c>
      <c r="B91" s="39"/>
      <c r="C91" s="42"/>
      <c r="D91" s="42"/>
      <c r="E91" s="42"/>
      <c r="F91" s="42"/>
      <c r="G91" s="42"/>
      <c r="H91" s="42"/>
      <c r="I91" s="42"/>
      <c r="J91" s="42"/>
      <c r="K91" s="42"/>
      <c r="L91" s="42"/>
      <c r="M91" s="42"/>
      <c r="N91" s="42"/>
      <c r="O91" s="42"/>
      <c r="P91" s="42"/>
      <c r="Q91" s="42"/>
      <c r="R91" s="42"/>
      <c r="S91" s="42"/>
      <c r="T91" s="42"/>
      <c r="U91" s="42"/>
      <c r="V91" s="197"/>
      <c r="W91" s="197"/>
      <c r="X91" s="197"/>
      <c r="Y91" s="197"/>
      <c r="Z91" s="42"/>
      <c r="AA91" s="42"/>
      <c r="AB91" s="39"/>
      <c r="AC91" s="39"/>
      <c r="AD91" s="39"/>
      <c r="AE91" s="39"/>
      <c r="AF91" s="39"/>
    </row>
    <row r="92" spans="1:32" x14ac:dyDescent="0.3">
      <c r="A92" s="39"/>
      <c r="B92" s="151"/>
      <c r="C92" s="287" t="s">
        <v>19</v>
      </c>
      <c r="D92" s="287"/>
      <c r="E92" s="287"/>
      <c r="F92" s="194"/>
      <c r="G92" s="195"/>
      <c r="H92" s="195"/>
      <c r="I92" s="156"/>
      <c r="J92" s="287" t="s">
        <v>20</v>
      </c>
      <c r="K92" s="287"/>
      <c r="L92" s="156"/>
      <c r="M92" s="42"/>
      <c r="N92" s="42"/>
      <c r="O92" s="42"/>
      <c r="P92" s="42"/>
      <c r="Q92" s="42"/>
      <c r="R92" s="42"/>
      <c r="S92" s="42"/>
      <c r="T92" s="42"/>
      <c r="U92" s="42"/>
      <c r="V92" s="197"/>
      <c r="W92" s="197"/>
      <c r="X92" s="197"/>
      <c r="Y92" s="197"/>
      <c r="Z92" s="42"/>
      <c r="AA92" s="42"/>
      <c r="AB92" s="39"/>
      <c r="AC92" s="39"/>
      <c r="AD92" s="39"/>
      <c r="AE92" s="39"/>
      <c r="AF92" s="39"/>
    </row>
    <row r="93" spans="1:32" x14ac:dyDescent="0.3">
      <c r="A93" s="39"/>
      <c r="B93" s="151" t="s">
        <v>12</v>
      </c>
      <c r="C93" s="156" t="s">
        <v>51</v>
      </c>
      <c r="D93" s="156" t="s">
        <v>40</v>
      </c>
      <c r="E93" s="156" t="s">
        <v>21</v>
      </c>
      <c r="F93" s="42"/>
      <c r="G93" s="42"/>
      <c r="H93" s="42"/>
      <c r="I93" s="156" t="s">
        <v>12</v>
      </c>
      <c r="J93" s="156" t="s">
        <v>17</v>
      </c>
      <c r="K93" s="156" t="s">
        <v>18</v>
      </c>
      <c r="L93" s="156" t="s">
        <v>29</v>
      </c>
      <c r="M93" s="42"/>
      <c r="N93" s="42"/>
      <c r="O93" s="42"/>
      <c r="P93" s="42"/>
      <c r="Q93" s="42"/>
      <c r="R93" s="42"/>
      <c r="S93" s="42"/>
      <c r="T93" s="42"/>
      <c r="U93" s="42"/>
      <c r="V93" s="197"/>
      <c r="W93" s="197"/>
      <c r="X93" s="197"/>
      <c r="Y93" s="197"/>
      <c r="Z93" s="42"/>
      <c r="AA93" s="42"/>
      <c r="AB93" s="39"/>
      <c r="AC93" s="39"/>
      <c r="AD93" s="39"/>
      <c r="AE93" s="39"/>
      <c r="AF93" s="39"/>
    </row>
    <row r="94" spans="1:32" x14ac:dyDescent="0.3">
      <c r="A94" s="39"/>
      <c r="B94" s="151" t="s">
        <v>13</v>
      </c>
      <c r="C94" s="41">
        <v>5.0199999999999996</v>
      </c>
      <c r="D94" s="41">
        <v>5.01</v>
      </c>
      <c r="E94" s="41">
        <f>SUM(C94:D94)</f>
        <v>10.029999999999999</v>
      </c>
      <c r="F94" s="42"/>
      <c r="G94" s="42"/>
      <c r="H94" s="42"/>
      <c r="I94" s="156" t="s">
        <v>13</v>
      </c>
      <c r="J94" s="43">
        <f>C94*0.6/E94</f>
        <v>0.30029910269192422</v>
      </c>
      <c r="K94" s="43">
        <f>D94*0.2/E94</f>
        <v>9.9900299102691936E-2</v>
      </c>
      <c r="L94" s="43">
        <f>1-K94-J94</f>
        <v>0.59980059820538378</v>
      </c>
      <c r="M94" s="42"/>
      <c r="N94" s="42"/>
      <c r="O94" s="42"/>
      <c r="P94" s="42"/>
      <c r="Q94" s="42"/>
      <c r="R94" s="42"/>
      <c r="S94" s="42"/>
      <c r="T94" s="42"/>
      <c r="U94" s="42"/>
      <c r="V94" s="197"/>
      <c r="W94" s="197" t="s">
        <v>17</v>
      </c>
      <c r="X94" s="197" t="s">
        <v>18</v>
      </c>
      <c r="Y94" s="197" t="s">
        <v>44</v>
      </c>
      <c r="Z94" s="42"/>
      <c r="AA94" s="42"/>
      <c r="AB94" s="39"/>
      <c r="AC94" s="39"/>
      <c r="AD94" s="39"/>
      <c r="AE94" s="39"/>
      <c r="AF94" s="39"/>
    </row>
    <row r="95" spans="1:32" x14ac:dyDescent="0.3">
      <c r="A95" s="39"/>
      <c r="B95" s="5"/>
      <c r="C95" s="41"/>
      <c r="D95" s="41"/>
      <c r="E95" s="41"/>
      <c r="F95" s="42"/>
      <c r="G95" s="42"/>
      <c r="H95" s="42"/>
      <c r="I95" s="156"/>
      <c r="J95" s="43"/>
      <c r="K95" s="43"/>
      <c r="L95" s="43"/>
      <c r="M95" s="42"/>
      <c r="N95" s="42"/>
      <c r="O95" s="42"/>
      <c r="P95" s="42"/>
      <c r="Q95" s="42"/>
      <c r="R95" s="42"/>
      <c r="S95" s="42"/>
      <c r="T95" s="42"/>
      <c r="U95" s="42"/>
      <c r="V95" s="197" t="s">
        <v>52</v>
      </c>
      <c r="W95" s="197">
        <f>J97</f>
        <v>0.30029910269192422</v>
      </c>
      <c r="X95" s="197">
        <f>K97</f>
        <v>9.9900299102691936E-2</v>
      </c>
      <c r="Y95" s="197">
        <f>L97</f>
        <v>0.59980059820538378</v>
      </c>
      <c r="Z95" s="42"/>
      <c r="AA95" s="42"/>
      <c r="AB95" s="39"/>
      <c r="AC95" s="39"/>
      <c r="AD95" s="39"/>
      <c r="AE95" s="39"/>
      <c r="AF95" s="39"/>
    </row>
    <row r="96" spans="1:32" x14ac:dyDescent="0.3">
      <c r="A96" s="39"/>
      <c r="B96" s="5"/>
      <c r="C96" s="41"/>
      <c r="D96" s="41"/>
      <c r="E96" s="41"/>
      <c r="F96" s="42"/>
      <c r="G96" s="42"/>
      <c r="H96" s="42"/>
      <c r="I96" s="156"/>
      <c r="J96" s="43"/>
      <c r="K96" s="43"/>
      <c r="L96" s="43"/>
      <c r="M96" s="42"/>
      <c r="N96" s="42"/>
      <c r="O96" s="42"/>
      <c r="P96" s="42" t="s">
        <v>1</v>
      </c>
      <c r="Q96" s="42" t="s">
        <v>42</v>
      </c>
      <c r="R96" s="42"/>
      <c r="S96" s="42"/>
      <c r="T96" s="42"/>
      <c r="U96" s="42"/>
      <c r="V96" s="197" t="s">
        <v>53</v>
      </c>
      <c r="W96" s="197">
        <f>W104</f>
        <v>0.13691669226407471</v>
      </c>
      <c r="X96" s="197">
        <f>X104</f>
        <v>0.19659116876943217</v>
      </c>
      <c r="Y96" s="197">
        <f>Y104</f>
        <v>0.66649213896649306</v>
      </c>
      <c r="Z96" s="42"/>
      <c r="AA96" s="42"/>
      <c r="AB96" s="39"/>
      <c r="AC96" s="39"/>
      <c r="AD96" s="39"/>
      <c r="AE96" s="39"/>
      <c r="AF96" s="39"/>
    </row>
    <row r="97" spans="1:32" x14ac:dyDescent="0.3">
      <c r="A97" s="39"/>
      <c r="B97" s="39"/>
      <c r="C97" s="42"/>
      <c r="D97" s="42"/>
      <c r="E97" s="42"/>
      <c r="F97" s="42"/>
      <c r="G97" s="42"/>
      <c r="H97" s="42"/>
      <c r="I97" s="156" t="s">
        <v>22</v>
      </c>
      <c r="J97" s="43">
        <f>AVERAGE(J94:J96)</f>
        <v>0.30029910269192422</v>
      </c>
      <c r="K97" s="43">
        <f>AVERAGE(K94:K96)</f>
        <v>9.9900299102691936E-2</v>
      </c>
      <c r="L97" s="43">
        <f>AVERAGE(L94:L96)</f>
        <v>0.59980059820538378</v>
      </c>
      <c r="M97" s="42"/>
      <c r="N97" s="42"/>
      <c r="O97" s="42"/>
      <c r="P97" s="42" t="s">
        <v>0</v>
      </c>
      <c r="Q97" s="42" t="s">
        <v>43</v>
      </c>
      <c r="R97" s="42"/>
      <c r="S97" s="42"/>
      <c r="T97" s="42"/>
      <c r="U97" s="42"/>
      <c r="V97" s="197" t="s">
        <v>14</v>
      </c>
      <c r="W97" s="197">
        <f>W113</f>
        <v>0.48986493746420751</v>
      </c>
      <c r="X97" s="197">
        <f>X113</f>
        <v>2.0447826056263752E-3</v>
      </c>
      <c r="Y97" s="197">
        <f>Y113</f>
        <v>0.50809027993016598</v>
      </c>
      <c r="Z97" s="42"/>
      <c r="AA97" s="42"/>
      <c r="AB97" s="39"/>
      <c r="AC97" s="39"/>
      <c r="AD97" s="39"/>
      <c r="AE97" s="39"/>
      <c r="AF97" s="39"/>
    </row>
    <row r="98" spans="1:32" x14ac:dyDescent="0.3">
      <c r="A98" s="39"/>
      <c r="B98" s="39" t="s">
        <v>31</v>
      </c>
      <c r="C98" s="42"/>
      <c r="D98" s="42"/>
      <c r="E98" s="42"/>
      <c r="F98" s="42"/>
      <c r="G98" s="42"/>
      <c r="H98" s="42"/>
      <c r="I98" s="156" t="s">
        <v>8</v>
      </c>
      <c r="J98" s="43" t="e">
        <f>_xlfn.STDEV.S(J94:J96)</f>
        <v>#DIV/0!</v>
      </c>
      <c r="K98" s="43" t="e">
        <f>_xlfn.STDEV.S(K94:K96)</f>
        <v>#DIV/0!</v>
      </c>
      <c r="L98" s="43" t="e">
        <f>_xlfn.STDEV.S(L94:L96)</f>
        <v>#DIV/0!</v>
      </c>
      <c r="M98" s="42"/>
      <c r="N98" s="42"/>
      <c r="O98" s="42"/>
      <c r="P98" s="42"/>
      <c r="Q98" s="42"/>
      <c r="R98" s="42"/>
      <c r="S98" s="42"/>
      <c r="T98" s="42"/>
      <c r="U98" s="42"/>
      <c r="V98" s="197"/>
      <c r="W98" s="197"/>
      <c r="X98" s="197"/>
      <c r="Y98" s="197"/>
      <c r="Z98" s="42"/>
      <c r="AA98" s="42"/>
      <c r="AB98" s="39"/>
      <c r="AC98" s="39"/>
      <c r="AD98" s="39"/>
      <c r="AE98" s="39"/>
      <c r="AF98" s="39"/>
    </row>
    <row r="99" spans="1:32" x14ac:dyDescent="0.3">
      <c r="A99" s="39"/>
      <c r="B99" s="39">
        <v>1.5</v>
      </c>
      <c r="C99" s="42"/>
      <c r="D99" s="42"/>
      <c r="E99" s="42"/>
      <c r="F99" s="42"/>
      <c r="G99" s="42"/>
      <c r="H99" s="42"/>
      <c r="I99" s="42"/>
      <c r="J99" s="42"/>
      <c r="K99" s="42"/>
      <c r="L99" s="42"/>
      <c r="M99" s="42"/>
      <c r="N99" s="42"/>
      <c r="O99" s="42"/>
      <c r="P99" s="42"/>
      <c r="Q99" s="42"/>
      <c r="R99" s="42"/>
      <c r="S99" s="42"/>
      <c r="T99" s="42"/>
      <c r="U99" s="42"/>
      <c r="V99" s="198" t="s">
        <v>20</v>
      </c>
      <c r="W99" s="199"/>
      <c r="X99" s="199"/>
      <c r="Y99" s="200"/>
      <c r="Z99" s="42"/>
      <c r="AA99" s="42"/>
      <c r="AB99" s="39"/>
      <c r="AC99" s="39"/>
      <c r="AD99" s="39"/>
      <c r="AE99" s="39"/>
      <c r="AF99" s="39"/>
    </row>
    <row r="100" spans="1:32" x14ac:dyDescent="0.3">
      <c r="A100" s="39"/>
      <c r="B100" s="151" t="s">
        <v>10</v>
      </c>
      <c r="C100" s="156" t="s">
        <v>23</v>
      </c>
      <c r="D100" s="156" t="s">
        <v>32</v>
      </c>
      <c r="E100" s="156" t="s">
        <v>24</v>
      </c>
      <c r="F100" s="156" t="s">
        <v>33</v>
      </c>
      <c r="G100" s="156" t="s">
        <v>28</v>
      </c>
      <c r="H100" s="156" t="s">
        <v>27</v>
      </c>
      <c r="I100" s="156" t="s">
        <v>26</v>
      </c>
      <c r="J100" s="42"/>
      <c r="K100" s="42"/>
      <c r="L100" s="156" t="s">
        <v>10</v>
      </c>
      <c r="M100" s="156" t="s">
        <v>30</v>
      </c>
      <c r="N100" s="156" t="s">
        <v>36</v>
      </c>
      <c r="O100" s="156" t="s">
        <v>35</v>
      </c>
      <c r="P100" s="156" t="s">
        <v>37</v>
      </c>
      <c r="Q100" s="156" t="s">
        <v>38</v>
      </c>
      <c r="R100" s="156" t="s">
        <v>39</v>
      </c>
      <c r="S100" s="156" t="s">
        <v>47</v>
      </c>
      <c r="T100" s="42"/>
      <c r="U100" s="42"/>
      <c r="V100" s="201" t="s">
        <v>10</v>
      </c>
      <c r="W100" s="201" t="s">
        <v>17</v>
      </c>
      <c r="X100" s="201" t="s">
        <v>18</v>
      </c>
      <c r="Y100" s="201" t="s">
        <v>44</v>
      </c>
      <c r="Z100" s="42"/>
      <c r="AA100" s="42"/>
      <c r="AB100" s="39"/>
      <c r="AC100" s="39"/>
      <c r="AD100" s="39"/>
      <c r="AE100" s="39"/>
      <c r="AF100" s="39"/>
    </row>
    <row r="101" spans="1:32" x14ac:dyDescent="0.3">
      <c r="A101" s="39"/>
      <c r="B101" s="151" t="s">
        <v>13</v>
      </c>
      <c r="C101" s="41">
        <v>0.54559999999999997</v>
      </c>
      <c r="D101" s="41">
        <v>2.0405000000000002</v>
      </c>
      <c r="E101" s="41">
        <v>1.3454999999999999</v>
      </c>
      <c r="F101" s="41">
        <v>1.0800000000000001E-2</v>
      </c>
      <c r="G101" s="41">
        <v>2.0004</v>
      </c>
      <c r="H101" s="41">
        <v>0.1</v>
      </c>
      <c r="I101" s="41">
        <v>0.191</v>
      </c>
      <c r="J101" s="42"/>
      <c r="K101" s="42"/>
      <c r="L101" s="156" t="s">
        <v>13</v>
      </c>
      <c r="M101" s="41">
        <f>I101/0.01043</f>
        <v>18.312559923298178</v>
      </c>
      <c r="N101" s="41">
        <f>(M101*G101/H101)/1000000/F101</f>
        <v>3.3918930435708948E-2</v>
      </c>
      <c r="O101" s="41">
        <f>N101*D101/C101</f>
        <v>0.1268540644319357</v>
      </c>
      <c r="P101" s="41">
        <f>N101*0.1478+1.333</f>
        <v>1.3380132179183977</v>
      </c>
      <c r="Q101" s="41">
        <f>E101-(P101-1.333)</f>
        <v>1.3404867820816022</v>
      </c>
      <c r="R101" s="41">
        <f>(Q101-1.333)/0.1358</f>
        <v>5.513094316349227E-2</v>
      </c>
      <c r="S101" s="41">
        <f>R101*D101/C101</f>
        <v>0.2061852813876576</v>
      </c>
      <c r="T101" s="42"/>
      <c r="U101" s="42"/>
      <c r="V101" s="201" t="s">
        <v>13</v>
      </c>
      <c r="W101" s="43">
        <f>O101</f>
        <v>0.1268540644319357</v>
      </c>
      <c r="X101" s="43">
        <f>S101</f>
        <v>0.2061852813876576</v>
      </c>
      <c r="Y101" s="43">
        <f>1-X101-W101</f>
        <v>0.66696065418040673</v>
      </c>
      <c r="Z101" s="42"/>
      <c r="AA101" s="42"/>
      <c r="AB101" s="39"/>
      <c r="AC101" s="39"/>
      <c r="AD101" s="39"/>
      <c r="AE101" s="39"/>
      <c r="AF101" s="39"/>
    </row>
    <row r="102" spans="1:32" x14ac:dyDescent="0.3">
      <c r="A102" s="39"/>
      <c r="B102" s="151" t="s">
        <v>14</v>
      </c>
      <c r="C102" s="41">
        <v>0.54320000000000002</v>
      </c>
      <c r="D102" s="41">
        <v>2.0388999999999999</v>
      </c>
      <c r="E102" s="41">
        <v>1.3454999999999999</v>
      </c>
      <c r="F102" s="41">
        <v>1.03E-2</v>
      </c>
      <c r="G102" s="41">
        <v>1.998</v>
      </c>
      <c r="H102" s="41">
        <v>0.1</v>
      </c>
      <c r="I102" s="41">
        <v>0.189</v>
      </c>
      <c r="J102" s="42"/>
      <c r="K102" s="42"/>
      <c r="L102" s="156" t="s">
        <v>14</v>
      </c>
      <c r="M102" s="41">
        <f t="shared" ref="M102:M103" si="31">I102/0.01043</f>
        <v>18.120805369127517</v>
      </c>
      <c r="N102" s="41">
        <f>(M102*G102/H102)/1000000/F102</f>
        <v>3.5150843813123084E-2</v>
      </c>
      <c r="O102" s="41">
        <f>N102*D102/C102</f>
        <v>0.1319386145997361</v>
      </c>
      <c r="P102" s="41">
        <f>N102*0.1478+1.333</f>
        <v>1.3381952947155795</v>
      </c>
      <c r="Q102" s="41">
        <f t="shared" ref="Q102:Q103" si="32">E102-(P102-1.333)</f>
        <v>1.3403047052844204</v>
      </c>
      <c r="R102" s="41">
        <f t="shared" ref="R102:R103" si="33">(Q102-1.333)/0.1358</f>
        <v>5.3790171461122228E-2</v>
      </c>
      <c r="S102" s="41">
        <f>R102*D102/C102</f>
        <v>0.20190128974978294</v>
      </c>
      <c r="T102" s="42"/>
      <c r="U102" s="42"/>
      <c r="V102" s="201" t="s">
        <v>14</v>
      </c>
      <c r="W102" s="43">
        <f>O102</f>
        <v>0.1319386145997361</v>
      </c>
      <c r="X102" s="43">
        <f>S102</f>
        <v>0.20190128974978294</v>
      </c>
      <c r="Y102" s="43">
        <f>1-X102-W102</f>
        <v>0.66616009565048095</v>
      </c>
      <c r="Z102" s="42"/>
      <c r="AA102" s="42"/>
      <c r="AB102" s="39"/>
      <c r="AC102" s="39"/>
      <c r="AD102" s="39"/>
      <c r="AE102" s="39"/>
      <c r="AF102" s="39"/>
    </row>
    <row r="103" spans="1:32" x14ac:dyDescent="0.3">
      <c r="A103" s="39"/>
      <c r="B103" s="151" t="s">
        <v>15</v>
      </c>
      <c r="C103" s="41">
        <v>0.54369999999999996</v>
      </c>
      <c r="D103" s="41">
        <v>2.0337999999999998</v>
      </c>
      <c r="E103" s="41">
        <v>1.3455999999999999</v>
      </c>
      <c r="F103" s="41">
        <v>1.01E-2</v>
      </c>
      <c r="G103" s="41">
        <v>1.9997</v>
      </c>
      <c r="H103" s="41">
        <v>0.1</v>
      </c>
      <c r="I103" s="41">
        <v>0.214</v>
      </c>
      <c r="J103" s="42"/>
      <c r="K103" s="42"/>
      <c r="L103" s="156" t="s">
        <v>15</v>
      </c>
      <c r="M103" s="41">
        <f t="shared" si="31"/>
        <v>20.517737296260787</v>
      </c>
      <c r="N103" s="41">
        <f>(M103*G103/H103)/1000000/F103</f>
        <v>4.0623088387458116E-2</v>
      </c>
      <c r="O103" s="41">
        <f>N103*D103/C103</f>
        <v>0.15195739776055234</v>
      </c>
      <c r="P103" s="41">
        <f>N103*0.1478+1.333</f>
        <v>1.3390040924636664</v>
      </c>
      <c r="Q103" s="41">
        <f t="shared" si="32"/>
        <v>1.3395959075363335</v>
      </c>
      <c r="R103" s="41">
        <f t="shared" si="33"/>
        <v>4.8570747690232292E-2</v>
      </c>
      <c r="S103" s="41">
        <f>R103*D103/C103</f>
        <v>0.18168693517085605</v>
      </c>
      <c r="T103" s="42"/>
      <c r="U103" s="42"/>
      <c r="V103" s="201" t="s">
        <v>15</v>
      </c>
      <c r="W103" s="43">
        <f>O103</f>
        <v>0.15195739776055234</v>
      </c>
      <c r="X103" s="43">
        <f>S103</f>
        <v>0.18168693517085605</v>
      </c>
      <c r="Y103" s="43">
        <f>1-X103-W103</f>
        <v>0.66635566706859151</v>
      </c>
      <c r="Z103" s="156" t="s">
        <v>69</v>
      </c>
      <c r="AA103" s="156" t="s">
        <v>8</v>
      </c>
      <c r="AB103" s="39"/>
      <c r="AC103" s="39"/>
      <c r="AD103" s="39"/>
      <c r="AE103" s="39"/>
      <c r="AF103" s="39"/>
    </row>
    <row r="104" spans="1:32" x14ac:dyDescent="0.3">
      <c r="A104" s="39"/>
      <c r="B104" s="151" t="s">
        <v>22</v>
      </c>
      <c r="C104" s="41">
        <f>AVERAGE(C101:C103)</f>
        <v>0.54416666666666658</v>
      </c>
      <c r="D104" s="41">
        <f>C104+1.5</f>
        <v>2.0441666666666665</v>
      </c>
      <c r="E104" s="41">
        <f>AVERAGE(E101:E103)</f>
        <v>1.3455333333333332</v>
      </c>
      <c r="F104" s="41">
        <f>AVERAGE(F101:F103)</f>
        <v>1.04E-2</v>
      </c>
      <c r="G104" s="41">
        <f>AVERAGE(G101:G103)</f>
        <v>1.9993666666666667</v>
      </c>
      <c r="H104" s="41">
        <f>AVERAGE(H101:H103)</f>
        <v>0.10000000000000002</v>
      </c>
      <c r="I104" s="41">
        <f>AVERAGE(I101:I103)</f>
        <v>0.19799999999999998</v>
      </c>
      <c r="J104" s="42"/>
      <c r="K104" s="42"/>
      <c r="L104" s="156" t="s">
        <v>22</v>
      </c>
      <c r="M104" s="41">
        <f>AVERAGE(M101:M103)</f>
        <v>18.983700862895493</v>
      </c>
      <c r="N104" s="41">
        <f>AVERAGE(N101:N103)</f>
        <v>3.6564287545430056E-2</v>
      </c>
      <c r="O104" s="41">
        <f>AVERAGE(O102:O103)</f>
        <v>0.14194800618014422</v>
      </c>
      <c r="P104" s="41">
        <f>AVERAGE(P102:P103)</f>
        <v>1.3385996935896229</v>
      </c>
      <c r="Q104" s="41">
        <f>AVERAGE(Q102:Q103)</f>
        <v>1.339950306410377</v>
      </c>
      <c r="R104" s="41">
        <f>AVERAGE(R102:R103)</f>
        <v>5.118045957567726E-2</v>
      </c>
      <c r="S104" s="193">
        <f>AVERAGE(S101,S102)</f>
        <v>0.20404328556872026</v>
      </c>
      <c r="T104" s="19"/>
      <c r="U104" s="42"/>
      <c r="V104" s="201" t="s">
        <v>22</v>
      </c>
      <c r="W104" s="43">
        <f>AVERAGE(W101:W103)</f>
        <v>0.13691669226407471</v>
      </c>
      <c r="X104" s="43">
        <f>AVERAGE(X101:X103)</f>
        <v>0.19659116876943217</v>
      </c>
      <c r="Y104" s="43">
        <f>AVERAGE(Y101:Y103)</f>
        <v>0.66649213896649306</v>
      </c>
      <c r="Z104" s="41">
        <f>C104/0.5</f>
        <v>1.0883333333333332</v>
      </c>
      <c r="AA104" s="41">
        <f>C105/0.5</f>
        <v>2.5324559884296496E-3</v>
      </c>
      <c r="AB104" s="39"/>
      <c r="AC104" s="39"/>
      <c r="AD104" s="39"/>
      <c r="AE104" s="39"/>
      <c r="AF104" s="39"/>
    </row>
    <row r="105" spans="1:32" x14ac:dyDescent="0.3">
      <c r="A105" s="39"/>
      <c r="B105" s="151" t="s">
        <v>8</v>
      </c>
      <c r="C105" s="41">
        <f t="shared" ref="C105:I105" si="34">_xlfn.STDEV.S(C101:C103)</f>
        <v>1.2662279942148248E-3</v>
      </c>
      <c r="D105" s="41">
        <f t="shared" si="34"/>
        <v>3.4990474894368729E-3</v>
      </c>
      <c r="E105" s="41">
        <f t="shared" si="34"/>
        <v>5.7735026918956222E-5</v>
      </c>
      <c r="F105" s="41">
        <f t="shared" si="34"/>
        <v>3.6055512754639942E-4</v>
      </c>
      <c r="G105" s="41">
        <f t="shared" si="34"/>
        <v>1.2342339054382282E-3</v>
      </c>
      <c r="H105" s="41">
        <f t="shared" si="34"/>
        <v>1.6996749443881478E-17</v>
      </c>
      <c r="I105" s="41">
        <f t="shared" si="34"/>
        <v>1.3892443989449802E-2</v>
      </c>
      <c r="J105" s="42"/>
      <c r="K105" s="42"/>
      <c r="L105" s="156" t="s">
        <v>8</v>
      </c>
      <c r="M105" s="41">
        <f>_xlfn.STDEV.S(M101:M103)</f>
        <v>1.3319697017689174</v>
      </c>
      <c r="N105" s="41">
        <f>_xlfn.STDEV.S(N101:N103)</f>
        <v>3.5685852727374728E-3</v>
      </c>
      <c r="O105" s="41">
        <f>_xlfn.STDEV.S(O102:O103)</f>
        <v>1.4155417324116227E-2</v>
      </c>
      <c r="P105" s="41">
        <f>_xlfn.STDEV.S(P102:P103)</f>
        <v>5.7190637228061536E-4</v>
      </c>
      <c r="Q105" s="41">
        <f>_xlfn.STDEV.S(Q102:Q103)</f>
        <v>5.0119569416196832E-4</v>
      </c>
      <c r="R105" s="41">
        <f>_xlfn.STDEV.S(R102:R103)</f>
        <v>3.690689942282535E-3</v>
      </c>
      <c r="S105" s="41">
        <f>_xlfn.STDEV.S(S102:S103)</f>
        <v>1.4293707200068546E-2</v>
      </c>
      <c r="T105" s="42"/>
      <c r="U105" s="42"/>
      <c r="V105" s="201" t="s">
        <v>8</v>
      </c>
      <c r="W105" s="43">
        <f>_xlfn.STDEV.S(W101:W103)</f>
        <v>1.3271408326777116E-2</v>
      </c>
      <c r="X105" s="43">
        <f>_xlfn.STDEV.S(X101:X103)</f>
        <v>1.308397036296856E-2</v>
      </c>
      <c r="Y105" s="43">
        <f>_xlfn.STDEV.S(Y101:Y103)</f>
        <v>4.1736306035257848E-4</v>
      </c>
      <c r="Z105" s="41">
        <f>C105/0.5</f>
        <v>2.5324559884296496E-3</v>
      </c>
      <c r="AA105" s="41"/>
      <c r="AB105" s="39"/>
      <c r="AC105" s="39"/>
      <c r="AD105" s="39"/>
      <c r="AE105" s="39"/>
      <c r="AF105" s="39"/>
    </row>
    <row r="106" spans="1:32" x14ac:dyDescent="0.3">
      <c r="A106" s="39"/>
      <c r="B106" s="39"/>
      <c r="C106" s="42"/>
      <c r="D106" s="42"/>
      <c r="E106" s="42"/>
      <c r="F106" s="42"/>
      <c r="G106" s="42"/>
      <c r="H106" s="42"/>
      <c r="I106" s="42"/>
      <c r="J106" s="42"/>
      <c r="K106" s="42"/>
      <c r="L106" s="42"/>
      <c r="M106" s="42"/>
      <c r="N106" s="42"/>
      <c r="O106" s="42"/>
      <c r="P106" s="42"/>
      <c r="Q106" s="42"/>
      <c r="R106" s="42"/>
      <c r="S106" s="42"/>
      <c r="T106" s="42"/>
      <c r="U106" s="42"/>
      <c r="V106" s="197"/>
      <c r="W106" s="197"/>
      <c r="X106" s="197"/>
      <c r="Y106" s="197"/>
      <c r="Z106" s="42"/>
      <c r="AA106" s="42"/>
      <c r="AB106" s="39"/>
      <c r="AC106" s="39"/>
      <c r="AD106" s="39"/>
      <c r="AE106" s="39"/>
      <c r="AF106" s="39"/>
    </row>
    <row r="107" spans="1:32" x14ac:dyDescent="0.3">
      <c r="A107" s="39"/>
      <c r="B107" s="39"/>
      <c r="C107" s="42"/>
      <c r="D107" s="42"/>
      <c r="E107" s="42"/>
      <c r="F107" s="42"/>
      <c r="G107" s="42"/>
      <c r="H107" s="42"/>
      <c r="I107" s="42"/>
      <c r="J107" s="42"/>
      <c r="K107" s="42"/>
      <c r="L107" s="42"/>
      <c r="M107" s="42"/>
      <c r="N107" s="42"/>
      <c r="O107" s="42"/>
      <c r="P107" s="42"/>
      <c r="Q107" s="42"/>
      <c r="R107" s="42"/>
      <c r="S107" s="42"/>
      <c r="T107" s="42"/>
      <c r="U107" s="42"/>
      <c r="V107" s="197"/>
      <c r="W107" s="197"/>
      <c r="X107" s="197"/>
      <c r="Y107" s="197"/>
      <c r="Z107" s="42"/>
      <c r="AA107" s="42"/>
      <c r="AB107" s="39"/>
      <c r="AC107" s="39"/>
      <c r="AD107" s="39"/>
      <c r="AE107" s="39"/>
      <c r="AF107" s="39"/>
    </row>
    <row r="108" spans="1:32" x14ac:dyDescent="0.3">
      <c r="A108" s="39"/>
      <c r="B108" s="39"/>
      <c r="C108" s="42"/>
      <c r="D108" s="42"/>
      <c r="E108" s="42"/>
      <c r="F108" s="42"/>
      <c r="G108" s="42"/>
      <c r="H108" s="42"/>
      <c r="I108" s="42"/>
      <c r="J108" s="42"/>
      <c r="K108" s="42"/>
      <c r="L108" s="42"/>
      <c r="M108" s="42"/>
      <c r="N108" s="42"/>
      <c r="O108" s="42"/>
      <c r="P108" s="42"/>
      <c r="Q108" s="42"/>
      <c r="R108" s="42"/>
      <c r="S108" s="42"/>
      <c r="T108" s="42"/>
      <c r="U108" s="42"/>
      <c r="V108" s="288" t="s">
        <v>20</v>
      </c>
      <c r="W108" s="289"/>
      <c r="X108" s="289"/>
      <c r="Y108" s="290"/>
      <c r="Z108" s="42"/>
      <c r="AA108" s="42"/>
      <c r="AB108" s="39"/>
      <c r="AC108" s="39"/>
      <c r="AD108" s="39"/>
      <c r="AE108" s="39"/>
      <c r="AF108" s="39"/>
    </row>
    <row r="109" spans="1:32" x14ac:dyDescent="0.3">
      <c r="A109" s="39"/>
      <c r="B109" s="151" t="s">
        <v>11</v>
      </c>
      <c r="C109" s="156" t="s">
        <v>23</v>
      </c>
      <c r="D109" s="156" t="s">
        <v>32</v>
      </c>
      <c r="E109" s="156" t="s">
        <v>24</v>
      </c>
      <c r="F109" s="156" t="s">
        <v>25</v>
      </c>
      <c r="G109" s="156" t="s">
        <v>28</v>
      </c>
      <c r="H109" s="156" t="s">
        <v>27</v>
      </c>
      <c r="I109" s="156" t="s">
        <v>26</v>
      </c>
      <c r="J109" s="42"/>
      <c r="K109" s="42"/>
      <c r="L109" s="156" t="s">
        <v>11</v>
      </c>
      <c r="M109" s="156" t="s">
        <v>30</v>
      </c>
      <c r="N109" s="156" t="s">
        <v>34</v>
      </c>
      <c r="O109" s="156" t="s">
        <v>35</v>
      </c>
      <c r="P109" s="156" t="s">
        <v>37</v>
      </c>
      <c r="Q109" s="156" t="s">
        <v>38</v>
      </c>
      <c r="R109" s="156" t="s">
        <v>39</v>
      </c>
      <c r="S109" s="156" t="s">
        <v>47</v>
      </c>
      <c r="T109" s="42"/>
      <c r="U109" s="42"/>
      <c r="V109" s="201" t="s">
        <v>11</v>
      </c>
      <c r="W109" s="201" t="s">
        <v>17</v>
      </c>
      <c r="X109" s="201" t="s">
        <v>18</v>
      </c>
      <c r="Y109" s="201" t="s">
        <v>44</v>
      </c>
      <c r="Z109" s="42"/>
      <c r="AA109" s="42"/>
      <c r="AB109" s="39"/>
      <c r="AC109" s="39"/>
      <c r="AD109" s="39"/>
      <c r="AE109" s="39"/>
      <c r="AF109" s="39"/>
    </row>
    <row r="110" spans="1:32" x14ac:dyDescent="0.3">
      <c r="A110" s="39"/>
      <c r="B110" s="151" t="s">
        <v>13</v>
      </c>
      <c r="C110" s="41">
        <v>0.60409999999999997</v>
      </c>
      <c r="D110" s="41">
        <v>2.097</v>
      </c>
      <c r="E110" s="41">
        <v>1.3539000000000001</v>
      </c>
      <c r="F110" s="41">
        <v>1.0200000000000001E-2</v>
      </c>
      <c r="G110" s="41">
        <v>1.9997</v>
      </c>
      <c r="H110" s="41">
        <v>0.1</v>
      </c>
      <c r="I110" s="41">
        <v>0.77200000000000002</v>
      </c>
      <c r="J110" s="42"/>
      <c r="K110" s="42"/>
      <c r="L110" s="156" t="s">
        <v>13</v>
      </c>
      <c r="M110" s="41">
        <f>I110/0.01043</f>
        <v>74.017257909875354</v>
      </c>
      <c r="N110" s="41">
        <f>(M110*G110/H110)/1000000/F110</f>
        <v>0.14511010847291933</v>
      </c>
      <c r="O110" s="41">
        <f>N110*D110/C110</f>
        <v>0.50371775776810435</v>
      </c>
      <c r="P110" s="41">
        <f>N110*0.1478+1.333</f>
        <v>1.3544472740322975</v>
      </c>
      <c r="Q110" s="41">
        <f>E110-(P110-1.333)</f>
        <v>1.3324527259677026</v>
      </c>
      <c r="R110" s="41">
        <f>(Q110-1.333)/0.1358</f>
        <v>-4.0300002378304382E-3</v>
      </c>
      <c r="S110" s="41">
        <f>R110*D110/C110</f>
        <v>-1.3989257571147872E-2</v>
      </c>
      <c r="T110" s="42"/>
      <c r="U110" s="42"/>
      <c r="V110" s="201" t="s">
        <v>13</v>
      </c>
      <c r="W110" s="43">
        <f>O110</f>
        <v>0.50371775776810435</v>
      </c>
      <c r="X110" s="43">
        <f>S110</f>
        <v>-1.3989257571147872E-2</v>
      </c>
      <c r="Y110" s="43">
        <f>1-X110-W110</f>
        <v>0.51027149980304343</v>
      </c>
      <c r="Z110" s="42"/>
      <c r="AA110" s="42"/>
      <c r="AB110" s="39"/>
      <c r="AC110" s="39"/>
      <c r="AD110" s="39"/>
      <c r="AE110" s="39"/>
      <c r="AF110" s="39"/>
    </row>
    <row r="111" spans="1:32" x14ac:dyDescent="0.3">
      <c r="A111" s="39"/>
      <c r="B111" s="151" t="s">
        <v>14</v>
      </c>
      <c r="C111" s="41">
        <v>0.60370000000000001</v>
      </c>
      <c r="D111" s="41">
        <v>2.0966999999999998</v>
      </c>
      <c r="E111" s="41">
        <v>1.3539000000000001</v>
      </c>
      <c r="F111" s="41">
        <v>1.0500000000000001E-2</v>
      </c>
      <c r="G111" s="41">
        <v>2.0019999999999998</v>
      </c>
      <c r="H111" s="41">
        <v>0.1</v>
      </c>
      <c r="I111" s="41">
        <v>0.78900000000000003</v>
      </c>
      <c r="J111" s="42"/>
      <c r="K111" s="42"/>
      <c r="L111" s="156" t="s">
        <v>14</v>
      </c>
      <c r="M111" s="41">
        <f t="shared" ref="M111:M112" si="35">I111/0.01043</f>
        <v>75.647171620325992</v>
      </c>
      <c r="N111" s="41">
        <f>(M111*G111/H111)/1000000/F111</f>
        <v>0.14423394055608818</v>
      </c>
      <c r="O111" s="41">
        <f>N111*D111/C111</f>
        <v>0.5009363974887362</v>
      </c>
      <c r="P111" s="41">
        <f>N111*0.1478+1.333</f>
        <v>1.3543177764141898</v>
      </c>
      <c r="Q111" s="41">
        <f t="shared" ref="Q111:Q112" si="36">E111-(P111-1.333)</f>
        <v>1.3325822235858102</v>
      </c>
      <c r="R111" s="41">
        <f t="shared" ref="R111:R112" si="37">(Q111-1.333)/0.1358</f>
        <v>-3.0764095301157503E-3</v>
      </c>
      <c r="S111" s="41">
        <f>R111*D111/C111</f>
        <v>-1.0684624584717067E-2</v>
      </c>
      <c r="T111" s="42"/>
      <c r="U111" s="42"/>
      <c r="V111" s="201" t="s">
        <v>14</v>
      </c>
      <c r="W111" s="43">
        <f>O111</f>
        <v>0.5009363974887362</v>
      </c>
      <c r="X111" s="43">
        <f>S111</f>
        <v>-1.0684624584717067E-2</v>
      </c>
      <c r="Y111" s="43">
        <f>1-X111-W111</f>
        <v>0.50974822709598078</v>
      </c>
      <c r="Z111" s="42"/>
      <c r="AA111" s="42"/>
      <c r="AB111" s="39"/>
      <c r="AC111" s="39"/>
      <c r="AD111" s="39"/>
      <c r="AE111" s="39"/>
      <c r="AF111" s="39"/>
    </row>
    <row r="112" spans="1:32" x14ac:dyDescent="0.3">
      <c r="A112" s="39"/>
      <c r="B112" s="151" t="s">
        <v>15</v>
      </c>
      <c r="C112" s="41">
        <v>0.60399999999999998</v>
      </c>
      <c r="D112" s="41">
        <v>2.0968</v>
      </c>
      <c r="E112" s="41">
        <v>1.3540000000000001</v>
      </c>
      <c r="F112" s="41">
        <v>1.0500000000000001E-2</v>
      </c>
      <c r="G112" s="41">
        <v>2.0009999999999999</v>
      </c>
      <c r="H112" s="41">
        <v>0.1</v>
      </c>
      <c r="I112" s="41">
        <v>0.73299999999999998</v>
      </c>
      <c r="J112" s="42"/>
      <c r="K112" s="42"/>
      <c r="L112" s="156" t="s">
        <v>15</v>
      </c>
      <c r="M112" s="41">
        <f t="shared" si="35"/>
        <v>70.278044103547458</v>
      </c>
      <c r="N112" s="41">
        <f>(M112*G112/H112)/1000000/F112</f>
        <v>0.13392987262018899</v>
      </c>
      <c r="O112" s="41">
        <f>N112*D112/C112</f>
        <v>0.46494065713578192</v>
      </c>
      <c r="P112" s="41">
        <f>N112*0.1478+1.333</f>
        <v>1.3527948351732639</v>
      </c>
      <c r="Q112" s="41">
        <f t="shared" si="36"/>
        <v>1.3342051648267361</v>
      </c>
      <c r="R112" s="41">
        <f t="shared" si="37"/>
        <v>8.8745568979098702E-3</v>
      </c>
      <c r="S112" s="41">
        <f>R112*D112/C112</f>
        <v>3.0808229972744065E-2</v>
      </c>
      <c r="T112" s="42"/>
      <c r="U112" s="42"/>
      <c r="V112" s="201" t="s">
        <v>15</v>
      </c>
      <c r="W112" s="43">
        <f>O112</f>
        <v>0.46494065713578192</v>
      </c>
      <c r="X112" s="43">
        <f>S112</f>
        <v>3.0808229972744065E-2</v>
      </c>
      <c r="Y112" s="43">
        <f>1-X112-W112</f>
        <v>0.50425111289147406</v>
      </c>
      <c r="Z112" s="156" t="s">
        <v>69</v>
      </c>
      <c r="AA112" s="156" t="s">
        <v>8</v>
      </c>
      <c r="AB112" s="39"/>
      <c r="AC112" s="39"/>
      <c r="AD112" s="39"/>
      <c r="AE112" s="39"/>
      <c r="AF112" s="39"/>
    </row>
    <row r="113" spans="1:32" x14ac:dyDescent="0.3">
      <c r="A113" s="39"/>
      <c r="B113" s="151" t="s">
        <v>22</v>
      </c>
      <c r="C113" s="41">
        <f>AVERAGE(C110:C112)</f>
        <v>0.60393333333333332</v>
      </c>
      <c r="D113" s="41">
        <f>C113+1.5</f>
        <v>2.1039333333333334</v>
      </c>
      <c r="E113" s="41">
        <f>AVERAGE(E110:E112)</f>
        <v>1.3539333333333332</v>
      </c>
      <c r="F113" s="41">
        <f>AVERAGE(F110:F112)</f>
        <v>1.0400000000000001E-2</v>
      </c>
      <c r="G113" s="41">
        <f>AVERAGE(G110:G112)</f>
        <v>2.0008999999999997</v>
      </c>
      <c r="H113" s="41">
        <f>AVERAGE(H110:H112)</f>
        <v>0.10000000000000002</v>
      </c>
      <c r="I113" s="41">
        <f>AVERAGE(I110:I112)</f>
        <v>0.76466666666666672</v>
      </c>
      <c r="J113" s="42"/>
      <c r="K113" s="42"/>
      <c r="L113" s="156" t="s">
        <v>22</v>
      </c>
      <c r="M113" s="41">
        <f t="shared" ref="M113:R113" si="38">AVERAGE(M110:M112)</f>
        <v>73.314157877916273</v>
      </c>
      <c r="N113" s="41">
        <f t="shared" si="38"/>
        <v>0.14109130721639884</v>
      </c>
      <c r="O113" s="41">
        <f t="shared" si="38"/>
        <v>0.48986493746420751</v>
      </c>
      <c r="P113" s="41">
        <f t="shared" si="38"/>
        <v>1.3538532952065838</v>
      </c>
      <c r="Q113" s="41">
        <f t="shared" si="38"/>
        <v>1.3330800381267496</v>
      </c>
      <c r="R113" s="41">
        <f t="shared" si="38"/>
        <v>5.8938237665456057E-4</v>
      </c>
      <c r="S113" s="193">
        <f>AVERAGE(S110,S111)</f>
        <v>-1.233694107793247E-2</v>
      </c>
      <c r="T113" s="42"/>
      <c r="U113" s="42"/>
      <c r="V113" s="201" t="s">
        <v>22</v>
      </c>
      <c r="W113" s="43">
        <f>AVERAGE(W110:W112)</f>
        <v>0.48986493746420751</v>
      </c>
      <c r="X113" s="43">
        <f>AVERAGE(X110:X112)</f>
        <v>2.0447826056263752E-3</v>
      </c>
      <c r="Y113" s="43">
        <f t="shared" ref="Y113" si="39">AVERAGE(Y110:Y112)</f>
        <v>0.50809027993016598</v>
      </c>
      <c r="Z113" s="41">
        <f>C113/0.5</f>
        <v>1.2078666666666666</v>
      </c>
      <c r="AA113" s="41">
        <f>C114/0.5</f>
        <v>4.1633319989318069E-4</v>
      </c>
      <c r="AB113" s="39"/>
      <c r="AC113" s="39"/>
      <c r="AD113" s="39"/>
      <c r="AE113" s="39"/>
      <c r="AF113" s="39"/>
    </row>
    <row r="114" spans="1:32" x14ac:dyDescent="0.3">
      <c r="A114" s="39"/>
      <c r="B114" s="151" t="s">
        <v>8</v>
      </c>
      <c r="C114" s="41">
        <f t="shared" ref="C114:I114" si="40">_xlfn.STDEV.S(C110:C112)</f>
        <v>2.0816659994659034E-4</v>
      </c>
      <c r="D114" s="41">
        <f t="shared" si="40"/>
        <v>1.5275252316527475E-4</v>
      </c>
      <c r="E114" s="41">
        <f t="shared" si="40"/>
        <v>5.7735026918956215E-5</v>
      </c>
      <c r="F114" s="41">
        <f t="shared" si="40"/>
        <v>1.7320508075688767E-4</v>
      </c>
      <c r="G114" s="41">
        <f t="shared" si="40"/>
        <v>1.1532562594669526E-3</v>
      </c>
      <c r="H114" s="41">
        <f t="shared" si="40"/>
        <v>1.6996749443881478E-17</v>
      </c>
      <c r="I114" s="41">
        <f t="shared" si="40"/>
        <v>2.8711205710198497E-2</v>
      </c>
      <c r="J114" s="42"/>
      <c r="K114" s="42"/>
      <c r="L114" s="156" t="s">
        <v>8</v>
      </c>
      <c r="M114" s="41">
        <f t="shared" ref="M114:R114" si="41">_xlfn.STDEV.S(M110:M112)</f>
        <v>2.7527522253306338</v>
      </c>
      <c r="N114" s="41">
        <f t="shared" si="41"/>
        <v>6.2174373065970274E-3</v>
      </c>
      <c r="O114" s="41">
        <f t="shared" si="41"/>
        <v>2.1629812844043934E-2</v>
      </c>
      <c r="P114" s="41">
        <f t="shared" si="41"/>
        <v>9.1893723391503826E-4</v>
      </c>
      <c r="Q114" s="41">
        <f t="shared" si="41"/>
        <v>9.7653723766209951E-4</v>
      </c>
      <c r="R114" s="41">
        <f t="shared" si="41"/>
        <v>7.1909958590728974E-3</v>
      </c>
      <c r="S114" s="41">
        <f>_xlfn.STDEV.S(S111:S112)</f>
        <v>2.9339878828367912E-2</v>
      </c>
      <c r="T114" s="42"/>
      <c r="U114" s="42"/>
      <c r="V114" s="201" t="s">
        <v>8</v>
      </c>
      <c r="W114" s="43">
        <f>_xlfn.STDEV.S(W110:W112)</f>
        <v>2.1629812844043934E-2</v>
      </c>
      <c r="X114" s="43">
        <f>_xlfn.STDEV.S(X110:X112)</f>
        <v>2.4964616522679933E-2</v>
      </c>
      <c r="Y114" s="43">
        <f>_xlfn.STDEV.S(Y110:Y112)</f>
        <v>3.3350946380460698E-3</v>
      </c>
      <c r="Z114" s="41">
        <f>C114/0.5</f>
        <v>4.1633319989318069E-4</v>
      </c>
      <c r="AA114" s="41"/>
      <c r="AB114" s="39"/>
      <c r="AC114" s="39"/>
      <c r="AD114" s="39"/>
      <c r="AE114" s="39"/>
      <c r="AF114" s="39"/>
    </row>
    <row r="115" spans="1:32" x14ac:dyDescent="0.3">
      <c r="A115" s="39"/>
      <c r="B115" s="39"/>
      <c r="C115" s="42"/>
      <c r="D115" s="42"/>
      <c r="E115" s="42"/>
      <c r="F115" s="42"/>
      <c r="G115" s="42"/>
      <c r="H115" s="42"/>
      <c r="I115" s="42"/>
      <c r="J115" s="42"/>
      <c r="K115" s="42"/>
      <c r="L115" s="42"/>
      <c r="M115" s="42"/>
      <c r="N115" s="42"/>
      <c r="O115" s="42"/>
      <c r="P115" s="42"/>
      <c r="Q115" s="42"/>
      <c r="R115" s="42"/>
      <c r="S115" s="42"/>
      <c r="T115" s="42"/>
      <c r="U115" s="42"/>
      <c r="V115" s="197"/>
      <c r="W115" s="197"/>
      <c r="X115" s="197"/>
      <c r="Y115" s="197"/>
      <c r="Z115" s="42"/>
      <c r="AA115" s="42"/>
      <c r="AB115" s="39"/>
      <c r="AC115" s="39"/>
      <c r="AD115" s="39"/>
      <c r="AE115" s="39"/>
      <c r="AF115" s="39"/>
    </row>
    <row r="116" spans="1:32" x14ac:dyDescent="0.3">
      <c r="A116" s="39"/>
      <c r="B116" s="39"/>
      <c r="C116" s="42"/>
      <c r="D116" s="42"/>
      <c r="E116" s="42"/>
      <c r="F116" s="42"/>
      <c r="G116" s="42"/>
      <c r="H116" s="42"/>
      <c r="I116" s="42"/>
      <c r="J116" s="42"/>
      <c r="K116" s="42"/>
      <c r="L116" s="42"/>
      <c r="M116" s="42"/>
      <c r="N116" s="42"/>
      <c r="O116" s="42"/>
      <c r="P116" s="42"/>
      <c r="Q116" s="42"/>
      <c r="R116" s="42"/>
      <c r="S116" s="42"/>
      <c r="T116" s="42"/>
      <c r="U116" s="42"/>
      <c r="V116" s="197"/>
      <c r="W116" s="197"/>
      <c r="X116" s="197"/>
      <c r="Y116" s="197"/>
      <c r="Z116" s="42"/>
      <c r="AA116" s="42"/>
      <c r="AB116" s="39"/>
      <c r="AC116" s="39"/>
      <c r="AD116" s="39"/>
      <c r="AE116" s="39"/>
      <c r="AF116" s="39"/>
    </row>
    <row r="117" spans="1:32" x14ac:dyDescent="0.3">
      <c r="A117" s="39"/>
      <c r="B117" s="39"/>
      <c r="C117" s="42"/>
      <c r="D117" s="42"/>
      <c r="E117" s="42"/>
      <c r="F117" s="42"/>
      <c r="G117" s="42"/>
      <c r="H117" s="42"/>
      <c r="I117" s="42"/>
      <c r="J117" s="42"/>
      <c r="K117" s="42"/>
      <c r="L117" s="42"/>
      <c r="M117" s="42"/>
      <c r="N117" s="42"/>
      <c r="O117" s="42"/>
      <c r="P117" s="42"/>
      <c r="Q117" s="42"/>
      <c r="R117" s="42"/>
      <c r="S117" s="42"/>
      <c r="T117" s="42"/>
      <c r="U117" s="42"/>
      <c r="V117" s="197"/>
      <c r="W117" s="197"/>
      <c r="X117" s="197"/>
      <c r="Y117" s="197"/>
      <c r="Z117" s="42"/>
      <c r="AA117" s="42"/>
      <c r="AB117" s="39"/>
      <c r="AC117" s="39"/>
      <c r="AD117" s="39"/>
      <c r="AE117" s="39"/>
      <c r="AF117" s="39"/>
    </row>
    <row r="118" spans="1:32" x14ac:dyDescent="0.3">
      <c r="A118" s="39"/>
      <c r="B118" s="39"/>
      <c r="C118" s="42"/>
      <c r="D118" s="42"/>
      <c r="E118" s="42"/>
      <c r="F118" s="42"/>
      <c r="G118" s="42"/>
      <c r="H118" s="42"/>
      <c r="I118" s="42"/>
      <c r="J118" s="42"/>
      <c r="K118" s="42"/>
      <c r="L118" s="42"/>
      <c r="M118" s="42"/>
      <c r="N118" s="42"/>
      <c r="O118" s="42"/>
      <c r="P118" s="42"/>
      <c r="Q118" s="42"/>
      <c r="R118" s="42"/>
      <c r="S118" s="42"/>
      <c r="T118" s="42"/>
      <c r="U118" s="42"/>
      <c r="V118" s="197"/>
      <c r="W118" s="197"/>
      <c r="X118" s="197"/>
      <c r="Y118" s="197"/>
      <c r="Z118" s="42"/>
      <c r="AA118" s="42"/>
      <c r="AB118" s="39"/>
      <c r="AC118" s="39"/>
      <c r="AD118" s="39"/>
      <c r="AE118" s="39"/>
      <c r="AF118" s="39"/>
    </row>
    <row r="119" spans="1:32" x14ac:dyDescent="0.3">
      <c r="A119" s="39"/>
      <c r="B119" s="39"/>
      <c r="C119" s="42"/>
      <c r="D119" s="42"/>
      <c r="E119" s="42"/>
      <c r="F119" s="42"/>
      <c r="G119" s="42"/>
      <c r="H119" s="42"/>
      <c r="I119" s="42"/>
      <c r="J119" s="42"/>
      <c r="K119" s="42"/>
      <c r="L119" s="42"/>
      <c r="M119" s="42"/>
      <c r="N119" s="42"/>
      <c r="O119" s="42"/>
      <c r="P119" s="42"/>
      <c r="Q119" s="42"/>
      <c r="R119" s="42"/>
      <c r="S119" s="42"/>
      <c r="T119" s="42"/>
      <c r="U119" s="42"/>
      <c r="V119" s="197"/>
      <c r="W119" s="197"/>
      <c r="X119" s="197"/>
      <c r="Y119" s="197"/>
      <c r="Z119" s="42"/>
      <c r="AA119" s="42"/>
      <c r="AB119" s="39"/>
      <c r="AC119" s="39"/>
      <c r="AD119" s="39"/>
      <c r="AE119" s="39"/>
      <c r="AF119" s="39"/>
    </row>
    <row r="120" spans="1:32" x14ac:dyDescent="0.3">
      <c r="A120" s="39"/>
      <c r="B120" s="39"/>
      <c r="C120" s="42"/>
      <c r="D120" s="42"/>
      <c r="E120" s="42"/>
      <c r="F120" s="42"/>
      <c r="G120" s="42"/>
      <c r="H120" s="42"/>
      <c r="I120" s="42"/>
      <c r="J120" s="42"/>
      <c r="K120" s="42"/>
      <c r="L120" s="42"/>
      <c r="M120" s="42"/>
      <c r="N120" s="42"/>
      <c r="O120" s="42"/>
      <c r="P120" s="42"/>
      <c r="Q120" s="42"/>
      <c r="R120" s="42"/>
      <c r="S120" s="42"/>
      <c r="T120" s="42"/>
      <c r="U120" s="42"/>
      <c r="V120" s="197"/>
      <c r="W120" s="197"/>
      <c r="X120" s="197"/>
      <c r="Y120" s="197"/>
      <c r="Z120" s="42"/>
      <c r="AA120" s="42"/>
      <c r="AB120" s="39"/>
      <c r="AC120" s="39"/>
      <c r="AD120" s="39"/>
      <c r="AE120" s="39"/>
      <c r="AF120" s="39"/>
    </row>
    <row r="121" spans="1:32" x14ac:dyDescent="0.3">
      <c r="A121" s="192" t="s">
        <v>50</v>
      </c>
      <c r="B121" s="39"/>
      <c r="C121" s="42"/>
      <c r="D121" s="42"/>
      <c r="E121" s="42"/>
      <c r="F121" s="42"/>
      <c r="G121" s="42"/>
      <c r="H121" s="42"/>
      <c r="I121" s="42"/>
      <c r="J121" s="42"/>
      <c r="K121" s="42"/>
      <c r="L121" s="42"/>
      <c r="M121" s="42"/>
      <c r="N121" s="42"/>
      <c r="O121" s="42"/>
      <c r="P121" s="42"/>
      <c r="Q121" s="42"/>
      <c r="R121" s="42"/>
      <c r="S121" s="42"/>
      <c r="T121" s="42"/>
      <c r="U121" s="42"/>
      <c r="V121" s="197"/>
      <c r="W121" s="197"/>
      <c r="X121" s="197"/>
      <c r="Y121" s="197"/>
      <c r="Z121" s="42"/>
      <c r="AA121" s="42"/>
      <c r="AB121" s="39"/>
      <c r="AC121" s="39"/>
      <c r="AD121" s="39"/>
      <c r="AE121" s="39"/>
      <c r="AF121" s="39"/>
    </row>
    <row r="122" spans="1:32" x14ac:dyDescent="0.3">
      <c r="A122" s="39"/>
      <c r="B122" s="151"/>
      <c r="C122" s="287" t="s">
        <v>19</v>
      </c>
      <c r="D122" s="287"/>
      <c r="E122" s="287"/>
      <c r="F122" s="194"/>
      <c r="G122" s="195"/>
      <c r="H122" s="195"/>
      <c r="I122" s="156"/>
      <c r="J122" s="287" t="s">
        <v>20</v>
      </c>
      <c r="K122" s="287"/>
      <c r="L122" s="156"/>
      <c r="M122" s="42"/>
      <c r="N122" s="42"/>
      <c r="O122" s="42"/>
      <c r="P122" s="42"/>
      <c r="Q122" s="42"/>
      <c r="R122" s="42"/>
      <c r="S122" s="42"/>
      <c r="T122" s="42"/>
      <c r="U122" s="42"/>
      <c r="V122" s="197"/>
      <c r="W122" s="197"/>
      <c r="X122" s="197"/>
      <c r="Y122" s="197"/>
      <c r="Z122" s="42"/>
      <c r="AA122" s="42"/>
      <c r="AB122" s="39"/>
      <c r="AC122" s="39"/>
      <c r="AD122" s="39"/>
      <c r="AE122" s="39"/>
      <c r="AF122" s="39"/>
    </row>
    <row r="123" spans="1:32" x14ac:dyDescent="0.3">
      <c r="A123" s="39"/>
      <c r="B123" s="151" t="s">
        <v>12</v>
      </c>
      <c r="C123" s="156" t="s">
        <v>51</v>
      </c>
      <c r="D123" s="156" t="s">
        <v>40</v>
      </c>
      <c r="E123" s="156" t="s">
        <v>44</v>
      </c>
      <c r="F123" s="156" t="s">
        <v>21</v>
      </c>
      <c r="G123" s="42"/>
      <c r="H123" s="42"/>
      <c r="I123" s="156" t="s">
        <v>12</v>
      </c>
      <c r="J123" s="156" t="s">
        <v>17</v>
      </c>
      <c r="K123" s="156" t="s">
        <v>18</v>
      </c>
      <c r="L123" s="156" t="s">
        <v>44</v>
      </c>
      <c r="M123" s="42"/>
      <c r="N123" s="42"/>
      <c r="O123" s="42"/>
      <c r="P123" s="42"/>
      <c r="Q123" s="42"/>
      <c r="R123" s="42"/>
      <c r="S123" s="42"/>
      <c r="T123" s="42"/>
      <c r="U123" s="42"/>
      <c r="V123" s="197"/>
      <c r="W123" s="197"/>
      <c r="X123" s="197"/>
      <c r="Y123" s="197"/>
      <c r="Z123" s="42"/>
      <c r="AA123" s="42"/>
      <c r="AB123" s="39"/>
      <c r="AC123" s="39"/>
      <c r="AD123" s="39"/>
      <c r="AE123" s="39"/>
      <c r="AF123" s="39"/>
    </row>
    <row r="124" spans="1:32" x14ac:dyDescent="0.3">
      <c r="A124" s="39"/>
      <c r="B124" s="151" t="s">
        <v>13</v>
      </c>
      <c r="C124" s="41">
        <v>5.03</v>
      </c>
      <c r="D124" s="41">
        <v>2.5299999999999998</v>
      </c>
      <c r="E124" s="41">
        <v>2.5299999999999998</v>
      </c>
      <c r="F124" s="41">
        <f>SUM(C124:E124)</f>
        <v>10.09</v>
      </c>
      <c r="G124" s="42"/>
      <c r="H124" s="42"/>
      <c r="I124" s="156" t="s">
        <v>13</v>
      </c>
      <c r="J124" s="43">
        <f>C124*0.6/F124</f>
        <v>0.29910802775024781</v>
      </c>
      <c r="K124" s="43">
        <f>D124*0.2/F124</f>
        <v>5.0148662041625373E-2</v>
      </c>
      <c r="L124" s="43">
        <f>1-K124-J124</f>
        <v>0.65074331020812681</v>
      </c>
      <c r="M124" s="42"/>
      <c r="N124" s="42"/>
      <c r="O124" s="42"/>
      <c r="P124" s="42"/>
      <c r="Q124" s="42"/>
      <c r="R124" s="42"/>
      <c r="S124" s="42"/>
      <c r="T124" s="42"/>
      <c r="U124" s="42"/>
      <c r="V124" s="197" t="s">
        <v>12</v>
      </c>
      <c r="W124" s="197" t="s">
        <v>17</v>
      </c>
      <c r="X124" s="197" t="s">
        <v>18</v>
      </c>
      <c r="Y124" s="197" t="s">
        <v>44</v>
      </c>
      <c r="Z124" s="42"/>
      <c r="AA124" s="42"/>
      <c r="AB124" s="39"/>
      <c r="AC124" s="39"/>
      <c r="AD124" s="39"/>
      <c r="AE124" s="39"/>
      <c r="AF124" s="39"/>
    </row>
    <row r="125" spans="1:32" x14ac:dyDescent="0.3">
      <c r="A125" s="39"/>
      <c r="B125" s="5"/>
      <c r="C125" s="41"/>
      <c r="D125" s="41"/>
      <c r="E125" s="41"/>
      <c r="F125" s="41"/>
      <c r="G125" s="42"/>
      <c r="H125" s="42"/>
      <c r="I125" s="156" t="s">
        <v>14</v>
      </c>
      <c r="J125" s="43"/>
      <c r="K125" s="43"/>
      <c r="L125" s="43"/>
      <c r="M125" s="42"/>
      <c r="N125" s="42"/>
      <c r="O125" s="42"/>
      <c r="P125" s="42"/>
      <c r="Q125" s="42"/>
      <c r="R125" s="42"/>
      <c r="S125" s="42"/>
      <c r="T125" s="42"/>
      <c r="U125" s="42"/>
      <c r="V125" s="197" t="s">
        <v>13</v>
      </c>
      <c r="W125" s="197">
        <f>J127</f>
        <v>0.29910802775024781</v>
      </c>
      <c r="X125" s="197">
        <f>K127</f>
        <v>5.0148662041625373E-2</v>
      </c>
      <c r="Y125" s="197">
        <f>L127</f>
        <v>0.65074331020812681</v>
      </c>
      <c r="Z125" s="42"/>
      <c r="AA125" s="42"/>
      <c r="AB125" s="39"/>
      <c r="AC125" s="39"/>
      <c r="AD125" s="39"/>
      <c r="AE125" s="39"/>
      <c r="AF125" s="39"/>
    </row>
    <row r="126" spans="1:32" x14ac:dyDescent="0.3">
      <c r="A126" s="39"/>
      <c r="B126" s="5"/>
      <c r="C126" s="41"/>
      <c r="D126" s="41"/>
      <c r="E126" s="41"/>
      <c r="F126" s="41"/>
      <c r="G126" s="42"/>
      <c r="H126" s="42"/>
      <c r="I126" s="156" t="s">
        <v>15</v>
      </c>
      <c r="J126" s="43"/>
      <c r="K126" s="43"/>
      <c r="L126" s="43"/>
      <c r="M126" s="42"/>
      <c r="N126" s="42"/>
      <c r="O126" s="42"/>
      <c r="P126" s="42" t="s">
        <v>1</v>
      </c>
      <c r="Q126" s="42" t="s">
        <v>42</v>
      </c>
      <c r="R126" s="42"/>
      <c r="S126" s="42"/>
      <c r="T126" s="42"/>
      <c r="U126" s="42"/>
      <c r="V126" s="197" t="s">
        <v>53</v>
      </c>
      <c r="W126" s="197">
        <f>W134</f>
        <v>0.20877390106607574</v>
      </c>
      <c r="X126" s="197">
        <f>X134</f>
        <v>8.3673943547795698E-2</v>
      </c>
      <c r="Y126" s="197">
        <f>Y134</f>
        <v>0.70826540525149273</v>
      </c>
      <c r="Z126" s="42"/>
      <c r="AA126" s="42"/>
      <c r="AB126" s="39"/>
      <c r="AC126" s="39"/>
      <c r="AD126" s="39"/>
      <c r="AE126" s="39"/>
      <c r="AF126" s="39"/>
    </row>
    <row r="127" spans="1:32" x14ac:dyDescent="0.3">
      <c r="A127" s="39"/>
      <c r="B127" s="39"/>
      <c r="C127" s="42"/>
      <c r="D127" s="42"/>
      <c r="E127" s="42"/>
      <c r="F127" s="42"/>
      <c r="G127" s="42"/>
      <c r="H127" s="42"/>
      <c r="I127" s="156" t="s">
        <v>22</v>
      </c>
      <c r="J127" s="43">
        <f>AVERAGE(J124:J126)</f>
        <v>0.29910802775024781</v>
      </c>
      <c r="K127" s="43">
        <f>AVERAGE(K124:K126)</f>
        <v>5.0148662041625373E-2</v>
      </c>
      <c r="L127" s="43">
        <f>AVERAGE(L124:L126)</f>
        <v>0.65074331020812681</v>
      </c>
      <c r="M127" s="42"/>
      <c r="N127" s="42"/>
      <c r="O127" s="42"/>
      <c r="P127" s="42" t="s">
        <v>0</v>
      </c>
      <c r="Q127" s="42" t="s">
        <v>43</v>
      </c>
      <c r="R127" s="42"/>
      <c r="S127" s="42"/>
      <c r="T127" s="42"/>
      <c r="U127" s="42"/>
      <c r="V127" s="197" t="s">
        <v>14</v>
      </c>
      <c r="W127" s="197">
        <f>W143</f>
        <v>0.39785534068435757</v>
      </c>
      <c r="X127" s="197">
        <f>X143</f>
        <v>1.4082252064755883E-3</v>
      </c>
      <c r="Y127" s="197">
        <f>Y143</f>
        <v>0.60076244187120686</v>
      </c>
      <c r="Z127" s="42"/>
      <c r="AA127" s="42"/>
      <c r="AB127" s="39"/>
      <c r="AC127" s="39"/>
      <c r="AD127" s="39"/>
      <c r="AE127" s="39"/>
      <c r="AF127" s="39"/>
    </row>
    <row r="128" spans="1:32" x14ac:dyDescent="0.3">
      <c r="A128" s="39"/>
      <c r="B128" s="39" t="s">
        <v>31</v>
      </c>
      <c r="C128" s="42"/>
      <c r="D128" s="42"/>
      <c r="E128" s="42"/>
      <c r="F128" s="42"/>
      <c r="G128" s="42"/>
      <c r="H128" s="42"/>
      <c r="I128" s="156" t="s">
        <v>8</v>
      </c>
      <c r="J128" s="43" t="e">
        <f>_xlfn.STDEV.S(J124:J126)</f>
        <v>#DIV/0!</v>
      </c>
      <c r="K128" s="43" t="e">
        <f>_xlfn.STDEV.S(K124:K126)</f>
        <v>#DIV/0!</v>
      </c>
      <c r="L128" s="43" t="e">
        <f>_xlfn.STDEV.S(L124:L126)</f>
        <v>#DIV/0!</v>
      </c>
      <c r="M128" s="42"/>
      <c r="N128" s="42"/>
      <c r="O128" s="42"/>
      <c r="P128" s="42"/>
      <c r="Q128" s="42"/>
      <c r="R128" s="42"/>
      <c r="S128" s="42"/>
      <c r="T128" s="42"/>
      <c r="U128" s="42"/>
      <c r="V128" s="197"/>
      <c r="W128" s="197"/>
      <c r="X128" s="197"/>
      <c r="Y128" s="197"/>
      <c r="Z128" s="42"/>
      <c r="AA128" s="42"/>
      <c r="AB128" s="39"/>
      <c r="AC128" s="39"/>
      <c r="AD128" s="39"/>
      <c r="AE128" s="39"/>
      <c r="AF128" s="39"/>
    </row>
    <row r="129" spans="1:32" x14ac:dyDescent="0.3">
      <c r="A129" s="39"/>
      <c r="B129" s="39">
        <v>1.5</v>
      </c>
      <c r="C129" s="42"/>
      <c r="D129" s="42"/>
      <c r="E129" s="42"/>
      <c r="F129" s="42"/>
      <c r="G129" s="42"/>
      <c r="H129" s="42"/>
      <c r="I129" s="42"/>
      <c r="J129" s="42"/>
      <c r="K129" s="42"/>
      <c r="L129" s="42"/>
      <c r="M129" s="42"/>
      <c r="N129" s="42"/>
      <c r="O129" s="42"/>
      <c r="P129" s="42"/>
      <c r="Q129" s="42"/>
      <c r="R129" s="42"/>
      <c r="S129" s="42"/>
      <c r="T129" s="42"/>
      <c r="U129" s="42"/>
      <c r="V129" s="198" t="s">
        <v>20</v>
      </c>
      <c r="W129" s="199"/>
      <c r="X129" s="199"/>
      <c r="Y129" s="200"/>
      <c r="Z129" s="42"/>
      <c r="AA129" s="42"/>
      <c r="AB129" s="39"/>
      <c r="AC129" s="39"/>
      <c r="AD129" s="39"/>
      <c r="AE129" s="39"/>
      <c r="AF129" s="39"/>
    </row>
    <row r="130" spans="1:32" x14ac:dyDescent="0.3">
      <c r="A130" s="39"/>
      <c r="B130" s="151" t="s">
        <v>10</v>
      </c>
      <c r="C130" s="156" t="s">
        <v>23</v>
      </c>
      <c r="D130" s="156" t="s">
        <v>32</v>
      </c>
      <c r="E130" s="156" t="s">
        <v>24</v>
      </c>
      <c r="F130" s="156" t="s">
        <v>33</v>
      </c>
      <c r="G130" s="156" t="s">
        <v>28</v>
      </c>
      <c r="H130" s="156" t="s">
        <v>27</v>
      </c>
      <c r="I130" s="156" t="s">
        <v>26</v>
      </c>
      <c r="J130" s="42"/>
      <c r="K130" s="42"/>
      <c r="L130" s="156" t="s">
        <v>10</v>
      </c>
      <c r="M130" s="156" t="s">
        <v>30</v>
      </c>
      <c r="N130" s="156" t="s">
        <v>36</v>
      </c>
      <c r="O130" s="156" t="s">
        <v>35</v>
      </c>
      <c r="P130" s="156" t="s">
        <v>37</v>
      </c>
      <c r="Q130" s="156" t="s">
        <v>38</v>
      </c>
      <c r="R130" s="156" t="s">
        <v>39</v>
      </c>
      <c r="S130" s="156" t="s">
        <v>47</v>
      </c>
      <c r="T130" s="42"/>
      <c r="U130" s="42"/>
      <c r="V130" s="201" t="s">
        <v>10</v>
      </c>
      <c r="W130" s="201" t="s">
        <v>17</v>
      </c>
      <c r="X130" s="201" t="s">
        <v>18</v>
      </c>
      <c r="Y130" s="201" t="s">
        <v>44</v>
      </c>
      <c r="Z130" s="42"/>
      <c r="AA130" s="42"/>
      <c r="AB130" s="39"/>
      <c r="AC130" s="39"/>
      <c r="AD130" s="39"/>
      <c r="AE130" s="39"/>
      <c r="AF130" s="39"/>
    </row>
    <row r="131" spans="1:32" x14ac:dyDescent="0.3">
      <c r="A131" s="39"/>
      <c r="B131" s="151" t="s">
        <v>13</v>
      </c>
      <c r="C131" s="41">
        <v>0.5444</v>
      </c>
      <c r="D131" s="41">
        <v>2.0306000000000002</v>
      </c>
      <c r="E131" s="41">
        <v>1.3442000000000001</v>
      </c>
      <c r="F131" s="41">
        <v>0.01</v>
      </c>
      <c r="G131" s="41">
        <v>1.9928999999999999</v>
      </c>
      <c r="H131" s="41">
        <v>0.1</v>
      </c>
      <c r="I131" s="41">
        <v>0.27500000000000002</v>
      </c>
      <c r="J131" s="42"/>
      <c r="K131" s="42"/>
      <c r="L131" s="41" t="s">
        <v>13</v>
      </c>
      <c r="M131" s="41">
        <f>I131/0.01043</f>
        <v>26.366251198465967</v>
      </c>
      <c r="N131" s="41">
        <f>(M131*G131/H131)/1000000/F131</f>
        <v>5.2545302013422834E-2</v>
      </c>
      <c r="O131" s="41">
        <f>N131*D131/C131</f>
        <v>0.19599281827416681</v>
      </c>
      <c r="P131" s="41">
        <f>N131*0.1478+1.333</f>
        <v>1.3407661956375838</v>
      </c>
      <c r="Q131" s="41">
        <f>E131-(P131-1.333)</f>
        <v>1.3364338043624162</v>
      </c>
      <c r="R131" s="41">
        <f>(Q131-1.333)/0.1358</f>
        <v>2.5285746409545274E-2</v>
      </c>
      <c r="S131" s="41">
        <f>R131*D131/C131</f>
        <v>9.4315276743612481E-2</v>
      </c>
      <c r="T131" s="42"/>
      <c r="U131" s="42"/>
      <c r="V131" s="201" t="s">
        <v>13</v>
      </c>
      <c r="W131" s="43">
        <f>O131</f>
        <v>0.19599281827416681</v>
      </c>
      <c r="X131" s="43">
        <f>S131</f>
        <v>9.4315276743612481E-2</v>
      </c>
      <c r="Y131" s="43">
        <f>1-X131-W131</f>
        <v>0.70969190498222068</v>
      </c>
      <c r="Z131" s="42"/>
      <c r="AA131" s="42"/>
      <c r="AB131" s="39"/>
      <c r="AC131" s="39"/>
      <c r="AD131" s="39"/>
      <c r="AE131" s="39"/>
      <c r="AF131" s="39"/>
    </row>
    <row r="132" spans="1:32" x14ac:dyDescent="0.3">
      <c r="A132" s="39"/>
      <c r="B132" s="151" t="s">
        <v>14</v>
      </c>
      <c r="C132" s="41">
        <v>0.54369999999999996</v>
      </c>
      <c r="D132" s="41">
        <v>2.0318999999999998</v>
      </c>
      <c r="E132" s="41">
        <v>1.3443000000000001</v>
      </c>
      <c r="F132" s="41">
        <v>1.0500000000000001E-2</v>
      </c>
      <c r="G132" s="41">
        <v>1.99</v>
      </c>
      <c r="H132" s="41">
        <v>0.1</v>
      </c>
      <c r="I132" s="41">
        <v>0.29799999999999999</v>
      </c>
      <c r="J132" s="42"/>
      <c r="K132" s="42"/>
      <c r="L132" s="41" t="s">
        <v>14</v>
      </c>
      <c r="M132" s="41">
        <f t="shared" ref="M132:M133" si="42">I132/0.01043</f>
        <v>28.571428571428569</v>
      </c>
      <c r="N132" s="41">
        <f>(M132*G132/H132)/1000000/F132</f>
        <v>5.4149659863945578E-2</v>
      </c>
      <c r="O132" s="41">
        <f>N132*D132/C132</f>
        <v>0.20236655118181171</v>
      </c>
      <c r="P132" s="41">
        <f>N132*0.1478+1.333</f>
        <v>1.3410033197278912</v>
      </c>
      <c r="Q132" s="41">
        <f t="shared" ref="Q132:Q133" si="43">E132-(P132-1.333)</f>
        <v>1.3362966802721088</v>
      </c>
      <c r="R132" s="41">
        <f t="shared" ref="R132:R133" si="44">(Q132-1.333)/0.1358</f>
        <v>2.4275996112730718E-2</v>
      </c>
      <c r="S132" s="41">
        <f>R132*D132/C132</f>
        <v>9.0723554352506064E-2</v>
      </c>
      <c r="T132" s="42"/>
      <c r="U132" s="42"/>
      <c r="V132" s="201" t="s">
        <v>14</v>
      </c>
      <c r="W132" s="43">
        <f>O132</f>
        <v>0.20236655118181171</v>
      </c>
      <c r="X132" s="43">
        <f>S132</f>
        <v>9.0723554352506064E-2</v>
      </c>
      <c r="Y132" s="43">
        <f>1-X132-W132</f>
        <v>0.70690989446568231</v>
      </c>
      <c r="Z132" s="42"/>
      <c r="AA132" s="42"/>
      <c r="AB132" s="39"/>
      <c r="AC132" s="39"/>
      <c r="AD132" s="39"/>
      <c r="AE132" s="39"/>
      <c r="AF132" s="39"/>
    </row>
    <row r="133" spans="1:32" x14ac:dyDescent="0.3">
      <c r="A133" s="39"/>
      <c r="B133" s="151" t="s">
        <v>15</v>
      </c>
      <c r="C133" s="41">
        <v>0.54410000000000003</v>
      </c>
      <c r="D133" s="41">
        <v>2.0324</v>
      </c>
      <c r="E133" s="41">
        <v>1.3443000000000001</v>
      </c>
      <c r="F133" s="41">
        <v>1.03E-2</v>
      </c>
      <c r="G133" s="41">
        <v>2.0093000000000001</v>
      </c>
      <c r="H133" s="41">
        <v>0.1</v>
      </c>
      <c r="I133" s="41">
        <v>0.308</v>
      </c>
      <c r="J133" s="42"/>
      <c r="K133" s="42"/>
      <c r="L133" s="41" t="s">
        <v>15</v>
      </c>
      <c r="M133" s="41">
        <f t="shared" si="42"/>
        <v>29.530201342281877</v>
      </c>
      <c r="N133" s="41">
        <f>(M133*G133/H133)/1000000/F133</f>
        <v>5.7606828696162106E-2</v>
      </c>
      <c r="O133" s="41">
        <f>N133*D133/C133</f>
        <v>0.21518125095033974</v>
      </c>
      <c r="P133" s="41">
        <f>N133*0.1478+1.333</f>
        <v>1.3415142892812928</v>
      </c>
      <c r="Q133" s="41">
        <f t="shared" si="43"/>
        <v>1.3357857107187072</v>
      </c>
      <c r="R133" s="41">
        <f t="shared" si="44"/>
        <v>2.0513333716548284E-2</v>
      </c>
      <c r="S133" s="41">
        <f>R133*D133/C133</f>
        <v>7.6624332743085333E-2</v>
      </c>
      <c r="T133" s="42"/>
      <c r="U133" s="42"/>
      <c r="V133" s="201" t="s">
        <v>15</v>
      </c>
      <c r="W133" s="43">
        <f>O133</f>
        <v>0.21518125095033974</v>
      </c>
      <c r="X133" s="43">
        <f>S133</f>
        <v>7.6624332743085333E-2</v>
      </c>
      <c r="Y133" s="43">
        <f>1-X133-W133</f>
        <v>0.70819441630657498</v>
      </c>
      <c r="Z133" s="156" t="s">
        <v>69</v>
      </c>
      <c r="AA133" s="156" t="s">
        <v>8</v>
      </c>
      <c r="AB133" s="44"/>
      <c r="AC133" s="44"/>
      <c r="AD133" s="44"/>
      <c r="AE133" s="39"/>
      <c r="AF133" s="39"/>
    </row>
    <row r="134" spans="1:32" x14ac:dyDescent="0.3">
      <c r="A134" s="39"/>
      <c r="B134" s="151" t="s">
        <v>22</v>
      </c>
      <c r="C134" s="41">
        <f>AVERAGE(C131:C133)</f>
        <v>0.54406666666666659</v>
      </c>
      <c r="D134" s="41">
        <f>C134+1.5</f>
        <v>2.0440666666666667</v>
      </c>
      <c r="E134" s="41">
        <f>AVERAGE(E131:E133)</f>
        <v>1.3442666666666667</v>
      </c>
      <c r="F134" s="41">
        <f>AVERAGE(F131:F133)</f>
        <v>1.0266666666666667E-2</v>
      </c>
      <c r="G134" s="41">
        <f>AVERAGE(G131:G133)</f>
        <v>1.9974000000000001</v>
      </c>
      <c r="H134" s="41">
        <f>AVERAGE(H131:H133)</f>
        <v>0.10000000000000002</v>
      </c>
      <c r="I134" s="41">
        <f>AVERAGE(I131:I133)</f>
        <v>0.29366666666666669</v>
      </c>
      <c r="J134" s="42"/>
      <c r="K134" s="42"/>
      <c r="L134" s="41" t="s">
        <v>22</v>
      </c>
      <c r="M134" s="41">
        <f>AVERAGE(M131:M133)</f>
        <v>28.15596037072547</v>
      </c>
      <c r="N134" s="41">
        <f>AVERAGE(N131:N133)</f>
        <v>5.4767263524510168E-2</v>
      </c>
      <c r="O134" s="41">
        <f>AVERAGE(O132:O133)</f>
        <v>0.20877390106607574</v>
      </c>
      <c r="P134" s="41">
        <f>AVERAGE(P132:P133)</f>
        <v>1.3412588045045921</v>
      </c>
      <c r="Q134" s="41">
        <f>AVERAGE(Q132:Q133)</f>
        <v>1.3360411954954081</v>
      </c>
      <c r="R134" s="41">
        <f>AVERAGE(R132:R133)</f>
        <v>2.2394664914639501E-2</v>
      </c>
      <c r="S134" s="193">
        <f>AVERAGE(S131,S132)</f>
        <v>9.2519415548059272E-2</v>
      </c>
      <c r="T134" s="19"/>
      <c r="U134" s="42"/>
      <c r="V134" s="201" t="s">
        <v>22</v>
      </c>
      <c r="W134" s="43">
        <f>AVERAGE(W132:W133)</f>
        <v>0.20877390106607574</v>
      </c>
      <c r="X134" s="43">
        <f>AVERAGE(X132:X133)</f>
        <v>8.3673943547795698E-2</v>
      </c>
      <c r="Y134" s="43">
        <f>AVERAGE(Y131:Y133)</f>
        <v>0.70826540525149273</v>
      </c>
      <c r="Z134" s="41">
        <f>C134/0.5</f>
        <v>1.0881333333333332</v>
      </c>
      <c r="AA134" s="41">
        <f>C135/0.5</f>
        <v>7.0237691685688783E-4</v>
      </c>
      <c r="AB134" s="39"/>
      <c r="AC134" s="39"/>
      <c r="AD134" s="39"/>
      <c r="AE134" s="39"/>
      <c r="AF134" s="39"/>
    </row>
    <row r="135" spans="1:32" x14ac:dyDescent="0.3">
      <c r="A135" s="39"/>
      <c r="B135" s="151" t="s">
        <v>8</v>
      </c>
      <c r="C135" s="41">
        <f t="shared" ref="C135:I135" si="45">_xlfn.STDEV.S(C131:C133)</f>
        <v>3.5118845842844391E-4</v>
      </c>
      <c r="D135" s="41">
        <f t="shared" si="45"/>
        <v>9.2915732431762268E-4</v>
      </c>
      <c r="E135" s="41">
        <f t="shared" si="45"/>
        <v>5.7735026918956222E-5</v>
      </c>
      <c r="F135" s="41">
        <f t="shared" si="45"/>
        <v>2.5166114784235856E-4</v>
      </c>
      <c r="G135" s="41">
        <f t="shared" si="45"/>
        <v>1.0407209039891606E-2</v>
      </c>
      <c r="H135" s="41">
        <f t="shared" si="45"/>
        <v>1.6996749443881478E-17</v>
      </c>
      <c r="I135" s="41">
        <f t="shared" si="45"/>
        <v>1.6921386861996058E-2</v>
      </c>
      <c r="J135" s="42"/>
      <c r="K135" s="42"/>
      <c r="L135" s="41" t="s">
        <v>8</v>
      </c>
      <c r="M135" s="41">
        <f>_xlfn.STDEV.S(M131:M133)</f>
        <v>1.6223764968356704</v>
      </c>
      <c r="N135" s="41">
        <f>_xlfn.STDEV.S(N131:N133)</f>
        <v>2.5866655758287533E-3</v>
      </c>
      <c r="O135" s="41">
        <f>_xlfn.STDEV.S(O132:O133)</f>
        <v>9.0613611051958524E-3</v>
      </c>
      <c r="P135" s="41">
        <f>_xlfn.STDEV.S(P132:P133)</f>
        <v>3.6131003619011508E-4</v>
      </c>
      <c r="Q135" s="41">
        <f>_xlfn.STDEV.S(Q132:Q133)</f>
        <v>3.6131003619011508E-4</v>
      </c>
      <c r="R135" s="41">
        <f>_xlfn.STDEV.S(R132:R133)</f>
        <v>2.660604095656223E-3</v>
      </c>
      <c r="S135" s="41">
        <f>_xlfn.STDEV.S(S132:S133)</f>
        <v>9.9696552094733076E-3</v>
      </c>
      <c r="T135" s="42"/>
      <c r="U135" s="42"/>
      <c r="V135" s="201" t="s">
        <v>8</v>
      </c>
      <c r="W135" s="43">
        <f>_xlfn.STDEV.S(W131:W133)</f>
        <v>9.7727252246880853E-3</v>
      </c>
      <c r="X135" s="43">
        <f>_xlfn.STDEV.S(X131:X133)</f>
        <v>9.3510963649199898E-3</v>
      </c>
      <c r="Y135" s="43">
        <f>_xlfn.STDEV.S(Y131:Y133)</f>
        <v>1.3923631714670977E-3</v>
      </c>
      <c r="Z135" s="42"/>
      <c r="AA135" s="42"/>
      <c r="AB135" s="39"/>
      <c r="AC135" s="39"/>
      <c r="AD135" s="39"/>
      <c r="AE135" s="39"/>
      <c r="AF135" s="39"/>
    </row>
    <row r="136" spans="1:32" x14ac:dyDescent="0.3">
      <c r="A136" s="39"/>
      <c r="B136" s="39"/>
      <c r="C136" s="42"/>
      <c r="D136" s="42"/>
      <c r="E136" s="42"/>
      <c r="F136" s="42"/>
      <c r="G136" s="42"/>
      <c r="H136" s="42"/>
      <c r="I136" s="42"/>
      <c r="J136" s="42"/>
      <c r="K136" s="42"/>
      <c r="L136" s="42"/>
      <c r="M136" s="42"/>
      <c r="N136" s="42"/>
      <c r="O136" s="42"/>
      <c r="P136" s="42"/>
      <c r="Q136" s="42"/>
      <c r="R136" s="42"/>
      <c r="S136" s="42"/>
      <c r="T136" s="42"/>
      <c r="U136" s="42"/>
      <c r="V136" s="197"/>
      <c r="W136" s="197"/>
      <c r="X136" s="197"/>
      <c r="Y136" s="197"/>
      <c r="Z136" s="42"/>
      <c r="AA136" s="42"/>
      <c r="AB136" s="39"/>
      <c r="AC136" s="39"/>
      <c r="AD136" s="39"/>
      <c r="AE136" s="39"/>
      <c r="AF136" s="39"/>
    </row>
    <row r="137" spans="1:32" x14ac:dyDescent="0.3">
      <c r="A137" s="39"/>
      <c r="B137" s="39"/>
      <c r="C137" s="42"/>
      <c r="D137" s="42"/>
      <c r="E137" s="42"/>
      <c r="F137" s="42"/>
      <c r="G137" s="42"/>
      <c r="H137" s="42"/>
      <c r="I137" s="42"/>
      <c r="J137" s="42"/>
      <c r="K137" s="42"/>
      <c r="L137" s="42"/>
      <c r="M137" s="42"/>
      <c r="N137" s="42"/>
      <c r="O137" s="42"/>
      <c r="P137" s="42"/>
      <c r="Q137" s="42"/>
      <c r="R137" s="42"/>
      <c r="S137" s="42"/>
      <c r="T137" s="42"/>
      <c r="U137" s="42"/>
      <c r="V137" s="197"/>
      <c r="W137" s="197"/>
      <c r="X137" s="197"/>
      <c r="Y137" s="197"/>
      <c r="Z137" s="42"/>
      <c r="AA137" s="42"/>
      <c r="AB137" s="39"/>
      <c r="AC137" s="39"/>
      <c r="AD137" s="39"/>
      <c r="AE137" s="39"/>
      <c r="AF137" s="39"/>
    </row>
    <row r="138" spans="1:32" x14ac:dyDescent="0.3">
      <c r="A138" s="39"/>
      <c r="B138" s="39"/>
      <c r="C138" s="42"/>
      <c r="D138" s="42"/>
      <c r="E138" s="42"/>
      <c r="F138" s="42"/>
      <c r="G138" s="42"/>
      <c r="H138" s="42"/>
      <c r="I138" s="42"/>
      <c r="J138" s="42"/>
      <c r="K138" s="42"/>
      <c r="L138" s="42"/>
      <c r="M138" s="42"/>
      <c r="N138" s="42"/>
      <c r="O138" s="42"/>
      <c r="P138" s="42"/>
      <c r="Q138" s="42"/>
      <c r="R138" s="42"/>
      <c r="S138" s="42"/>
      <c r="T138" s="42"/>
      <c r="U138" s="42"/>
      <c r="V138" s="288" t="s">
        <v>20</v>
      </c>
      <c r="W138" s="289"/>
      <c r="X138" s="289"/>
      <c r="Y138" s="290"/>
      <c r="Z138" s="42"/>
      <c r="AA138" s="42"/>
      <c r="AB138" s="39"/>
      <c r="AC138" s="39"/>
      <c r="AD138" s="39"/>
      <c r="AE138" s="39"/>
      <c r="AF138" s="39"/>
    </row>
    <row r="139" spans="1:32" x14ac:dyDescent="0.3">
      <c r="A139" s="39"/>
      <c r="B139" s="151" t="s">
        <v>11</v>
      </c>
      <c r="C139" s="156" t="s">
        <v>23</v>
      </c>
      <c r="D139" s="156" t="s">
        <v>32</v>
      </c>
      <c r="E139" s="156" t="s">
        <v>24</v>
      </c>
      <c r="F139" s="156" t="s">
        <v>25</v>
      </c>
      <c r="G139" s="156" t="s">
        <v>28</v>
      </c>
      <c r="H139" s="156" t="s">
        <v>27</v>
      </c>
      <c r="I139" s="156" t="s">
        <v>26</v>
      </c>
      <c r="J139" s="42"/>
      <c r="K139" s="42"/>
      <c r="L139" s="156" t="s">
        <v>11</v>
      </c>
      <c r="M139" s="156" t="s">
        <v>30</v>
      </c>
      <c r="N139" s="156" t="s">
        <v>34</v>
      </c>
      <c r="O139" s="156" t="s">
        <v>35</v>
      </c>
      <c r="P139" s="156" t="s">
        <v>37</v>
      </c>
      <c r="Q139" s="156" t="s">
        <v>38</v>
      </c>
      <c r="R139" s="156" t="s">
        <v>39</v>
      </c>
      <c r="S139" s="156" t="s">
        <v>47</v>
      </c>
      <c r="T139" s="42"/>
      <c r="U139" s="42"/>
      <c r="V139" s="201" t="s">
        <v>11</v>
      </c>
      <c r="W139" s="201" t="s">
        <v>17</v>
      </c>
      <c r="X139" s="201" t="s">
        <v>18</v>
      </c>
      <c r="Y139" s="201" t="s">
        <v>44</v>
      </c>
      <c r="Z139" s="42"/>
      <c r="AA139" s="42"/>
      <c r="AB139" s="39"/>
      <c r="AC139" s="39"/>
      <c r="AD139" s="39"/>
      <c r="AE139" s="39"/>
      <c r="AF139" s="39"/>
    </row>
    <row r="140" spans="1:32" x14ac:dyDescent="0.3">
      <c r="A140" s="39"/>
      <c r="B140" s="151" t="s">
        <v>13</v>
      </c>
      <c r="C140" s="41">
        <v>0.57620000000000005</v>
      </c>
      <c r="D140" s="41">
        <v>2.0649999999999999</v>
      </c>
      <c r="E140" s="41">
        <v>1.3494999999999999</v>
      </c>
      <c r="F140" s="41">
        <v>1.0200000000000001E-2</v>
      </c>
      <c r="G140" s="41">
        <v>2.0066000000000002</v>
      </c>
      <c r="H140" s="41">
        <v>0.1</v>
      </c>
      <c r="I140" s="41">
        <v>0.60699999999999998</v>
      </c>
      <c r="J140" s="42"/>
      <c r="K140" s="42"/>
      <c r="L140" s="156" t="s">
        <v>13</v>
      </c>
      <c r="M140" s="41">
        <f>I140/0.01043</f>
        <v>58.197507190795783</v>
      </c>
      <c r="N140" s="41">
        <f>(M140*G140/H140)/1000000/F140</f>
        <v>0.11448933130299098</v>
      </c>
      <c r="O140" s="41">
        <f>N140*D140/C140</f>
        <v>0.41030973471134385</v>
      </c>
      <c r="P140" s="41">
        <f>N140*0.1478+1.333</f>
        <v>1.349921523166582</v>
      </c>
      <c r="Q140" s="41">
        <f>E140-(P140-1.333)</f>
        <v>1.3325784768334179</v>
      </c>
      <c r="R140" s="41">
        <f>(Q140-1.333)/0.1358</f>
        <v>-3.1039997539179724E-3</v>
      </c>
      <c r="S140" s="41">
        <f>R140*D140/C140</f>
        <v>-1.1124192106630704E-2</v>
      </c>
      <c r="T140" s="42"/>
      <c r="U140" s="42"/>
      <c r="V140" s="201" t="s">
        <v>13</v>
      </c>
      <c r="W140" s="43">
        <f>O140</f>
        <v>0.41030973471134385</v>
      </c>
      <c r="X140" s="43">
        <f>S140</f>
        <v>-1.1124192106630704E-2</v>
      </c>
      <c r="Y140" s="43">
        <f>1-X140-W140</f>
        <v>0.60081445739528694</v>
      </c>
      <c r="Z140" s="42"/>
      <c r="AA140" s="42"/>
      <c r="AB140" s="39"/>
      <c r="AC140" s="39"/>
      <c r="AD140" s="39"/>
      <c r="AE140" s="39"/>
      <c r="AF140" s="39"/>
    </row>
    <row r="141" spans="1:32" x14ac:dyDescent="0.3">
      <c r="A141" s="39"/>
      <c r="B141" s="151" t="s">
        <v>14</v>
      </c>
      <c r="C141" s="41">
        <v>0.5776</v>
      </c>
      <c r="D141" s="41">
        <v>2.0659999999999998</v>
      </c>
      <c r="E141" s="41">
        <v>1.3494999999999999</v>
      </c>
      <c r="F141" s="41">
        <v>1.04E-2</v>
      </c>
      <c r="G141" s="41">
        <v>2.008</v>
      </c>
      <c r="H141" s="41">
        <v>0.1</v>
      </c>
      <c r="I141" s="41">
        <v>0.6</v>
      </c>
      <c r="J141" s="42"/>
      <c r="K141" s="42"/>
      <c r="L141" s="156" t="s">
        <v>14</v>
      </c>
      <c r="M141" s="41">
        <f t="shared" ref="M141:M142" si="46">I141/0.01043</f>
        <v>57.526366251198461</v>
      </c>
      <c r="N141" s="41">
        <f>(M141*G141/H141)/1000000/F141</f>
        <v>0.1110701379157755</v>
      </c>
      <c r="O141" s="41">
        <f>N141*D141/C141</f>
        <v>0.397283422669654</v>
      </c>
      <c r="P141" s="41">
        <f>N141*0.1478+1.333</f>
        <v>1.3494161663839517</v>
      </c>
      <c r="Q141" s="41">
        <f t="shared" ref="Q141:Q142" si="47">E141-(P141-1.333)</f>
        <v>1.3330838336160482</v>
      </c>
      <c r="R141" s="41">
        <f t="shared" ref="R141:R142" si="48">(Q141-1.333)/0.1358</f>
        <v>6.1733148783685993E-4</v>
      </c>
      <c r="S141" s="41">
        <f>R141*D141/C141</f>
        <v>2.2081143591948624E-3</v>
      </c>
      <c r="T141" s="42"/>
      <c r="U141" s="42"/>
      <c r="V141" s="201" t="s">
        <v>14</v>
      </c>
      <c r="W141" s="43">
        <f>O141</f>
        <v>0.397283422669654</v>
      </c>
      <c r="X141" s="43">
        <f>S141</f>
        <v>2.2081143591948624E-3</v>
      </c>
      <c r="Y141" s="43">
        <f>1-X141-W141</f>
        <v>0.60050846297115112</v>
      </c>
      <c r="Z141" s="42"/>
      <c r="AA141" s="42"/>
      <c r="AB141" s="39"/>
      <c r="AC141" s="39"/>
      <c r="AD141" s="39"/>
      <c r="AE141" s="39"/>
      <c r="AF141" s="39"/>
    </row>
    <row r="142" spans="1:32" x14ac:dyDescent="0.3">
      <c r="A142" s="39"/>
      <c r="B142" s="151" t="s">
        <v>15</v>
      </c>
      <c r="C142" s="41">
        <v>0.57809999999999995</v>
      </c>
      <c r="D142" s="41">
        <v>2.0661</v>
      </c>
      <c r="E142" s="41">
        <v>1.3494999999999999</v>
      </c>
      <c r="F142" s="41">
        <v>1.04E-2</v>
      </c>
      <c r="G142" s="41">
        <v>2.0053999999999998</v>
      </c>
      <c r="H142" s="41">
        <v>0.1</v>
      </c>
      <c r="I142" s="41">
        <v>0.60299999999999998</v>
      </c>
      <c r="J142" s="42"/>
      <c r="K142" s="42"/>
      <c r="L142" s="156" t="s">
        <v>15</v>
      </c>
      <c r="M142" s="41">
        <f t="shared" si="46"/>
        <v>57.813998082454454</v>
      </c>
      <c r="N142" s="41">
        <f>(M142*G142/H142)/1000000/F142</f>
        <v>0.11148095361014823</v>
      </c>
      <c r="O142" s="41">
        <f>N142*D142/C142</f>
        <v>0.3984272586990612</v>
      </c>
      <c r="P142" s="41">
        <f>N142*0.1478+1.333</f>
        <v>1.3494768849435799</v>
      </c>
      <c r="Q142" s="41">
        <f t="shared" si="47"/>
        <v>1.33302311505642</v>
      </c>
      <c r="R142" s="41">
        <f t="shared" si="48"/>
        <v>1.7021396480157064E-4</v>
      </c>
      <c r="S142" s="41">
        <f>R142*D142/C142</f>
        <v>6.0833605375631397E-4</v>
      </c>
      <c r="T142" s="42"/>
      <c r="U142" s="42"/>
      <c r="V142" s="201" t="s">
        <v>15</v>
      </c>
      <c r="W142" s="43">
        <f>O142</f>
        <v>0.3984272586990612</v>
      </c>
      <c r="X142" s="43">
        <f>S142</f>
        <v>6.0833605375631397E-4</v>
      </c>
      <c r="Y142" s="43">
        <f>1-X142-W142</f>
        <v>0.60096440524718253</v>
      </c>
      <c r="Z142" s="156" t="s">
        <v>69</v>
      </c>
      <c r="AA142" s="156" t="s">
        <v>8</v>
      </c>
      <c r="AB142" s="39"/>
      <c r="AC142" s="39"/>
      <c r="AD142" s="39"/>
      <c r="AE142" s="39"/>
      <c r="AF142" s="39"/>
    </row>
    <row r="143" spans="1:32" x14ac:dyDescent="0.3">
      <c r="A143" s="39"/>
      <c r="B143" s="151" t="s">
        <v>22</v>
      </c>
      <c r="C143" s="41">
        <f>AVERAGE(C140:C142)</f>
        <v>0.57730000000000004</v>
      </c>
      <c r="D143" s="41">
        <f>C143+1.5</f>
        <v>2.0773000000000001</v>
      </c>
      <c r="E143" s="41">
        <f>AVERAGE(E140:E142)</f>
        <v>1.3494999999999999</v>
      </c>
      <c r="F143" s="41">
        <f>AVERAGE(F140:F142)</f>
        <v>1.0333333333333333E-2</v>
      </c>
      <c r="G143" s="41">
        <f>AVERAGE(G140:G142)</f>
        <v>2.0066666666666664</v>
      </c>
      <c r="H143" s="41">
        <f>AVERAGE(H140:H142)</f>
        <v>0.10000000000000002</v>
      </c>
      <c r="I143" s="41">
        <f>AVERAGE(I140:I142)</f>
        <v>0.60333333333333328</v>
      </c>
      <c r="J143" s="42"/>
      <c r="K143" s="42"/>
      <c r="L143" s="156" t="s">
        <v>22</v>
      </c>
      <c r="M143" s="41">
        <f t="shared" ref="M143:R143" si="49">AVERAGE(M140:M142)</f>
        <v>57.845957174816228</v>
      </c>
      <c r="N143" s="41">
        <f t="shared" si="49"/>
        <v>0.11234680760963822</v>
      </c>
      <c r="O143" s="41">
        <f t="shared" si="49"/>
        <v>0.40200680536001965</v>
      </c>
      <c r="P143" s="41">
        <f t="shared" si="49"/>
        <v>1.3496048581647047</v>
      </c>
      <c r="Q143" s="41">
        <f t="shared" si="49"/>
        <v>1.3328951418352954</v>
      </c>
      <c r="R143" s="41">
        <f t="shared" si="49"/>
        <v>-7.7215143375984738E-4</v>
      </c>
      <c r="S143" s="193">
        <f>AVERAGE(S140,S141)</f>
        <v>-4.458038873717921E-3</v>
      </c>
      <c r="T143" s="42"/>
      <c r="U143" s="42"/>
      <c r="V143" s="201" t="s">
        <v>22</v>
      </c>
      <c r="W143" s="43">
        <f>AVERAGE(W141:W142)</f>
        <v>0.39785534068435757</v>
      </c>
      <c r="X143" s="43">
        <f>AVERAGE(X141:X142)</f>
        <v>1.4082252064755883E-3</v>
      </c>
      <c r="Y143" s="43">
        <f t="shared" ref="Y143" si="50">AVERAGE(Y140:Y142)</f>
        <v>0.60076244187120686</v>
      </c>
      <c r="Z143" s="41">
        <f>C143/0.5</f>
        <v>1.1546000000000001</v>
      </c>
      <c r="AA143" s="41">
        <f>C144/0.5</f>
        <v>1.969771560359128E-3</v>
      </c>
      <c r="AB143" s="39"/>
      <c r="AC143" s="39"/>
      <c r="AD143" s="39"/>
      <c r="AE143" s="39"/>
      <c r="AF143" s="39"/>
    </row>
    <row r="144" spans="1:32" x14ac:dyDescent="0.3">
      <c r="A144" s="39"/>
      <c r="B144" s="151" t="s">
        <v>8</v>
      </c>
      <c r="C144" s="41">
        <f t="shared" ref="C144:I144" si="51">_xlfn.STDEV.S(C140:C142)</f>
        <v>9.8488578017956398E-4</v>
      </c>
      <c r="D144" s="41">
        <f t="shared" si="51"/>
        <v>6.0827625302982804E-4</v>
      </c>
      <c r="E144" s="41">
        <f t="shared" si="51"/>
        <v>0</v>
      </c>
      <c r="F144" s="41">
        <f t="shared" si="51"/>
        <v>1.1547005383792445E-4</v>
      </c>
      <c r="G144" s="41">
        <f t="shared" si="51"/>
        <v>1.301281419729615E-3</v>
      </c>
      <c r="H144" s="41">
        <f t="shared" si="51"/>
        <v>1.6996749443881478E-17</v>
      </c>
      <c r="I144" s="41">
        <f t="shared" si="51"/>
        <v>3.5118845842842497E-3</v>
      </c>
      <c r="J144" s="42"/>
      <c r="K144" s="42"/>
      <c r="L144" s="156" t="s">
        <v>8</v>
      </c>
      <c r="M144" s="41">
        <f t="shared" ref="M144:R144" si="52">_xlfn.STDEV.S(M140:M142)</f>
        <v>0.33670993137912575</v>
      </c>
      <c r="N144" s="41">
        <f t="shared" si="52"/>
        <v>1.8668149924722453E-3</v>
      </c>
      <c r="O144" s="41">
        <f t="shared" si="52"/>
        <v>7.2132563433828416E-3</v>
      </c>
      <c r="P144" s="41">
        <f t="shared" si="52"/>
        <v>2.7591525588733899E-4</v>
      </c>
      <c r="Q144" s="41">
        <f t="shared" si="52"/>
        <v>2.7591525588733899E-4</v>
      </c>
      <c r="R144" s="41">
        <f t="shared" si="52"/>
        <v>2.0317765529259128E-3</v>
      </c>
      <c r="S144" s="41">
        <f>_xlfn.STDEV.S(S141:S142)</f>
        <v>1.1312140881707213E-3</v>
      </c>
      <c r="T144" s="42"/>
      <c r="U144" s="42"/>
      <c r="V144" s="201" t="s">
        <v>8</v>
      </c>
      <c r="W144" s="43">
        <f>_xlfn.STDEV.S(W140:W142)</f>
        <v>7.2132563433828416E-3</v>
      </c>
      <c r="X144" s="43">
        <f>_xlfn.STDEV.S(X140:X142)</f>
        <v>7.2796737948839499E-3</v>
      </c>
      <c r="Y144" s="43">
        <f>_xlfn.STDEV.S(Y140:Y142)</f>
        <v>2.323791101350731E-4</v>
      </c>
      <c r="Z144" s="42"/>
      <c r="AA144" s="42"/>
      <c r="AB144" s="39"/>
      <c r="AC144" s="39"/>
      <c r="AD144" s="39"/>
      <c r="AE144" s="39"/>
      <c r="AF144" s="39"/>
    </row>
    <row r="145" spans="1:32" x14ac:dyDescent="0.3">
      <c r="A145" s="39"/>
      <c r="B145" s="39"/>
      <c r="C145" s="42"/>
      <c r="D145" s="42"/>
      <c r="E145" s="42"/>
      <c r="F145" s="42"/>
      <c r="G145" s="42"/>
      <c r="H145" s="42"/>
      <c r="I145" s="42"/>
      <c r="J145" s="42"/>
      <c r="K145" s="42"/>
      <c r="L145" s="42"/>
      <c r="M145" s="42"/>
      <c r="N145" s="42"/>
      <c r="O145" s="42"/>
      <c r="P145" s="42"/>
      <c r="Q145" s="42"/>
      <c r="R145" s="42"/>
      <c r="S145" s="42"/>
      <c r="T145" s="42"/>
      <c r="U145" s="42"/>
      <c r="V145" s="197"/>
      <c r="W145" s="197"/>
      <c r="X145" s="197"/>
      <c r="Y145" s="197"/>
      <c r="Z145" s="42"/>
      <c r="AA145" s="42"/>
      <c r="AB145" s="39"/>
      <c r="AC145" s="39"/>
      <c r="AD145" s="39"/>
      <c r="AE145" s="39"/>
      <c r="AF145" s="39"/>
    </row>
    <row r="146" spans="1:32" x14ac:dyDescent="0.3">
      <c r="A146" s="39"/>
      <c r="B146" s="39"/>
      <c r="C146" s="42"/>
      <c r="D146" s="42"/>
      <c r="E146" s="42"/>
      <c r="F146" s="42"/>
      <c r="G146" s="42"/>
      <c r="H146" s="42"/>
      <c r="I146" s="42"/>
      <c r="J146" s="42"/>
      <c r="K146" s="42"/>
      <c r="L146" s="42"/>
      <c r="M146" s="42"/>
      <c r="N146" s="42"/>
      <c r="O146" s="42"/>
      <c r="P146" s="42"/>
      <c r="Q146" s="42"/>
      <c r="R146" s="42"/>
      <c r="S146" s="42"/>
      <c r="T146" s="42"/>
      <c r="U146" s="42"/>
      <c r="V146" s="197"/>
      <c r="W146" s="197"/>
      <c r="X146" s="197"/>
      <c r="Y146" s="197"/>
      <c r="Z146" s="42"/>
      <c r="AA146" s="42"/>
      <c r="AB146" s="39"/>
      <c r="AC146" s="39"/>
      <c r="AD146" s="39"/>
      <c r="AE146" s="39"/>
      <c r="AF146" s="39"/>
    </row>
    <row r="147" spans="1:32" x14ac:dyDescent="0.3">
      <c r="A147" s="39"/>
      <c r="B147" s="39"/>
      <c r="C147" s="42"/>
      <c r="D147" s="42"/>
      <c r="E147" s="42"/>
      <c r="F147" s="42"/>
      <c r="G147" s="42"/>
      <c r="H147" s="42"/>
      <c r="I147" s="42"/>
      <c r="J147" s="42"/>
      <c r="K147" s="42"/>
      <c r="L147" s="42"/>
      <c r="M147" s="42"/>
      <c r="N147" s="42"/>
      <c r="O147" s="42"/>
      <c r="P147" s="42"/>
      <c r="Q147" s="42"/>
      <c r="R147" s="42"/>
      <c r="S147" s="42"/>
      <c r="T147" s="42"/>
      <c r="U147" s="42"/>
      <c r="V147" s="197"/>
      <c r="W147" s="197"/>
      <c r="X147" s="197"/>
      <c r="Y147" s="197"/>
      <c r="Z147" s="42"/>
      <c r="AA147" s="42"/>
      <c r="AB147" s="39"/>
      <c r="AC147" s="39"/>
      <c r="AD147" s="39"/>
      <c r="AE147" s="39"/>
      <c r="AF147" s="39"/>
    </row>
    <row r="148" spans="1:32" x14ac:dyDescent="0.3">
      <c r="A148" s="39"/>
      <c r="B148" s="39"/>
      <c r="C148" s="42"/>
      <c r="D148" s="42"/>
      <c r="E148" s="42"/>
      <c r="F148" s="42"/>
      <c r="G148" s="42"/>
      <c r="H148" s="42"/>
      <c r="I148" s="42"/>
      <c r="J148" s="42"/>
      <c r="K148" s="42"/>
      <c r="L148" s="42"/>
      <c r="M148" s="42"/>
      <c r="N148" s="42"/>
      <c r="O148" s="42"/>
      <c r="P148" s="42"/>
      <c r="Q148" s="42"/>
      <c r="R148" s="42"/>
      <c r="S148" s="42"/>
      <c r="T148" s="42"/>
      <c r="U148" s="42"/>
      <c r="V148" s="197"/>
      <c r="W148" s="197"/>
      <c r="X148" s="197"/>
      <c r="Y148" s="197"/>
      <c r="Z148" s="42"/>
      <c r="AA148" s="42"/>
      <c r="AB148" s="39"/>
      <c r="AC148" s="39"/>
      <c r="AD148" s="39"/>
      <c r="AE148" s="39"/>
      <c r="AF148" s="39"/>
    </row>
    <row r="149" spans="1:32" x14ac:dyDescent="0.3">
      <c r="A149" s="192" t="s">
        <v>55</v>
      </c>
      <c r="B149" s="39"/>
      <c r="C149" s="42"/>
      <c r="D149" s="42"/>
      <c r="E149" s="42"/>
      <c r="F149" s="42"/>
      <c r="G149" s="42"/>
      <c r="H149" s="42"/>
      <c r="I149" s="42"/>
      <c r="J149" s="42"/>
      <c r="K149" s="42"/>
      <c r="L149" s="42"/>
      <c r="M149" s="42"/>
      <c r="N149" s="42"/>
      <c r="O149" s="42"/>
      <c r="P149" s="42"/>
      <c r="Q149" s="42"/>
      <c r="R149" s="42"/>
      <c r="S149" s="42"/>
      <c r="T149" s="42"/>
      <c r="U149" s="42"/>
      <c r="V149" s="197"/>
      <c r="W149" s="197"/>
      <c r="X149" s="197"/>
      <c r="Y149" s="197"/>
      <c r="Z149" s="42"/>
      <c r="AA149" s="42"/>
      <c r="AB149" s="39"/>
      <c r="AC149" s="39"/>
      <c r="AD149" s="39"/>
      <c r="AE149" s="39"/>
      <c r="AF149" s="39"/>
    </row>
    <row r="150" spans="1:32" x14ac:dyDescent="0.3">
      <c r="A150" s="39"/>
      <c r="B150" s="151"/>
      <c r="C150" s="287" t="s">
        <v>19</v>
      </c>
      <c r="D150" s="287"/>
      <c r="E150" s="287"/>
      <c r="F150" s="196"/>
      <c r="G150" s="195"/>
      <c r="H150" s="195"/>
      <c r="I150" s="156"/>
      <c r="J150" s="287" t="s">
        <v>20</v>
      </c>
      <c r="K150" s="287"/>
      <c r="L150" s="156"/>
      <c r="M150" s="42"/>
      <c r="N150" s="42"/>
      <c r="O150" s="42"/>
      <c r="P150" s="42"/>
      <c r="Q150" s="42"/>
      <c r="R150" s="42"/>
      <c r="S150" s="42"/>
      <c r="T150" s="42"/>
      <c r="U150" s="42"/>
      <c r="V150" s="197"/>
      <c r="W150" s="197"/>
      <c r="X150" s="197"/>
      <c r="Y150" s="197"/>
      <c r="Z150" s="42"/>
      <c r="AA150" s="42"/>
      <c r="AB150" s="39"/>
      <c r="AC150" s="39"/>
      <c r="AD150" s="39"/>
      <c r="AE150" s="39"/>
      <c r="AF150" s="39"/>
    </row>
    <row r="151" spans="1:32" x14ac:dyDescent="0.3">
      <c r="A151" s="39"/>
      <c r="B151" s="151" t="s">
        <v>12</v>
      </c>
      <c r="C151" s="156" t="s">
        <v>1</v>
      </c>
      <c r="D151" s="156" t="s">
        <v>0</v>
      </c>
      <c r="E151" s="156" t="s">
        <v>44</v>
      </c>
      <c r="F151" s="156" t="s">
        <v>21</v>
      </c>
      <c r="G151" s="42"/>
      <c r="H151" s="42"/>
      <c r="I151" s="156" t="s">
        <v>12</v>
      </c>
      <c r="J151" s="156" t="s">
        <v>17</v>
      </c>
      <c r="K151" s="156" t="s">
        <v>18</v>
      </c>
      <c r="L151" s="156" t="s">
        <v>44</v>
      </c>
      <c r="M151" s="42"/>
      <c r="N151" s="42"/>
      <c r="O151" s="42"/>
      <c r="P151" s="42"/>
      <c r="Q151" s="42"/>
      <c r="R151" s="42"/>
      <c r="S151" s="42"/>
      <c r="T151" s="42"/>
      <c r="U151" s="42"/>
      <c r="V151" s="197"/>
      <c r="W151" s="197"/>
      <c r="X151" s="197"/>
      <c r="Y151" s="197"/>
      <c r="Z151" s="42"/>
      <c r="AA151" s="42"/>
      <c r="AB151" s="39"/>
      <c r="AC151" s="39"/>
      <c r="AD151" s="39"/>
      <c r="AE151" s="39"/>
      <c r="AF151" s="39"/>
    </row>
    <row r="152" spans="1:32" x14ac:dyDescent="0.3">
      <c r="A152" s="39"/>
      <c r="B152" s="151" t="s">
        <v>13</v>
      </c>
      <c r="C152" s="4">
        <v>4.5</v>
      </c>
      <c r="D152" s="4">
        <v>2.25</v>
      </c>
      <c r="E152" s="4">
        <v>8.25</v>
      </c>
      <c r="F152" s="4">
        <f>SUM(C152:E152)</f>
        <v>15</v>
      </c>
      <c r="G152" s="3"/>
      <c r="H152" s="3"/>
      <c r="I152" s="156" t="s">
        <v>13</v>
      </c>
      <c r="J152" s="7">
        <f>C152/F152</f>
        <v>0.3</v>
      </c>
      <c r="K152" s="7">
        <f>D152/F152</f>
        <v>0.15</v>
      </c>
      <c r="L152" s="7">
        <f>1-K152-J152</f>
        <v>0.55000000000000004</v>
      </c>
      <c r="M152" s="42"/>
      <c r="N152" s="42"/>
      <c r="O152" s="42"/>
      <c r="P152" s="42"/>
      <c r="Q152" s="42"/>
      <c r="R152" s="42"/>
      <c r="S152" s="42"/>
      <c r="T152" s="42"/>
      <c r="U152" s="42"/>
      <c r="V152" s="197" t="s">
        <v>12</v>
      </c>
      <c r="W152" s="197" t="s">
        <v>17</v>
      </c>
      <c r="X152" s="197" t="s">
        <v>18</v>
      </c>
      <c r="Y152" s="197" t="s">
        <v>44</v>
      </c>
      <c r="Z152" s="42"/>
      <c r="AA152" s="42"/>
      <c r="AB152" s="39"/>
      <c r="AC152" s="39"/>
      <c r="AD152" s="39"/>
      <c r="AE152" s="39"/>
      <c r="AF152" s="39"/>
    </row>
    <row r="153" spans="1:32" x14ac:dyDescent="0.3">
      <c r="A153" s="39"/>
      <c r="B153" s="5"/>
      <c r="C153" s="41"/>
      <c r="D153" s="41"/>
      <c r="E153" s="41"/>
      <c r="F153" s="41"/>
      <c r="G153" s="42"/>
      <c r="H153" s="42"/>
      <c r="I153" s="156" t="s">
        <v>14</v>
      </c>
      <c r="J153" s="43"/>
      <c r="K153" s="43"/>
      <c r="L153" s="43"/>
      <c r="M153" s="42"/>
      <c r="N153" s="42"/>
      <c r="O153" s="42"/>
      <c r="P153" s="42"/>
      <c r="Q153" s="42"/>
      <c r="R153" s="42"/>
      <c r="S153" s="42"/>
      <c r="T153" s="42"/>
      <c r="U153" s="42"/>
      <c r="V153" s="197" t="s">
        <v>13</v>
      </c>
      <c r="W153" s="197">
        <f>J155</f>
        <v>0.3</v>
      </c>
      <c r="X153" s="197">
        <f>K155</f>
        <v>0.15</v>
      </c>
      <c r="Y153" s="197">
        <f>L155</f>
        <v>0.55000000000000004</v>
      </c>
      <c r="Z153" s="42"/>
      <c r="AA153" s="42"/>
      <c r="AB153" s="39"/>
      <c r="AC153" s="39"/>
      <c r="AD153" s="39"/>
      <c r="AE153" s="39"/>
      <c r="AF153" s="39"/>
    </row>
    <row r="154" spans="1:32" x14ac:dyDescent="0.3">
      <c r="A154" s="39"/>
      <c r="B154" s="5"/>
      <c r="C154" s="41"/>
      <c r="D154" s="41"/>
      <c r="E154" s="41"/>
      <c r="F154" s="41"/>
      <c r="G154" s="42"/>
      <c r="H154" s="42"/>
      <c r="I154" s="156" t="s">
        <v>15</v>
      </c>
      <c r="J154" s="43"/>
      <c r="K154" s="43"/>
      <c r="L154" s="43"/>
      <c r="M154" s="42"/>
      <c r="N154" s="42"/>
      <c r="O154" s="42"/>
      <c r="P154" s="42" t="s">
        <v>1</v>
      </c>
      <c r="Q154" s="42" t="s">
        <v>42</v>
      </c>
      <c r="R154" s="42"/>
      <c r="S154" s="42"/>
      <c r="T154" s="42"/>
      <c r="U154" s="42"/>
      <c r="V154" s="197" t="s">
        <v>53</v>
      </c>
      <c r="W154" s="197">
        <f>W162</f>
        <v>0.13133916557971617</v>
      </c>
      <c r="X154" s="197">
        <f>X162</f>
        <v>0.24394454389649806</v>
      </c>
      <c r="Y154" s="197">
        <f>Y162</f>
        <v>0.62471629052378574</v>
      </c>
      <c r="Z154" s="42"/>
      <c r="AA154" s="42"/>
      <c r="AB154" s="39"/>
      <c r="AC154" s="39"/>
      <c r="AD154" s="39"/>
      <c r="AE154" s="39"/>
      <c r="AF154" s="39"/>
    </row>
    <row r="155" spans="1:32" x14ac:dyDescent="0.3">
      <c r="A155" s="39"/>
      <c r="B155" s="39"/>
      <c r="C155" s="42"/>
      <c r="D155" s="42"/>
      <c r="E155" s="42"/>
      <c r="F155" s="42"/>
      <c r="G155" s="42"/>
      <c r="H155" s="42"/>
      <c r="I155" s="156" t="s">
        <v>22</v>
      </c>
      <c r="J155" s="43">
        <f>AVERAGE(J152:J154)</f>
        <v>0.3</v>
      </c>
      <c r="K155" s="43">
        <f>AVERAGE(K152:K154)</f>
        <v>0.15</v>
      </c>
      <c r="L155" s="43">
        <f>AVERAGE(L152:L154)</f>
        <v>0.55000000000000004</v>
      </c>
      <c r="M155" s="42"/>
      <c r="N155" s="42"/>
      <c r="O155" s="42"/>
      <c r="P155" s="42" t="s">
        <v>0</v>
      </c>
      <c r="Q155" s="42" t="s">
        <v>43</v>
      </c>
      <c r="R155" s="42"/>
      <c r="S155" s="42"/>
      <c r="T155" s="42"/>
      <c r="U155" s="42"/>
      <c r="V155" s="197" t="s">
        <v>14</v>
      </c>
      <c r="W155" s="197">
        <f>W171</f>
        <v>0.55815312075381984</v>
      </c>
      <c r="X155" s="197">
        <f>X171</f>
        <v>8.1493427543925367E-4</v>
      </c>
      <c r="Y155" s="197">
        <f>Y171</f>
        <v>0.44047168212079874</v>
      </c>
      <c r="Z155" s="42"/>
      <c r="AA155" s="42"/>
      <c r="AB155" s="39"/>
      <c r="AC155" s="39"/>
      <c r="AD155" s="39"/>
      <c r="AE155" s="39"/>
      <c r="AF155" s="39"/>
    </row>
    <row r="156" spans="1:32" x14ac:dyDescent="0.3">
      <c r="A156" s="39"/>
      <c r="B156" s="39" t="s">
        <v>31</v>
      </c>
      <c r="C156" s="42"/>
      <c r="D156" s="42"/>
      <c r="E156" s="42"/>
      <c r="F156" s="42"/>
      <c r="G156" s="42"/>
      <c r="H156" s="42"/>
      <c r="I156" s="156" t="s">
        <v>8</v>
      </c>
      <c r="J156" s="43" t="e">
        <f>_xlfn.STDEV.S(J152:J154)</f>
        <v>#DIV/0!</v>
      </c>
      <c r="K156" s="43" t="e">
        <f>_xlfn.STDEV.S(K152:K154)</f>
        <v>#DIV/0!</v>
      </c>
      <c r="L156" s="43" t="e">
        <f>_xlfn.STDEV.S(L152:L154)</f>
        <v>#DIV/0!</v>
      </c>
      <c r="M156" s="42"/>
      <c r="N156" s="42"/>
      <c r="O156" s="42"/>
      <c r="P156" s="42"/>
      <c r="Q156" s="42"/>
      <c r="R156" s="42"/>
      <c r="S156" s="42"/>
      <c r="T156" s="42"/>
      <c r="U156" s="42"/>
      <c r="V156" s="197"/>
      <c r="W156" s="197"/>
      <c r="X156" s="197"/>
      <c r="Y156" s="197"/>
      <c r="Z156" s="42"/>
      <c r="AA156" s="42"/>
      <c r="AB156" s="39"/>
      <c r="AC156" s="39"/>
      <c r="AD156" s="39"/>
      <c r="AE156" s="39"/>
      <c r="AF156" s="39"/>
    </row>
    <row r="157" spans="1:32" x14ac:dyDescent="0.3">
      <c r="A157" s="39"/>
      <c r="B157" s="39">
        <v>1.5</v>
      </c>
      <c r="C157" s="42"/>
      <c r="D157" s="42"/>
      <c r="E157" s="42"/>
      <c r="F157" s="42"/>
      <c r="G157" s="42"/>
      <c r="H157" s="42"/>
      <c r="I157" s="42"/>
      <c r="J157" s="42"/>
      <c r="K157" s="42"/>
      <c r="L157" s="42"/>
      <c r="M157" s="42"/>
      <c r="N157" s="42"/>
      <c r="O157" s="42"/>
      <c r="P157" s="42"/>
      <c r="Q157" s="42"/>
      <c r="R157" s="42"/>
      <c r="S157" s="42"/>
      <c r="T157" s="42"/>
      <c r="U157" s="42"/>
      <c r="V157" s="198" t="s">
        <v>20</v>
      </c>
      <c r="W157" s="199"/>
      <c r="X157" s="199"/>
      <c r="Y157" s="200"/>
      <c r="Z157" s="42"/>
      <c r="AA157" s="42"/>
    </row>
    <row r="158" spans="1:32" x14ac:dyDescent="0.3">
      <c r="A158" s="39"/>
      <c r="B158" s="151" t="s">
        <v>10</v>
      </c>
      <c r="C158" s="156" t="s">
        <v>23</v>
      </c>
      <c r="D158" s="156" t="s">
        <v>32</v>
      </c>
      <c r="E158" s="156" t="s">
        <v>24</v>
      </c>
      <c r="F158" s="156" t="s">
        <v>33</v>
      </c>
      <c r="G158" s="156" t="s">
        <v>28</v>
      </c>
      <c r="H158" s="156" t="s">
        <v>27</v>
      </c>
      <c r="I158" s="156" t="s">
        <v>26</v>
      </c>
      <c r="J158" s="42"/>
      <c r="K158" s="42"/>
      <c r="L158" s="156" t="s">
        <v>10</v>
      </c>
      <c r="M158" s="156" t="s">
        <v>30</v>
      </c>
      <c r="N158" s="156" t="s">
        <v>36</v>
      </c>
      <c r="O158" s="156" t="s">
        <v>35</v>
      </c>
      <c r="P158" s="156" t="s">
        <v>37</v>
      </c>
      <c r="Q158" s="156" t="s">
        <v>38</v>
      </c>
      <c r="R158" s="156" t="s">
        <v>39</v>
      </c>
      <c r="S158" s="156" t="s">
        <v>47</v>
      </c>
      <c r="T158" s="42"/>
      <c r="U158" s="42"/>
      <c r="V158" s="201" t="s">
        <v>10</v>
      </c>
      <c r="W158" s="201" t="s">
        <v>17</v>
      </c>
      <c r="X158" s="201" t="s">
        <v>18</v>
      </c>
      <c r="Y158" s="201" t="s">
        <v>44</v>
      </c>
      <c r="Z158" s="42"/>
      <c r="AA158" s="42"/>
    </row>
    <row r="159" spans="1:32" x14ac:dyDescent="0.3">
      <c r="A159" s="39"/>
      <c r="B159" s="151" t="s">
        <v>13</v>
      </c>
      <c r="C159" s="41">
        <v>0.54879999999999995</v>
      </c>
      <c r="D159" s="41">
        <v>2.0453000000000001</v>
      </c>
      <c r="E159" s="41">
        <v>1.3471</v>
      </c>
      <c r="F159" s="41">
        <v>1.0200000000000001E-2</v>
      </c>
      <c r="G159" s="41">
        <v>2.0021</v>
      </c>
      <c r="H159" s="41">
        <v>0.1</v>
      </c>
      <c r="I159" s="41">
        <v>0.26</v>
      </c>
      <c r="J159" s="42"/>
      <c r="K159" s="42"/>
      <c r="L159" s="156" t="s">
        <v>13</v>
      </c>
      <c r="M159" s="41">
        <f>I159/0.01026</f>
        <v>25.341130604288498</v>
      </c>
      <c r="N159" s="41">
        <f>(M159*G159/H159)/1000000/F159</f>
        <v>4.9740664296907836E-2</v>
      </c>
      <c r="O159" s="41">
        <f>N159*D159/C159</f>
        <v>0.18537642253364725</v>
      </c>
      <c r="P159" s="41">
        <f>N159*0.1478+1.333</f>
        <v>1.3403516701830829</v>
      </c>
      <c r="Q159" s="41">
        <f>E159-(P159-1.333)</f>
        <v>1.339748329816917</v>
      </c>
      <c r="R159" s="41">
        <f>(Q159-1.333)/0.1358</f>
        <v>4.9693150345486645E-2</v>
      </c>
      <c r="S159" s="41">
        <f>R159*D159/C159</f>
        <v>0.18519934475514549</v>
      </c>
      <c r="T159" s="42"/>
      <c r="U159" s="42"/>
      <c r="V159" s="201" t="s">
        <v>13</v>
      </c>
      <c r="W159" s="43">
        <f>O159</f>
        <v>0.18537642253364725</v>
      </c>
      <c r="X159" s="43">
        <f>S159</f>
        <v>0.18519934475514549</v>
      </c>
      <c r="Y159" s="43">
        <f>1-X159-W159</f>
        <v>0.62942423271120729</v>
      </c>
      <c r="Z159" s="42"/>
      <c r="AA159" s="42"/>
    </row>
    <row r="160" spans="1:32" x14ac:dyDescent="0.3">
      <c r="A160" s="39"/>
      <c r="B160" s="151" t="s">
        <v>14</v>
      </c>
      <c r="C160" s="41">
        <v>0.5484</v>
      </c>
      <c r="D160" s="41">
        <v>2.0440999999999998</v>
      </c>
      <c r="E160" s="41">
        <v>1.3471</v>
      </c>
      <c r="F160" s="41">
        <v>1.09E-2</v>
      </c>
      <c r="G160" s="41">
        <v>2.0015999999999998</v>
      </c>
      <c r="H160" s="41">
        <v>0.1</v>
      </c>
      <c r="I160" s="41">
        <v>0.23100000000000001</v>
      </c>
      <c r="J160" s="42"/>
      <c r="K160" s="42"/>
      <c r="L160" s="156" t="s">
        <v>14</v>
      </c>
      <c r="M160" s="41">
        <f>I160/0.01026</f>
        <v>22.514619883040936</v>
      </c>
      <c r="N160" s="41">
        <f>(M160*G160/H160)/1000000/F160</f>
        <v>4.1344278126508927E-2</v>
      </c>
      <c r="O160" s="41">
        <f>N160*D160/C160</f>
        <v>0.15410619788183241</v>
      </c>
      <c r="P160" s="41">
        <f>N160*0.1478+1.333</f>
        <v>1.3391106843070979</v>
      </c>
      <c r="Q160" s="41">
        <f t="shared" ref="Q160:Q161" si="53">E160-(P160-1.333)</f>
        <v>1.340989315692902</v>
      </c>
      <c r="R160" s="41">
        <f t="shared" ref="R160:R161" si="54">(Q160-1.333)/0.1358</f>
        <v>5.8831485220191944E-2</v>
      </c>
      <c r="S160" s="41">
        <f>R160*D160/C160</f>
        <v>0.21928781717467968</v>
      </c>
      <c r="T160" s="42"/>
      <c r="U160" s="42"/>
      <c r="V160" s="201" t="s">
        <v>14</v>
      </c>
      <c r="W160" s="43">
        <f>O160</f>
        <v>0.15410619788183241</v>
      </c>
      <c r="X160" s="43">
        <f>S160</f>
        <v>0.21928781717467968</v>
      </c>
      <c r="Y160" s="43">
        <f>1-X160-W160</f>
        <v>0.62660598494348785</v>
      </c>
      <c r="Z160" s="42"/>
      <c r="AA160" s="42"/>
    </row>
    <row r="161" spans="1:27" x14ac:dyDescent="0.3">
      <c r="A161" s="39"/>
      <c r="B161" s="151" t="s">
        <v>15</v>
      </c>
      <c r="C161" s="41">
        <v>0.54879999999999995</v>
      </c>
      <c r="D161" s="41">
        <v>2.0442999999999998</v>
      </c>
      <c r="E161" s="41">
        <v>1.3471</v>
      </c>
      <c r="F161" s="41">
        <v>1.03E-2</v>
      </c>
      <c r="G161" s="41">
        <v>2.0001000000000002</v>
      </c>
      <c r="H161" s="41">
        <v>0.1</v>
      </c>
      <c r="I161" s="41">
        <v>0.154</v>
      </c>
      <c r="J161" s="42"/>
      <c r="K161" s="42"/>
      <c r="L161" s="156" t="s">
        <v>15</v>
      </c>
      <c r="M161" s="41">
        <f>I161/0.01026</f>
        <v>15.009746588693957</v>
      </c>
      <c r="N161" s="41">
        <f>(M161*G161/H161)/1000000/F161</f>
        <v>2.9146596264123088E-2</v>
      </c>
      <c r="O161" s="41">
        <f>N161*D161/C161</f>
        <v>0.10857213327759992</v>
      </c>
      <c r="P161" s="41">
        <f>N161*0.1478+1.333</f>
        <v>1.3373078669278373</v>
      </c>
      <c r="Q161" s="41">
        <f t="shared" si="53"/>
        <v>1.3427921330721626</v>
      </c>
      <c r="R161" s="41">
        <f t="shared" si="54"/>
        <v>7.2107018204437739E-2</v>
      </c>
      <c r="S161" s="41">
        <f>R161*D161/C161</f>
        <v>0.26860127061831646</v>
      </c>
      <c r="T161" s="42"/>
      <c r="U161" s="42"/>
      <c r="V161" s="201" t="s">
        <v>15</v>
      </c>
      <c r="W161" s="43">
        <f>O161</f>
        <v>0.10857213327759992</v>
      </c>
      <c r="X161" s="43">
        <f>S161</f>
        <v>0.26860127061831646</v>
      </c>
      <c r="Y161" s="43">
        <f>1-X161-W161</f>
        <v>0.62282659610408353</v>
      </c>
      <c r="Z161" s="156" t="s">
        <v>69</v>
      </c>
      <c r="AA161" s="156" t="s">
        <v>8</v>
      </c>
    </row>
    <row r="162" spans="1:27" x14ac:dyDescent="0.3">
      <c r="A162" s="39"/>
      <c r="B162" s="151" t="s">
        <v>22</v>
      </c>
      <c r="C162" s="41">
        <f>AVERAGE(C159:C161)</f>
        <v>0.54866666666666664</v>
      </c>
      <c r="D162" s="41">
        <f>C162+1.5</f>
        <v>2.0486666666666666</v>
      </c>
      <c r="E162" s="41">
        <f>AVERAGE(E159:E161)</f>
        <v>1.3471</v>
      </c>
      <c r="F162" s="41">
        <f>AVERAGE(F159:F161)</f>
        <v>1.0466666666666666E-2</v>
      </c>
      <c r="G162" s="41">
        <f>AVERAGE(G159:G161)</f>
        <v>2.0012666666666665</v>
      </c>
      <c r="H162" s="41">
        <f>AVERAGE(H159:H161)</f>
        <v>0.10000000000000002</v>
      </c>
      <c r="I162" s="41">
        <f>AVERAGE(I159:I161)</f>
        <v>0.215</v>
      </c>
      <c r="J162" s="42"/>
      <c r="K162" s="42"/>
      <c r="L162" s="156" t="s">
        <v>22</v>
      </c>
      <c r="M162" s="41">
        <f>AVERAGE(M159:M161)</f>
        <v>20.955165692007796</v>
      </c>
      <c r="N162" s="41">
        <f>AVERAGE(N159:N161)</f>
        <v>4.0077179562513283E-2</v>
      </c>
      <c r="O162" s="41">
        <f>AVERAGE(O160:O161)</f>
        <v>0.13133916557971617</v>
      </c>
      <c r="P162" s="41">
        <f>AVERAGE(P160:P161)</f>
        <v>1.3382092756174675</v>
      </c>
      <c r="Q162" s="41">
        <f>AVERAGE(Q160:Q161)</f>
        <v>1.3418907243825324</v>
      </c>
      <c r="R162" s="41">
        <f>AVERAGE(R160:R161)</f>
        <v>6.5469251712314838E-2</v>
      </c>
      <c r="S162" s="193">
        <f>AVERAGE(S159,S160)</f>
        <v>0.20224358096491257</v>
      </c>
      <c r="T162" s="19"/>
      <c r="U162" s="42"/>
      <c r="V162" s="201" t="s">
        <v>22</v>
      </c>
      <c r="W162" s="43">
        <f>AVERAGE(W160:W161)</f>
        <v>0.13133916557971617</v>
      </c>
      <c r="X162" s="43">
        <f>AVERAGE(X160:X161)</f>
        <v>0.24394454389649806</v>
      </c>
      <c r="Y162" s="43">
        <f>AVERAGE(Y160:Y161)</f>
        <v>0.62471629052378574</v>
      </c>
      <c r="Z162" s="41">
        <f>C162/0.5</f>
        <v>1.0973333333333333</v>
      </c>
      <c r="AA162" s="41">
        <f>C163/0.5</f>
        <v>4.6188021535164978E-4</v>
      </c>
    </row>
    <row r="163" spans="1:27" x14ac:dyDescent="0.3">
      <c r="A163" s="39"/>
      <c r="B163" s="151" t="s">
        <v>8</v>
      </c>
      <c r="C163" s="41">
        <f t="shared" ref="C163:I163" si="55">_xlfn.STDEV.S(C159:C161)</f>
        <v>2.3094010767582489E-4</v>
      </c>
      <c r="D163" s="41">
        <f t="shared" si="55"/>
        <v>6.4291005073304614E-4</v>
      </c>
      <c r="E163" s="41">
        <f t="shared" si="55"/>
        <v>0</v>
      </c>
      <c r="F163" s="41">
        <f t="shared" si="55"/>
        <v>3.7859388972001797E-4</v>
      </c>
      <c r="G163" s="41">
        <f t="shared" si="55"/>
        <v>1.0408329997329162E-3</v>
      </c>
      <c r="H163" s="41">
        <f t="shared" si="55"/>
        <v>1.6996749443881478E-17</v>
      </c>
      <c r="I163" s="41">
        <f t="shared" si="55"/>
        <v>5.4781383699209256E-2</v>
      </c>
      <c r="J163" s="42"/>
      <c r="K163" s="42"/>
      <c r="L163" s="156" t="s">
        <v>8</v>
      </c>
      <c r="M163" s="41">
        <f>_xlfn.STDEV.S(M159:M161)</f>
        <v>5.3393161500204069</v>
      </c>
      <c r="N163" s="41">
        <f>_xlfn.STDEV.S(N159:N161)</f>
        <v>1.0355339859845304E-2</v>
      </c>
      <c r="O163" s="41">
        <f>_xlfn.STDEV.S(O160:O161)</f>
        <v>3.2197445856639119E-2</v>
      </c>
      <c r="P163" s="41">
        <f>_xlfn.STDEV.S(P160:P161)</f>
        <v>1.2747843941161156E-3</v>
      </c>
      <c r="Q163" s="41">
        <f>_xlfn.STDEV.S(Q160:Q161)</f>
        <v>1.2747843941161156E-3</v>
      </c>
      <c r="R163" s="41">
        <f>_xlfn.STDEV.S(R160:R161)</f>
        <v>9.3872193970258953E-3</v>
      </c>
      <c r="S163" s="41">
        <f>_xlfn.STDEV.S(S160:S161)</f>
        <v>3.4869877333723133E-2</v>
      </c>
      <c r="T163" s="42"/>
      <c r="U163" s="42"/>
      <c r="V163" s="201" t="s">
        <v>8</v>
      </c>
      <c r="W163" s="43">
        <f>_xlfn.STDEV.S(W160:W162)</f>
        <v>2.2767032302116151E-2</v>
      </c>
      <c r="X163" s="43">
        <f>_xlfn.STDEV.S(X160:X162)</f>
        <v>2.4656726721818387E-2</v>
      </c>
      <c r="Y163" s="43">
        <f>_xlfn.STDEV.S(Y160:Y161)</f>
        <v>2.6724314770835492E-3</v>
      </c>
      <c r="Z163" s="42"/>
      <c r="AA163" s="42"/>
    </row>
    <row r="164" spans="1:27" x14ac:dyDescent="0.3">
      <c r="A164" s="39"/>
      <c r="B164" s="39"/>
      <c r="C164" s="42"/>
      <c r="D164" s="42"/>
      <c r="E164" s="42"/>
      <c r="F164" s="42"/>
      <c r="G164" s="42"/>
      <c r="H164" s="42"/>
      <c r="I164" s="42"/>
      <c r="J164" s="42"/>
      <c r="K164" s="42"/>
      <c r="L164" s="42"/>
      <c r="M164" s="42"/>
      <c r="N164" s="42"/>
      <c r="O164" s="42"/>
      <c r="P164" s="42"/>
      <c r="Q164" s="42"/>
      <c r="R164" s="42"/>
      <c r="S164" s="42"/>
      <c r="T164" s="42"/>
      <c r="U164" s="42"/>
      <c r="V164" s="197"/>
      <c r="W164" s="197"/>
      <c r="X164" s="197"/>
      <c r="Y164" s="197"/>
      <c r="Z164" s="42"/>
      <c r="AA164" s="42"/>
    </row>
    <row r="165" spans="1:27" x14ac:dyDescent="0.3">
      <c r="A165" s="39"/>
      <c r="B165" s="39"/>
      <c r="C165" s="42"/>
      <c r="D165" s="42"/>
      <c r="E165" s="42"/>
      <c r="F165" s="42"/>
      <c r="G165" s="42"/>
      <c r="H165" s="42"/>
      <c r="I165" s="42"/>
      <c r="J165" s="42"/>
      <c r="K165" s="42"/>
      <c r="L165" s="42"/>
      <c r="M165" s="42"/>
      <c r="N165" s="42"/>
      <c r="O165" s="42"/>
      <c r="P165" s="42"/>
      <c r="Q165" s="42"/>
      <c r="R165" s="42"/>
      <c r="S165" s="42"/>
      <c r="T165" s="42"/>
      <c r="U165" s="42"/>
      <c r="V165" s="197"/>
      <c r="W165" s="197"/>
      <c r="X165" s="197"/>
      <c r="Y165" s="197"/>
      <c r="Z165" s="42"/>
      <c r="AA165" s="42"/>
    </row>
    <row r="166" spans="1:27" x14ac:dyDescent="0.3">
      <c r="A166" s="39"/>
      <c r="B166" s="39"/>
      <c r="C166" s="42"/>
      <c r="D166" s="42"/>
      <c r="E166" s="42"/>
      <c r="F166" s="42"/>
      <c r="G166" s="42"/>
      <c r="H166" s="42"/>
      <c r="I166" s="42"/>
      <c r="J166" s="42"/>
      <c r="K166" s="42"/>
      <c r="L166" s="42"/>
      <c r="M166" s="42"/>
      <c r="N166" s="42"/>
      <c r="O166" s="42"/>
      <c r="P166" s="42"/>
      <c r="Q166" s="42"/>
      <c r="R166" s="42"/>
      <c r="S166" s="42"/>
      <c r="T166" s="42"/>
      <c r="U166" s="42"/>
      <c r="V166" s="288" t="s">
        <v>20</v>
      </c>
      <c r="W166" s="289"/>
      <c r="X166" s="289"/>
      <c r="Y166" s="290"/>
      <c r="Z166" s="42"/>
      <c r="AA166" s="42"/>
    </row>
    <row r="167" spans="1:27" x14ac:dyDescent="0.3">
      <c r="A167" s="39"/>
      <c r="B167" s="151" t="s">
        <v>11</v>
      </c>
      <c r="C167" s="156" t="s">
        <v>23</v>
      </c>
      <c r="D167" s="156" t="s">
        <v>32</v>
      </c>
      <c r="E167" s="156" t="s">
        <v>24</v>
      </c>
      <c r="F167" s="156" t="s">
        <v>25</v>
      </c>
      <c r="G167" s="156" t="s">
        <v>28</v>
      </c>
      <c r="H167" s="156" t="s">
        <v>27</v>
      </c>
      <c r="I167" s="156" t="s">
        <v>26</v>
      </c>
      <c r="J167" s="42"/>
      <c r="K167" s="42"/>
      <c r="L167" s="156" t="s">
        <v>11</v>
      </c>
      <c r="M167" s="156" t="s">
        <v>30</v>
      </c>
      <c r="N167" s="156" t="s">
        <v>34</v>
      </c>
      <c r="O167" s="156" t="s">
        <v>35</v>
      </c>
      <c r="P167" s="156" t="s">
        <v>37</v>
      </c>
      <c r="Q167" s="156" t="s">
        <v>38</v>
      </c>
      <c r="R167" s="156" t="s">
        <v>39</v>
      </c>
      <c r="S167" s="156" t="s">
        <v>47</v>
      </c>
      <c r="T167" s="42"/>
      <c r="U167" s="42"/>
      <c r="V167" s="201" t="s">
        <v>11</v>
      </c>
      <c r="W167" s="201" t="s">
        <v>17</v>
      </c>
      <c r="X167" s="201" t="s">
        <v>18</v>
      </c>
      <c r="Y167" s="201" t="s">
        <v>44</v>
      </c>
      <c r="Z167" s="42"/>
      <c r="AA167" s="42"/>
    </row>
    <row r="168" spans="1:27" x14ac:dyDescent="0.3">
      <c r="A168" s="39"/>
      <c r="B168" s="151" t="s">
        <v>13</v>
      </c>
      <c r="C168" s="41">
        <v>0.61970000000000003</v>
      </c>
      <c r="D168" s="41">
        <v>2.1162999999999998</v>
      </c>
      <c r="E168" s="41">
        <v>1.3572</v>
      </c>
      <c r="F168" s="41">
        <v>1.0800000000000001E-2</v>
      </c>
      <c r="G168" s="41">
        <v>2.0019</v>
      </c>
      <c r="H168" s="41">
        <v>0.1</v>
      </c>
      <c r="I168" s="41">
        <v>0.879</v>
      </c>
      <c r="J168" s="42"/>
      <c r="K168" s="42"/>
      <c r="L168" s="156" t="s">
        <v>13</v>
      </c>
      <c r="M168" s="41">
        <f>I168/0.01026</f>
        <v>85.672514619883046</v>
      </c>
      <c r="N168" s="41">
        <f>(M168*G168/H168)/1000000/F168</f>
        <v>0.15880352501624434</v>
      </c>
      <c r="O168" s="41">
        <f>N168*D168/C168</f>
        <v>0.54232031626896537</v>
      </c>
      <c r="P168" s="41">
        <f>N168*0.1478+1.333</f>
        <v>1.3564711609974009</v>
      </c>
      <c r="Q168" s="41">
        <f>E168-(P168-1.333)</f>
        <v>1.333728839002599</v>
      </c>
      <c r="R168" s="41">
        <f>(Q168-1.333)/0.1358</f>
        <v>5.3670029646466361E-3</v>
      </c>
      <c r="S168" s="41">
        <f>R168*D168/C168</f>
        <v>1.8328527310120503E-2</v>
      </c>
      <c r="T168" s="42"/>
      <c r="U168" s="42"/>
      <c r="V168" s="201" t="s">
        <v>13</v>
      </c>
      <c r="W168" s="43">
        <f>O168</f>
        <v>0.54232031626896537</v>
      </c>
      <c r="X168" s="43">
        <f>S168</f>
        <v>1.8328527310120503E-2</v>
      </c>
      <c r="Y168" s="43">
        <f>1-X168-W168</f>
        <v>0.43935115642091416</v>
      </c>
      <c r="Z168" s="42"/>
      <c r="AA168" s="42"/>
    </row>
    <row r="169" spans="1:27" x14ac:dyDescent="0.3">
      <c r="A169" s="39"/>
      <c r="B169" s="151" t="s">
        <v>14</v>
      </c>
      <c r="C169" s="41">
        <v>0.61280000000000001</v>
      </c>
      <c r="D169" s="41">
        <v>2.1092</v>
      </c>
      <c r="E169" s="41">
        <v>1.357</v>
      </c>
      <c r="F169" s="41">
        <v>1.12E-2</v>
      </c>
      <c r="G169" s="41">
        <v>2.0013999999999998</v>
      </c>
      <c r="H169" s="41">
        <v>0.1</v>
      </c>
      <c r="I169" s="41">
        <v>0.94699999999999995</v>
      </c>
      <c r="J169" s="42"/>
      <c r="K169" s="42"/>
      <c r="L169" s="156" t="s">
        <v>14</v>
      </c>
      <c r="M169" s="41">
        <f>I169/0.01026</f>
        <v>92.300194931773873</v>
      </c>
      <c r="N169" s="41">
        <f>(M169*G169/H169)/1000000/F169</f>
        <v>0.16493715190754663</v>
      </c>
      <c r="O169" s="41">
        <f>N169*D169/C169</f>
        <v>0.56769817363478681</v>
      </c>
      <c r="P169" s="41">
        <f>N169*0.1478+1.333</f>
        <v>1.3573777110519354</v>
      </c>
      <c r="Q169" s="41">
        <f t="shared" ref="Q169:Q170" si="56">E169-(P169-1.333)</f>
        <v>1.3326222889480646</v>
      </c>
      <c r="R169" s="41">
        <f t="shared" ref="R169:R170" si="57">(Q169-1.333)/0.1358</f>
        <v>-2.7813774074771959E-3</v>
      </c>
      <c r="S169" s="41">
        <f>R169*D169/C169</f>
        <v>-9.5732396015843681E-3</v>
      </c>
      <c r="T169" s="42"/>
      <c r="U169" s="42"/>
      <c r="V169" s="201" t="s">
        <v>14</v>
      </c>
      <c r="W169" s="43">
        <f>O169</f>
        <v>0.56769817363478681</v>
      </c>
      <c r="X169" s="43">
        <f>S169</f>
        <v>-9.5732396015843681E-3</v>
      </c>
      <c r="Y169" s="43">
        <f>1-X169-W169</f>
        <v>0.4418750659667976</v>
      </c>
      <c r="Z169" s="42"/>
      <c r="AA169" s="42"/>
    </row>
    <row r="170" spans="1:27" x14ac:dyDescent="0.3">
      <c r="A170" s="39"/>
      <c r="B170" s="151" t="s">
        <v>15</v>
      </c>
      <c r="C170" s="41">
        <v>0.6119</v>
      </c>
      <c r="D170" s="41">
        <v>2.1061000000000001</v>
      </c>
      <c r="E170" s="41">
        <v>1.357</v>
      </c>
      <c r="F170" s="41">
        <v>1.06E-2</v>
      </c>
      <c r="G170" s="41">
        <v>2.0017</v>
      </c>
      <c r="H170" s="41">
        <v>0.1</v>
      </c>
      <c r="I170" s="41">
        <v>0.86599999999999999</v>
      </c>
      <c r="J170" s="42"/>
      <c r="K170" s="42"/>
      <c r="L170" s="156" t="s">
        <v>15</v>
      </c>
      <c r="M170" s="41">
        <f>I170/0.01026</f>
        <v>84.405458089668613</v>
      </c>
      <c r="N170" s="41">
        <f>(M170*G170/H170)/1000000/F170</f>
        <v>0.15939094854536759</v>
      </c>
      <c r="O170" s="41">
        <f>N170*D170/C170</f>
        <v>0.54860806787285288</v>
      </c>
      <c r="P170" s="41">
        <f>N170*0.1478+1.333</f>
        <v>1.3565579821950053</v>
      </c>
      <c r="Q170" s="41">
        <f t="shared" si="56"/>
        <v>1.3334420178049946</v>
      </c>
      <c r="R170" s="41">
        <f t="shared" si="57"/>
        <v>3.2549175625526013E-3</v>
      </c>
      <c r="S170" s="41">
        <f>R170*D170/C170</f>
        <v>1.1203108152462875E-2</v>
      </c>
      <c r="T170" s="42"/>
      <c r="U170" s="42"/>
      <c r="V170" s="201" t="s">
        <v>15</v>
      </c>
      <c r="W170" s="43">
        <f>O170</f>
        <v>0.54860806787285288</v>
      </c>
      <c r="X170" s="43">
        <f>S170</f>
        <v>1.1203108152462875E-2</v>
      </c>
      <c r="Y170" s="43">
        <f>1-X170-W170</f>
        <v>0.44018882397468428</v>
      </c>
      <c r="Z170" s="156" t="s">
        <v>69</v>
      </c>
      <c r="AA170" s="156" t="s">
        <v>8</v>
      </c>
    </row>
    <row r="171" spans="1:27" x14ac:dyDescent="0.3">
      <c r="A171" s="39"/>
      <c r="B171" s="151" t="s">
        <v>22</v>
      </c>
      <c r="C171" s="41">
        <f>AVERAGE(C168:C170)</f>
        <v>0.6147999999999999</v>
      </c>
      <c r="D171" s="41">
        <f>C171+1.5</f>
        <v>2.1147999999999998</v>
      </c>
      <c r="E171" s="41">
        <f>AVERAGE(E168:E170)</f>
        <v>1.3570666666666666</v>
      </c>
      <c r="F171" s="41">
        <f>AVERAGE(F168:F170)</f>
        <v>1.0866666666666665E-2</v>
      </c>
      <c r="G171" s="41">
        <f>AVERAGE(G168:G170)</f>
        <v>2.0016666666666665</v>
      </c>
      <c r="H171" s="41">
        <f>AVERAGE(H168:H170)</f>
        <v>0.10000000000000002</v>
      </c>
      <c r="I171" s="41">
        <f>AVERAGE(I168:I170)</f>
        <v>0.89733333333333343</v>
      </c>
      <c r="J171" s="42"/>
      <c r="K171" s="42"/>
      <c r="L171" s="156" t="s">
        <v>22</v>
      </c>
      <c r="M171" s="41">
        <f t="shared" ref="M171:R171" si="58">AVERAGE(M168:M170)</f>
        <v>87.459389213775182</v>
      </c>
      <c r="N171" s="41">
        <f t="shared" si="58"/>
        <v>0.16104387515638618</v>
      </c>
      <c r="O171" s="41">
        <f t="shared" si="58"/>
        <v>0.55287551925886835</v>
      </c>
      <c r="P171" s="41">
        <f t="shared" si="58"/>
        <v>1.3568022847481138</v>
      </c>
      <c r="Q171" s="41">
        <f t="shared" si="58"/>
        <v>1.3332643819185528</v>
      </c>
      <c r="R171" s="41">
        <f t="shared" si="58"/>
        <v>1.9468477065740137E-3</v>
      </c>
      <c r="S171" s="193">
        <f>AVERAGE(S168,S169)</f>
        <v>4.3776438542680674E-3</v>
      </c>
      <c r="T171" s="42"/>
      <c r="U171" s="42"/>
      <c r="V171" s="201" t="s">
        <v>22</v>
      </c>
      <c r="W171" s="43">
        <f>AVERAGE(W169:W170)</f>
        <v>0.55815312075381984</v>
      </c>
      <c r="X171" s="43">
        <f>AVERAGE(X169:X170)</f>
        <v>8.1493427543925367E-4</v>
      </c>
      <c r="Y171" s="43">
        <f t="shared" ref="Y171" si="59">AVERAGE(Y168:Y170)</f>
        <v>0.44047168212079874</v>
      </c>
      <c r="Z171" s="41">
        <f>C171/0.5</f>
        <v>1.2295999999999998</v>
      </c>
      <c r="AA171" s="41">
        <f>C172/0.5</f>
        <v>8.5346353173407757E-3</v>
      </c>
    </row>
    <row r="172" spans="1:27" x14ac:dyDescent="0.3">
      <c r="A172" s="39"/>
      <c r="B172" s="151" t="s">
        <v>8</v>
      </c>
      <c r="C172" s="41">
        <f t="shared" ref="C172:I172" si="60">_xlfn.STDEV.S(C168:C170)</f>
        <v>4.2673176586703878E-3</v>
      </c>
      <c r="D172" s="41">
        <f t="shared" si="60"/>
        <v>5.2290853247324368E-3</v>
      </c>
      <c r="E172" s="41">
        <f t="shared" si="60"/>
        <v>1.1547005383791244E-4</v>
      </c>
      <c r="F172" s="41">
        <f t="shared" si="60"/>
        <v>3.055050463303892E-4</v>
      </c>
      <c r="G172" s="41">
        <f t="shared" si="60"/>
        <v>2.5166114784244827E-4</v>
      </c>
      <c r="H172" s="41">
        <f t="shared" si="60"/>
        <v>1.6996749443881478E-17</v>
      </c>
      <c r="I172" s="41">
        <f t="shared" si="60"/>
        <v>4.350095784386053E-2</v>
      </c>
      <c r="J172" s="42"/>
      <c r="K172" s="42"/>
      <c r="L172" s="156" t="s">
        <v>8</v>
      </c>
      <c r="M172" s="41">
        <f t="shared" ref="M172:R172" si="61">_xlfn.STDEV.S(M168:M170)</f>
        <v>4.2398594389727604</v>
      </c>
      <c r="N172" s="41">
        <f t="shared" si="61"/>
        <v>3.3844452272841852E-3</v>
      </c>
      <c r="O172" s="41">
        <f t="shared" si="61"/>
        <v>1.3216174450989906E-2</v>
      </c>
      <c r="P172" s="41">
        <f t="shared" si="61"/>
        <v>5.0022100459258588E-4</v>
      </c>
      <c r="Q172" s="41">
        <f t="shared" si="61"/>
        <v>5.7426399583425706E-4</v>
      </c>
      <c r="R172" s="41">
        <f t="shared" si="61"/>
        <v>4.2287481283818634E-3</v>
      </c>
      <c r="S172" s="41">
        <f>_xlfn.STDEV.S(S169:S170)</f>
        <v>1.4691096385176702E-2</v>
      </c>
      <c r="T172" s="42"/>
      <c r="U172" s="42"/>
      <c r="V172" s="201" t="s">
        <v>8</v>
      </c>
      <c r="W172" s="43">
        <f>_xlfn.STDEV.S(W169:W170)</f>
        <v>1.3498743237831866E-2</v>
      </c>
      <c r="X172" s="43">
        <f>_xlfn.STDEV.S(X169:X170)</f>
        <v>1.4691096385176702E-2</v>
      </c>
      <c r="Y172" s="43">
        <f>_xlfn.STDEV.S(Y168:Y170)</f>
        <v>1.2855101699589323E-3</v>
      </c>
      <c r="Z172" s="42"/>
      <c r="AA172" s="42"/>
    </row>
    <row r="173" spans="1:27" x14ac:dyDescent="0.3">
      <c r="V173" s="83"/>
      <c r="W173" s="83"/>
      <c r="X173" s="83"/>
      <c r="Y173" s="83"/>
    </row>
    <row r="175" spans="1:27" x14ac:dyDescent="0.3">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c r="AA175" s="1"/>
    </row>
    <row r="176" spans="1:27" x14ac:dyDescent="0.3">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c r="AA176" s="1"/>
    </row>
    <row r="177" spans="1:27" x14ac:dyDescent="0.3">
      <c r="A177" s="1"/>
      <c r="B177" s="1"/>
      <c r="C177" s="292"/>
      <c r="D177" s="292"/>
      <c r="E177" s="292"/>
      <c r="F177" s="10"/>
      <c r="G177" s="10"/>
      <c r="H177" s="10"/>
      <c r="I177" s="1"/>
      <c r="J177" s="292"/>
      <c r="K177" s="292"/>
      <c r="L177" s="1"/>
      <c r="M177" s="1"/>
      <c r="N177" s="1"/>
      <c r="O177" s="1"/>
      <c r="P177" s="1"/>
      <c r="Q177" s="1"/>
      <c r="R177" s="1"/>
      <c r="S177" s="1"/>
      <c r="T177" s="1"/>
      <c r="U177" s="1"/>
      <c r="V177" s="1"/>
      <c r="W177" s="1"/>
      <c r="X177" s="1"/>
      <c r="Y177" s="1"/>
      <c r="Z177" s="1"/>
      <c r="AA177" s="1"/>
    </row>
    <row r="178" spans="1:27" x14ac:dyDescent="0.3">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c r="AA178" s="1"/>
    </row>
    <row r="179" spans="1:27" x14ac:dyDescent="0.3">
      <c r="A179" s="1"/>
      <c r="B179" s="1"/>
      <c r="C179" s="13"/>
      <c r="D179" s="13"/>
      <c r="E179" s="1"/>
      <c r="F179" s="13"/>
      <c r="G179" s="13"/>
      <c r="H179" s="13"/>
      <c r="I179" s="13"/>
      <c r="J179" s="60"/>
      <c r="K179" s="60"/>
      <c r="L179" s="60"/>
      <c r="M179" s="1"/>
      <c r="N179" s="1"/>
      <c r="O179" s="1"/>
      <c r="P179" s="1"/>
      <c r="Q179" s="1"/>
      <c r="R179" s="1"/>
      <c r="S179" s="1"/>
      <c r="T179" s="1"/>
      <c r="U179" s="1"/>
      <c r="V179" s="1"/>
      <c r="W179" s="1"/>
      <c r="X179" s="1"/>
      <c r="Y179" s="1"/>
      <c r="Z179" s="1"/>
      <c r="AA179" s="1"/>
    </row>
    <row r="180" spans="1:27" x14ac:dyDescent="0.3">
      <c r="A180" s="1"/>
      <c r="B180" s="1"/>
      <c r="C180" s="13"/>
      <c r="D180" s="13"/>
      <c r="E180" s="1"/>
      <c r="F180" s="13"/>
      <c r="G180" s="13"/>
      <c r="H180" s="13"/>
      <c r="I180" s="13"/>
      <c r="J180" s="60"/>
      <c r="K180" s="60"/>
      <c r="L180" s="60"/>
      <c r="M180" s="1"/>
      <c r="N180" s="1"/>
      <c r="O180" s="1"/>
      <c r="P180" s="1"/>
      <c r="Q180" s="1"/>
      <c r="R180" s="1"/>
      <c r="S180" s="1"/>
      <c r="T180" s="1"/>
      <c r="U180" s="1"/>
      <c r="V180" s="1"/>
      <c r="W180" s="45"/>
      <c r="X180" s="45"/>
      <c r="Y180" s="45"/>
      <c r="Z180" s="1"/>
      <c r="AA180" s="1"/>
    </row>
    <row r="181" spans="1:27" x14ac:dyDescent="0.3">
      <c r="A181" s="1"/>
      <c r="B181" s="1"/>
      <c r="C181" s="13"/>
      <c r="D181" s="13"/>
      <c r="E181" s="1"/>
      <c r="F181" s="13"/>
      <c r="G181" s="13"/>
      <c r="H181" s="13"/>
      <c r="I181" s="13"/>
      <c r="J181" s="60"/>
      <c r="K181" s="60"/>
      <c r="L181" s="60"/>
      <c r="M181" s="1"/>
      <c r="N181" s="1"/>
      <c r="O181" s="1"/>
      <c r="P181" s="1"/>
      <c r="Q181" s="1"/>
      <c r="R181" s="1"/>
      <c r="S181" s="1"/>
      <c r="T181" s="1"/>
      <c r="U181" s="1"/>
      <c r="V181" s="1"/>
      <c r="W181" s="45"/>
      <c r="X181" s="45"/>
      <c r="Y181" s="45"/>
      <c r="Z181" s="1"/>
      <c r="AA181" s="1"/>
    </row>
    <row r="182" spans="1:27" x14ac:dyDescent="0.3">
      <c r="A182" s="1"/>
      <c r="B182" s="1"/>
      <c r="C182" s="13"/>
      <c r="D182" s="13"/>
      <c r="E182" s="13"/>
      <c r="F182" s="13"/>
      <c r="G182" s="13"/>
      <c r="H182" s="13"/>
      <c r="I182" s="13"/>
      <c r="J182" s="60"/>
      <c r="K182" s="60"/>
      <c r="L182" s="60"/>
      <c r="M182" s="1"/>
      <c r="N182" s="1"/>
      <c r="O182" s="1"/>
      <c r="P182" s="1"/>
      <c r="Q182" s="1"/>
      <c r="R182" s="1"/>
      <c r="S182" s="1"/>
      <c r="T182" s="1"/>
      <c r="U182" s="1"/>
      <c r="V182" s="1"/>
      <c r="W182" s="45"/>
      <c r="X182" s="45"/>
      <c r="Y182" s="45"/>
      <c r="Z182" s="1"/>
      <c r="AA182" s="1"/>
    </row>
    <row r="183" spans="1:27" x14ac:dyDescent="0.3">
      <c r="A183" s="1"/>
      <c r="B183" s="1"/>
      <c r="C183" s="13"/>
      <c r="D183" s="13"/>
      <c r="E183" s="13"/>
      <c r="F183" s="13"/>
      <c r="G183" s="13"/>
      <c r="H183" s="13"/>
      <c r="I183" s="13"/>
      <c r="J183" s="13"/>
      <c r="K183" s="13"/>
      <c r="L183" s="13"/>
      <c r="M183" s="1"/>
      <c r="N183" s="1"/>
      <c r="O183" s="1"/>
      <c r="P183" s="1"/>
      <c r="Q183" s="1"/>
      <c r="R183" s="1"/>
      <c r="S183" s="1"/>
      <c r="T183" s="1"/>
      <c r="U183" s="1"/>
      <c r="V183" s="1"/>
      <c r="W183" s="1"/>
      <c r="X183" s="1"/>
      <c r="Y183" s="1"/>
      <c r="Z183" s="1"/>
      <c r="AA183" s="1"/>
    </row>
    <row r="184" spans="1:27" x14ac:dyDescent="0.3">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c r="AA184" s="1"/>
    </row>
    <row r="185" spans="1:27" x14ac:dyDescent="0.3">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c r="AA185" s="1"/>
    </row>
    <row r="186" spans="1:27" x14ac:dyDescent="0.3">
      <c r="A186" s="1"/>
      <c r="B186" s="1"/>
      <c r="C186" s="13"/>
      <c r="D186" s="13"/>
      <c r="E186" s="13"/>
      <c r="F186" s="13"/>
      <c r="G186" s="13"/>
      <c r="H186" s="13"/>
      <c r="I186" s="13"/>
      <c r="J186" s="1"/>
      <c r="K186" s="1"/>
      <c r="L186" s="1"/>
      <c r="M186" s="1"/>
      <c r="N186" s="1"/>
      <c r="O186" s="1"/>
      <c r="P186" s="14"/>
      <c r="Q186" s="61"/>
      <c r="R186" s="1"/>
      <c r="S186" s="1"/>
      <c r="T186" s="1"/>
      <c r="U186" s="1"/>
      <c r="V186" s="13"/>
      <c r="W186" s="60"/>
      <c r="X186" s="60"/>
      <c r="Y186" s="60"/>
      <c r="Z186" s="1"/>
      <c r="AA186" s="1"/>
    </row>
    <row r="187" spans="1:27" x14ac:dyDescent="0.3">
      <c r="A187" s="1"/>
      <c r="B187" s="1"/>
      <c r="C187" s="13"/>
      <c r="D187" s="13"/>
      <c r="E187" s="13"/>
      <c r="F187" s="13"/>
      <c r="G187" s="13"/>
      <c r="H187" s="13"/>
      <c r="I187" s="13"/>
      <c r="J187" s="1"/>
      <c r="K187" s="1"/>
      <c r="L187" s="1"/>
      <c r="M187" s="1"/>
      <c r="N187" s="1"/>
      <c r="O187" s="1"/>
      <c r="P187" s="14"/>
      <c r="Q187" s="61"/>
      <c r="R187" s="1"/>
      <c r="S187" s="1"/>
      <c r="T187" s="1"/>
      <c r="U187" s="1"/>
      <c r="V187" s="13"/>
      <c r="W187" s="60"/>
      <c r="X187" s="60"/>
      <c r="Y187" s="60"/>
      <c r="Z187" s="1"/>
      <c r="AA187" s="1"/>
    </row>
    <row r="188" spans="1:27" x14ac:dyDescent="0.3">
      <c r="A188" s="1"/>
      <c r="B188" s="1"/>
      <c r="C188" s="13"/>
      <c r="D188" s="13"/>
      <c r="E188" s="13"/>
      <c r="F188" s="13"/>
      <c r="G188" s="13"/>
      <c r="H188" s="13"/>
      <c r="I188" s="13"/>
      <c r="J188" s="1"/>
      <c r="K188" s="1"/>
      <c r="L188" s="1"/>
      <c r="M188" s="1"/>
      <c r="N188" s="1"/>
      <c r="O188" s="1"/>
      <c r="P188" s="14"/>
      <c r="Q188" s="61"/>
      <c r="R188" s="1"/>
      <c r="S188" s="1"/>
      <c r="T188" s="1"/>
      <c r="U188" s="1"/>
      <c r="V188" s="13"/>
      <c r="W188" s="60"/>
      <c r="X188" s="60"/>
      <c r="Y188" s="60"/>
      <c r="Z188" s="1"/>
      <c r="AA188" s="13"/>
    </row>
    <row r="189" spans="1:27" x14ac:dyDescent="0.3">
      <c r="A189" s="1"/>
      <c r="B189" s="1"/>
      <c r="C189" s="13"/>
      <c r="D189" s="13"/>
      <c r="E189" s="13"/>
      <c r="F189" s="13"/>
      <c r="G189" s="13"/>
      <c r="H189" s="13"/>
      <c r="I189" s="13"/>
      <c r="J189" s="1"/>
      <c r="K189" s="1"/>
      <c r="L189" s="1"/>
      <c r="M189" s="13"/>
      <c r="N189" s="13"/>
      <c r="O189" s="13"/>
      <c r="P189" s="14"/>
      <c r="Q189" s="14"/>
      <c r="R189" s="14"/>
      <c r="S189" s="62"/>
      <c r="T189" s="1"/>
      <c r="U189" s="1"/>
      <c r="V189" s="13"/>
      <c r="W189" s="60"/>
      <c r="X189" s="60"/>
      <c r="Y189" s="60"/>
      <c r="Z189" s="1"/>
      <c r="AA189" s="1"/>
    </row>
    <row r="190" spans="1:27" x14ac:dyDescent="0.3">
      <c r="A190" s="1"/>
      <c r="B190" s="1"/>
      <c r="C190" s="13"/>
      <c r="D190" s="13"/>
      <c r="E190" s="13"/>
      <c r="F190" s="13"/>
      <c r="G190" s="13"/>
      <c r="H190" s="13"/>
      <c r="I190" s="13"/>
      <c r="J190" s="1"/>
      <c r="K190" s="1"/>
      <c r="L190" s="1"/>
      <c r="M190" s="13"/>
      <c r="N190" s="13"/>
      <c r="O190" s="13"/>
      <c r="P190" s="14"/>
      <c r="Q190" s="14"/>
      <c r="R190" s="14"/>
      <c r="S190" s="14"/>
      <c r="T190" s="1"/>
      <c r="U190" s="1"/>
      <c r="V190" s="13"/>
      <c r="W190" s="15"/>
      <c r="X190" s="15"/>
      <c r="Y190" s="15"/>
      <c r="Z190" s="1"/>
      <c r="AA190" s="1"/>
    </row>
    <row r="191" spans="1:27" x14ac:dyDescent="0.3">
      <c r="A191" s="1"/>
      <c r="B191" s="1"/>
      <c r="C191" s="13"/>
      <c r="D191" s="13"/>
      <c r="E191" s="13"/>
      <c r="F191" s="13"/>
      <c r="G191" s="13"/>
      <c r="H191" s="13"/>
      <c r="I191" s="13"/>
      <c r="J191" s="1"/>
      <c r="K191" s="1"/>
      <c r="L191" s="1"/>
      <c r="M191" s="1"/>
      <c r="N191" s="1"/>
      <c r="O191" s="1"/>
      <c r="P191" s="14"/>
      <c r="Q191" s="1"/>
      <c r="R191" s="1"/>
      <c r="S191" s="1"/>
      <c r="T191" s="1"/>
      <c r="U191" s="1"/>
      <c r="V191" s="1"/>
      <c r="W191" s="1"/>
      <c r="X191" s="1"/>
      <c r="Y191" s="1"/>
      <c r="Z191" s="1"/>
      <c r="AA191" s="1"/>
    </row>
    <row r="192" spans="1:27" x14ac:dyDescent="0.3">
      <c r="A192" s="1"/>
      <c r="B192" s="1"/>
      <c r="C192" s="13"/>
      <c r="D192" s="13"/>
      <c r="E192" s="13"/>
      <c r="F192" s="13"/>
      <c r="G192" s="13"/>
      <c r="H192" s="13"/>
      <c r="I192" s="13"/>
      <c r="J192" s="1"/>
      <c r="K192" s="1"/>
      <c r="L192" s="1"/>
      <c r="M192" s="1"/>
      <c r="N192" s="1"/>
      <c r="O192" s="1"/>
      <c r="P192" s="14"/>
      <c r="Q192" s="1"/>
      <c r="R192" s="1"/>
      <c r="S192" s="1"/>
      <c r="T192" s="1"/>
      <c r="U192" s="1"/>
      <c r="V192" s="1"/>
      <c r="W192" s="1"/>
      <c r="X192" s="1"/>
      <c r="Y192" s="1"/>
      <c r="Z192" s="1"/>
      <c r="AA192" s="1"/>
    </row>
    <row r="193" spans="1:27" x14ac:dyDescent="0.3">
      <c r="A193" s="1"/>
      <c r="B193" s="1"/>
      <c r="C193" s="13"/>
      <c r="D193" s="13"/>
      <c r="E193" s="13"/>
      <c r="F193" s="13"/>
      <c r="G193" s="13"/>
      <c r="H193" s="13"/>
      <c r="I193" s="13"/>
      <c r="J193" s="1"/>
      <c r="K193" s="1"/>
      <c r="L193" s="1"/>
      <c r="M193" s="1"/>
      <c r="N193" s="1"/>
      <c r="O193" s="1"/>
      <c r="P193" s="14"/>
      <c r="Q193" s="1"/>
      <c r="R193" s="1"/>
      <c r="S193" s="1"/>
      <c r="T193" s="1"/>
      <c r="U193" s="1"/>
      <c r="V193" s="292"/>
      <c r="W193" s="292"/>
      <c r="X193" s="292"/>
      <c r="Y193" s="292"/>
      <c r="Z193" s="1"/>
      <c r="AA193" s="1"/>
    </row>
    <row r="194" spans="1:27" x14ac:dyDescent="0.3">
      <c r="A194" s="1"/>
      <c r="B194" s="1"/>
      <c r="C194" s="13"/>
      <c r="D194" s="1"/>
      <c r="E194" s="13"/>
      <c r="F194" s="13"/>
      <c r="G194" s="13"/>
      <c r="H194" s="13"/>
      <c r="I194" s="13"/>
      <c r="J194" s="1"/>
      <c r="K194" s="1"/>
      <c r="L194" s="1"/>
      <c r="M194" s="1"/>
      <c r="N194" s="1"/>
      <c r="O194" s="1"/>
      <c r="P194" s="1"/>
      <c r="Q194" s="1"/>
      <c r="R194" s="1"/>
      <c r="S194" s="1"/>
      <c r="T194" s="1"/>
      <c r="U194" s="1"/>
      <c r="V194" s="1"/>
      <c r="W194" s="1"/>
      <c r="X194" s="1"/>
      <c r="Y194" s="1"/>
      <c r="Z194" s="1"/>
      <c r="AA194" s="1"/>
    </row>
    <row r="195" spans="1:27" x14ac:dyDescent="0.3">
      <c r="A195" s="1"/>
      <c r="B195" s="1"/>
      <c r="C195" s="13"/>
      <c r="D195" s="13"/>
      <c r="E195" s="13"/>
      <c r="F195" s="13"/>
      <c r="G195" s="13"/>
      <c r="H195" s="13"/>
      <c r="I195" s="13"/>
      <c r="J195" s="1"/>
      <c r="K195" s="1"/>
      <c r="L195" s="1"/>
      <c r="M195" s="1"/>
      <c r="N195" s="1"/>
      <c r="O195" s="1"/>
      <c r="P195" s="14"/>
      <c r="Q195" s="61"/>
      <c r="R195" s="1"/>
      <c r="S195" s="1"/>
      <c r="T195" s="1"/>
      <c r="U195" s="1"/>
      <c r="V195" s="13"/>
      <c r="W195" s="60"/>
      <c r="X195" s="60"/>
      <c r="Y195" s="60"/>
      <c r="Z195" s="1"/>
      <c r="AA195" s="1"/>
    </row>
    <row r="196" spans="1:27" x14ac:dyDescent="0.3">
      <c r="A196" s="1"/>
      <c r="B196" s="1"/>
      <c r="C196" s="13"/>
      <c r="D196" s="13"/>
      <c r="E196" s="13"/>
      <c r="F196" s="13"/>
      <c r="G196" s="13"/>
      <c r="H196" s="13"/>
      <c r="I196" s="13"/>
      <c r="J196" s="1"/>
      <c r="K196" s="1"/>
      <c r="L196" s="1"/>
      <c r="M196" s="1"/>
      <c r="N196" s="1"/>
      <c r="O196" s="1"/>
      <c r="P196" s="14"/>
      <c r="Q196" s="61"/>
      <c r="R196" s="1"/>
      <c r="S196" s="1"/>
      <c r="T196" s="1"/>
      <c r="U196" s="1"/>
      <c r="V196" s="13"/>
      <c r="W196" s="60"/>
      <c r="X196" s="60"/>
      <c r="Y196" s="60"/>
      <c r="Z196" s="1"/>
      <c r="AA196" s="1"/>
    </row>
    <row r="197" spans="1:27" x14ac:dyDescent="0.3">
      <c r="A197" s="1"/>
      <c r="B197" s="1"/>
      <c r="C197" s="13"/>
      <c r="D197" s="13"/>
      <c r="E197" s="13"/>
      <c r="F197" s="13"/>
      <c r="G197" s="13"/>
      <c r="H197" s="13"/>
      <c r="I197" s="13"/>
      <c r="J197" s="1"/>
      <c r="K197" s="1"/>
      <c r="L197" s="1"/>
      <c r="M197" s="1"/>
      <c r="N197" s="1"/>
      <c r="O197" s="1"/>
      <c r="P197" s="14"/>
      <c r="Q197" s="61"/>
      <c r="R197" s="1"/>
      <c r="S197" s="1"/>
      <c r="T197" s="1"/>
      <c r="U197" s="1"/>
      <c r="V197" s="13"/>
      <c r="W197" s="60"/>
      <c r="X197" s="60"/>
      <c r="Y197" s="60"/>
      <c r="Z197" s="1"/>
      <c r="AA197" s="13"/>
    </row>
    <row r="198" spans="1:27" x14ac:dyDescent="0.3">
      <c r="A198" s="1"/>
      <c r="B198" s="1"/>
      <c r="C198" s="13"/>
      <c r="D198" s="13"/>
      <c r="E198" s="13"/>
      <c r="F198" s="13"/>
      <c r="G198" s="13"/>
      <c r="H198" s="13"/>
      <c r="I198" s="13"/>
      <c r="J198" s="1"/>
      <c r="K198" s="1"/>
      <c r="L198" s="1"/>
      <c r="M198" s="13"/>
      <c r="N198" s="13"/>
      <c r="O198" s="13"/>
      <c r="P198" s="14"/>
      <c r="Q198" s="14"/>
      <c r="R198" s="14"/>
      <c r="S198" s="62"/>
      <c r="T198" s="1"/>
      <c r="U198" s="1"/>
      <c r="V198" s="13"/>
      <c r="W198" s="60"/>
      <c r="X198" s="60"/>
      <c r="Y198" s="60"/>
      <c r="Z198" s="1"/>
      <c r="AA198" s="1"/>
    </row>
    <row r="199" spans="1:27" x14ac:dyDescent="0.3">
      <c r="A199" s="1"/>
      <c r="B199" s="1"/>
      <c r="C199" s="13"/>
      <c r="D199" s="13"/>
      <c r="E199" s="13"/>
      <c r="F199" s="13"/>
      <c r="G199" s="13"/>
      <c r="H199" s="13"/>
      <c r="I199" s="13"/>
      <c r="J199" s="1"/>
      <c r="K199" s="1"/>
      <c r="L199" s="1"/>
      <c r="M199" s="13"/>
      <c r="N199" s="13"/>
      <c r="O199" s="13"/>
      <c r="P199" s="13"/>
      <c r="Q199" s="13"/>
      <c r="R199" s="13"/>
      <c r="S199" s="14"/>
      <c r="T199" s="1"/>
      <c r="U199" s="1"/>
      <c r="V199" s="13"/>
      <c r="W199" s="15"/>
      <c r="X199" s="15"/>
      <c r="Y199" s="15"/>
      <c r="Z199" s="1"/>
      <c r="AA199" s="1"/>
    </row>
    <row r="200" spans="1:27" x14ac:dyDescent="0.3">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c r="AA200" s="1"/>
    </row>
    <row r="201" spans="1:27" x14ac:dyDescent="0.3">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c r="AA201" s="1"/>
    </row>
  </sheetData>
  <mergeCells count="21">
    <mergeCell ref="C177:E177"/>
    <mergeCell ref="J177:K177"/>
    <mergeCell ref="V193:Y193"/>
    <mergeCell ref="V108:Y108"/>
    <mergeCell ref="C122:E122"/>
    <mergeCell ref="J122:K122"/>
    <mergeCell ref="V138:Y138"/>
    <mergeCell ref="C150:E150"/>
    <mergeCell ref="J150:K150"/>
    <mergeCell ref="V166:Y166"/>
    <mergeCell ref="C62:E62"/>
    <mergeCell ref="J62:K62"/>
    <mergeCell ref="V78:Y78"/>
    <mergeCell ref="C92:E92"/>
    <mergeCell ref="J92:K92"/>
    <mergeCell ref="J35:K35"/>
    <mergeCell ref="V51:Y51"/>
    <mergeCell ref="C5:E5"/>
    <mergeCell ref="J5:K5"/>
    <mergeCell ref="V21:Y21"/>
    <mergeCell ref="C35:E35"/>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EFA55E-0A2E-40E3-850D-D4F2A922B3B3}">
  <dimension ref="A1:AU266"/>
  <sheetViews>
    <sheetView zoomScale="40" zoomScaleNormal="40" workbookViewId="0">
      <selection activeCell="M30" sqref="M30"/>
    </sheetView>
  </sheetViews>
  <sheetFormatPr defaultRowHeight="14.4" x14ac:dyDescent="0.3"/>
  <cols>
    <col min="1" max="1" width="23.5546875" bestFit="1" customWidth="1"/>
    <col min="3" max="3" width="11.6640625" bestFit="1" customWidth="1"/>
    <col min="4" max="4" width="11.6640625" customWidth="1"/>
    <col min="6" max="6" width="11.88671875" bestFit="1" customWidth="1"/>
    <col min="7" max="8" width="12" bestFit="1" customWidth="1"/>
    <col min="12" max="12" width="9.33203125" customWidth="1"/>
    <col min="13" max="13" width="32.6640625" bestFit="1" customWidth="1"/>
    <col min="14" max="14" width="39" bestFit="1" customWidth="1"/>
    <col min="15" max="15" width="12.33203125" bestFit="1" customWidth="1"/>
    <col min="16" max="16" width="20" bestFit="1" customWidth="1"/>
    <col min="17" max="17" width="19.6640625" bestFit="1" customWidth="1"/>
    <col min="18" max="18" width="15.88671875" bestFit="1" customWidth="1"/>
    <col min="19" max="19" width="12.44140625" customWidth="1"/>
    <col min="34" max="34" width="20.6640625" bestFit="1" customWidth="1"/>
    <col min="40" max="40" width="12.6640625" bestFit="1" customWidth="1"/>
  </cols>
  <sheetData>
    <row r="1" spans="1:32" x14ac:dyDescent="0.3">
      <c r="A1" s="208" t="s">
        <v>45</v>
      </c>
    </row>
    <row r="2" spans="1:32" x14ac:dyDescent="0.3">
      <c r="B2" s="92"/>
      <c r="C2" s="296" t="s">
        <v>19</v>
      </c>
      <c r="D2" s="296"/>
      <c r="E2" s="296"/>
      <c r="F2" s="209"/>
      <c r="G2" s="16"/>
      <c r="H2" s="16"/>
      <c r="I2" s="92"/>
      <c r="J2" s="296" t="s">
        <v>20</v>
      </c>
      <c r="K2" s="296"/>
      <c r="L2" s="92"/>
    </row>
    <row r="3" spans="1:32" x14ac:dyDescent="0.3">
      <c r="B3" s="92" t="s">
        <v>12</v>
      </c>
      <c r="C3" s="92" t="s">
        <v>49</v>
      </c>
      <c r="D3" s="92" t="s">
        <v>40</v>
      </c>
      <c r="E3" s="92" t="s">
        <v>44</v>
      </c>
      <c r="F3" s="92" t="s">
        <v>21</v>
      </c>
      <c r="I3" s="92" t="s">
        <v>12</v>
      </c>
      <c r="J3" s="92" t="s">
        <v>17</v>
      </c>
      <c r="K3" s="92" t="s">
        <v>18</v>
      </c>
      <c r="L3" s="92" t="s">
        <v>44</v>
      </c>
    </row>
    <row r="4" spans="1:32" x14ac:dyDescent="0.3">
      <c r="B4" s="92" t="s">
        <v>13</v>
      </c>
      <c r="C4" s="4">
        <v>5.04</v>
      </c>
      <c r="D4" s="4">
        <v>2.52</v>
      </c>
      <c r="E4" s="4">
        <v>2.5299999999999998</v>
      </c>
      <c r="F4" s="4">
        <f>SUM(C4:E4)</f>
        <v>10.09</v>
      </c>
      <c r="G4" s="3"/>
      <c r="H4" s="3"/>
      <c r="I4" s="159" t="s">
        <v>13</v>
      </c>
      <c r="J4" s="7">
        <f>C4*0.5/F4</f>
        <v>0.24975222993062438</v>
      </c>
      <c r="K4" s="7">
        <f>D4*0.2/F4</f>
        <v>4.9950445986124879E-2</v>
      </c>
      <c r="L4" s="7">
        <f>1-K4-J4</f>
        <v>0.70029732408325074</v>
      </c>
      <c r="M4" s="3"/>
      <c r="N4" s="3"/>
      <c r="O4" s="3"/>
      <c r="P4" s="3"/>
      <c r="Q4" s="3"/>
      <c r="R4" s="3"/>
      <c r="S4" s="3"/>
      <c r="T4" s="3"/>
      <c r="U4" s="3"/>
      <c r="V4" s="202" t="s">
        <v>12</v>
      </c>
      <c r="W4" s="202" t="s">
        <v>17</v>
      </c>
      <c r="X4" s="202" t="s">
        <v>18</v>
      </c>
      <c r="Y4" s="202" t="s">
        <v>44</v>
      </c>
      <c r="Z4" s="3"/>
      <c r="AA4" s="3"/>
      <c r="AB4" s="3"/>
      <c r="AC4" s="3"/>
    </row>
    <row r="5" spans="1:32" x14ac:dyDescent="0.3">
      <c r="B5" s="2"/>
      <c r="C5" s="4"/>
      <c r="D5" s="4"/>
      <c r="E5" s="4"/>
      <c r="F5" s="4"/>
      <c r="G5" s="3"/>
      <c r="H5" s="3"/>
      <c r="I5" s="159"/>
      <c r="J5" s="7"/>
      <c r="K5" s="7"/>
      <c r="L5" s="7"/>
      <c r="M5" s="3"/>
      <c r="N5" s="3"/>
      <c r="O5" s="3" t="s">
        <v>1</v>
      </c>
      <c r="P5" s="3" t="s">
        <v>42</v>
      </c>
      <c r="Q5" s="3"/>
      <c r="R5" s="3"/>
      <c r="S5" s="3"/>
      <c r="T5" s="3"/>
      <c r="U5" s="3"/>
      <c r="V5" s="207" t="s">
        <v>13</v>
      </c>
      <c r="W5" s="207">
        <f>J7</f>
        <v>0.24975222993062438</v>
      </c>
      <c r="X5" s="207">
        <f>K7</f>
        <v>4.9950445986124879E-2</v>
      </c>
      <c r="Y5" s="207">
        <f>L7</f>
        <v>0.70029732408325074</v>
      </c>
      <c r="Z5" s="3"/>
      <c r="AA5" s="3"/>
      <c r="AB5" s="3"/>
      <c r="AC5" s="3"/>
    </row>
    <row r="6" spans="1:32" x14ac:dyDescent="0.3">
      <c r="B6" s="2"/>
      <c r="C6" s="4"/>
      <c r="D6" s="4"/>
      <c r="E6" s="4"/>
      <c r="F6" s="4"/>
      <c r="G6" s="3"/>
      <c r="H6" s="3"/>
      <c r="I6" s="159"/>
      <c r="J6" s="7"/>
      <c r="K6" s="7"/>
      <c r="L6" s="7"/>
      <c r="M6" s="3"/>
      <c r="N6" s="3"/>
      <c r="O6" s="3" t="s">
        <v>0</v>
      </c>
      <c r="P6" s="3" t="s">
        <v>59</v>
      </c>
      <c r="Q6" s="3"/>
      <c r="R6" s="3"/>
      <c r="S6" s="3"/>
      <c r="T6" s="3"/>
      <c r="U6" s="3"/>
      <c r="V6" s="207" t="s">
        <v>53</v>
      </c>
      <c r="W6" s="207">
        <f>W14</f>
        <v>0.17720705010776616</v>
      </c>
      <c r="X6" s="207">
        <f>X14</f>
        <v>7.1653624479604452E-2</v>
      </c>
      <c r="Y6" s="207">
        <f>Y14</f>
        <v>0.7511393254126294</v>
      </c>
      <c r="Z6" s="3"/>
      <c r="AA6" s="3"/>
      <c r="AB6" s="3"/>
      <c r="AC6" s="3"/>
    </row>
    <row r="7" spans="1:32" x14ac:dyDescent="0.3">
      <c r="C7" s="3"/>
      <c r="D7" s="3"/>
      <c r="E7" s="3"/>
      <c r="F7" s="3"/>
      <c r="G7" s="3"/>
      <c r="H7" s="3"/>
      <c r="I7" s="159" t="s">
        <v>22</v>
      </c>
      <c r="J7" s="7">
        <f>AVERAGE(J4:J6)</f>
        <v>0.24975222993062438</v>
      </c>
      <c r="K7" s="7">
        <f>AVERAGE(K4:K6)</f>
        <v>4.9950445986124879E-2</v>
      </c>
      <c r="L7" s="7">
        <f>AVERAGE(L4:L6)</f>
        <v>0.70029732408325074</v>
      </c>
      <c r="M7" s="3"/>
      <c r="N7" s="3"/>
      <c r="O7" s="3"/>
      <c r="P7" s="3"/>
      <c r="Q7" s="3"/>
      <c r="R7" s="3"/>
      <c r="S7" s="3"/>
      <c r="T7" s="3"/>
      <c r="U7" s="3"/>
      <c r="V7" s="207" t="s">
        <v>14</v>
      </c>
      <c r="W7" s="207">
        <f>W23</f>
        <v>0.34554341064230315</v>
      </c>
      <c r="X7" s="207">
        <v>1E-3</v>
      </c>
      <c r="Y7" s="207">
        <f>Y23</f>
        <v>0.65082524550651433</v>
      </c>
      <c r="Z7" s="3"/>
      <c r="AA7" s="3"/>
      <c r="AB7" s="3"/>
      <c r="AC7" s="3"/>
    </row>
    <row r="8" spans="1:32" x14ac:dyDescent="0.3">
      <c r="B8" t="s">
        <v>31</v>
      </c>
      <c r="C8" s="3"/>
      <c r="D8" s="3"/>
      <c r="E8" s="3"/>
      <c r="F8" s="3"/>
      <c r="G8" s="3"/>
      <c r="H8" s="3"/>
      <c r="I8" s="159" t="s">
        <v>8</v>
      </c>
      <c r="J8" s="7" t="e">
        <f>_xlfn.STDEV.S(J4:J6)</f>
        <v>#DIV/0!</v>
      </c>
      <c r="K8" s="7" t="e">
        <f>_xlfn.STDEV.S(K4:K6)</f>
        <v>#DIV/0!</v>
      </c>
      <c r="L8" s="7" t="e">
        <f>_xlfn.STDEV.S(L4:L6)</f>
        <v>#DIV/0!</v>
      </c>
      <c r="M8" s="3"/>
      <c r="N8" s="3"/>
      <c r="O8" s="3"/>
      <c r="P8" s="3"/>
      <c r="Q8" s="3"/>
      <c r="R8" s="3"/>
      <c r="S8" s="3"/>
      <c r="T8" s="3"/>
      <c r="U8" s="3"/>
      <c r="V8" s="83"/>
      <c r="W8" s="83"/>
      <c r="X8" s="83"/>
      <c r="Y8" s="83"/>
      <c r="Z8" s="3"/>
      <c r="AA8" s="3"/>
      <c r="AB8" s="3"/>
      <c r="AC8" s="3"/>
      <c r="AD8" s="8"/>
      <c r="AE8" s="8"/>
      <c r="AF8" s="8"/>
    </row>
    <row r="9" spans="1:32" x14ac:dyDescent="0.3">
      <c r="B9">
        <v>1.5</v>
      </c>
      <c r="C9" s="3"/>
      <c r="D9" s="3"/>
      <c r="E9" s="3"/>
      <c r="F9" s="3"/>
      <c r="G9" s="3"/>
      <c r="H9" s="3"/>
      <c r="I9" s="3"/>
      <c r="J9" s="3"/>
      <c r="K9" s="3"/>
      <c r="L9" s="3"/>
      <c r="M9" s="3"/>
      <c r="N9" s="3"/>
      <c r="O9" s="3"/>
      <c r="P9" s="3"/>
      <c r="Q9" s="3"/>
      <c r="R9" s="3"/>
      <c r="S9" s="3"/>
      <c r="T9" s="3"/>
      <c r="U9" s="3"/>
      <c r="V9" s="210" t="s">
        <v>20</v>
      </c>
      <c r="W9" s="211"/>
      <c r="X9" s="211"/>
      <c r="Y9" s="212"/>
      <c r="Z9" s="3"/>
      <c r="AA9" s="3"/>
      <c r="AB9" s="3"/>
      <c r="AC9" s="3"/>
      <c r="AD9" s="8"/>
      <c r="AE9" s="8"/>
      <c r="AF9" s="8"/>
    </row>
    <row r="10" spans="1:32" x14ac:dyDescent="0.3">
      <c r="B10" s="92" t="s">
        <v>10</v>
      </c>
      <c r="C10" s="159" t="s">
        <v>23</v>
      </c>
      <c r="D10" s="159" t="s">
        <v>32</v>
      </c>
      <c r="E10" s="159" t="s">
        <v>24</v>
      </c>
      <c r="F10" s="159" t="s">
        <v>33</v>
      </c>
      <c r="G10" s="159" t="s">
        <v>28</v>
      </c>
      <c r="H10" s="159" t="s">
        <v>27</v>
      </c>
      <c r="I10" s="159" t="s">
        <v>26</v>
      </c>
      <c r="J10" s="3"/>
      <c r="K10" s="3"/>
      <c r="L10" s="159" t="s">
        <v>10</v>
      </c>
      <c r="M10" s="159" t="s">
        <v>30</v>
      </c>
      <c r="N10" s="159" t="s">
        <v>36</v>
      </c>
      <c r="O10" s="159" t="s">
        <v>35</v>
      </c>
      <c r="P10" s="159" t="s">
        <v>37</v>
      </c>
      <c r="Q10" s="159" t="s">
        <v>38</v>
      </c>
      <c r="R10" s="159" t="s">
        <v>39</v>
      </c>
      <c r="S10" s="159" t="s">
        <v>47</v>
      </c>
      <c r="T10" s="3"/>
      <c r="U10" s="3"/>
      <c r="V10" s="213" t="s">
        <v>10</v>
      </c>
      <c r="W10" s="213" t="s">
        <v>17</v>
      </c>
      <c r="X10" s="213" t="s">
        <v>18</v>
      </c>
      <c r="Y10" s="213" t="s">
        <v>44</v>
      </c>
      <c r="Z10" s="3"/>
      <c r="AA10" s="3"/>
      <c r="AB10" s="3"/>
      <c r="AC10" s="3"/>
      <c r="AD10" s="8"/>
      <c r="AE10" s="8"/>
      <c r="AF10" s="8"/>
    </row>
    <row r="11" spans="1:32" x14ac:dyDescent="0.3">
      <c r="B11" s="92" t="s">
        <v>13</v>
      </c>
      <c r="C11" s="4">
        <v>0.53810000000000002</v>
      </c>
      <c r="D11" s="4">
        <v>2.0299999999999998</v>
      </c>
      <c r="E11" s="4">
        <v>1.3426</v>
      </c>
      <c r="F11" s="4">
        <v>1.0500000000000001E-2</v>
      </c>
      <c r="G11" s="4">
        <v>2.0019</v>
      </c>
      <c r="H11" s="4">
        <v>0.1</v>
      </c>
      <c r="I11" s="4">
        <v>0.254</v>
      </c>
      <c r="J11" s="3"/>
      <c r="K11" s="3"/>
      <c r="L11" s="159" t="s">
        <v>13</v>
      </c>
      <c r="M11" s="41">
        <f>I11/0.01043</f>
        <v>24.352828379674019</v>
      </c>
      <c r="N11" s="41">
        <f>(M11*G11/H11)/1000000/F11</f>
        <v>4.6430406793589916E-2</v>
      </c>
      <c r="O11" s="41">
        <f>N11*D11/C11</f>
        <v>0.17516024120235554</v>
      </c>
      <c r="P11" s="41">
        <f>N11*0.1478+1.333</f>
        <v>1.3398624141240925</v>
      </c>
      <c r="Q11" s="41">
        <f>E11-(P11-1.333)</f>
        <v>1.3357375858759075</v>
      </c>
      <c r="R11" s="41">
        <f>(Q11-1.333)/0.1374</f>
        <v>1.9924205792631409E-2</v>
      </c>
      <c r="S11" s="4">
        <f>R11*D11/C11</f>
        <v>7.5164723581196344E-2</v>
      </c>
      <c r="T11" s="3"/>
      <c r="U11" s="3"/>
      <c r="V11" s="213" t="s">
        <v>13</v>
      </c>
      <c r="W11" s="7">
        <f>O11</f>
        <v>0.17516024120235554</v>
      </c>
      <c r="X11" s="7">
        <f>S11</f>
        <v>7.5164723581196344E-2</v>
      </c>
      <c r="Y11" s="7">
        <f>1-X11-W11</f>
        <v>0.74967503521644818</v>
      </c>
      <c r="Z11" s="3"/>
      <c r="AA11" s="3"/>
      <c r="AB11" s="3"/>
      <c r="AC11" s="3"/>
    </row>
    <row r="12" spans="1:32" x14ac:dyDescent="0.3">
      <c r="B12" s="92" t="s">
        <v>14</v>
      </c>
      <c r="C12" s="4">
        <v>0.53920000000000001</v>
      </c>
      <c r="D12" s="4">
        <v>2.0293000000000001</v>
      </c>
      <c r="E12" s="4">
        <v>1.3426</v>
      </c>
      <c r="F12" s="4">
        <v>1.0500000000000001E-2</v>
      </c>
      <c r="G12" s="4">
        <v>2.0051000000000001</v>
      </c>
      <c r="H12" s="4">
        <v>0.1</v>
      </c>
      <c r="I12" s="4">
        <v>0.246</v>
      </c>
      <c r="J12" s="3"/>
      <c r="K12" s="3"/>
      <c r="L12" s="159" t="s">
        <v>14</v>
      </c>
      <c r="M12" s="41">
        <f t="shared" ref="M12:M13" si="0">I12/0.01043</f>
        <v>23.585810162991372</v>
      </c>
      <c r="N12" s="41">
        <f>(M12*G12/H12)/1000000/F12</f>
        <v>4.5039912340775243E-2</v>
      </c>
      <c r="O12" s="41">
        <f>N12*D12/C12</f>
        <v>0.16950944753919733</v>
      </c>
      <c r="P12" s="41">
        <f>N12*0.1478+1.333</f>
        <v>1.3396568990439666</v>
      </c>
      <c r="Q12" s="41">
        <f t="shared" ref="Q12:Q13" si="1">E12-(P12-1.333)</f>
        <v>1.3359431009560334</v>
      </c>
      <c r="R12" s="41">
        <f t="shared" ref="R12:R13" si="2">(Q12-1.333)/0.1374</f>
        <v>2.1419948733867912E-2</v>
      </c>
      <c r="S12" s="4">
        <f>R12*D12/C12</f>
        <v>8.0614803348735456E-2</v>
      </c>
      <c r="T12" s="3"/>
      <c r="U12" s="3"/>
      <c r="V12" s="213" t="s">
        <v>14</v>
      </c>
      <c r="W12" s="7">
        <f>O12</f>
        <v>0.16950944753919733</v>
      </c>
      <c r="X12" s="7">
        <f>S12</f>
        <v>8.0614803348735456E-2</v>
      </c>
      <c r="Y12" s="7">
        <f>1-X12-W12</f>
        <v>0.74987574911206711</v>
      </c>
      <c r="Z12" s="3"/>
      <c r="AA12" s="3"/>
      <c r="AB12" s="3"/>
      <c r="AC12" s="3"/>
    </row>
    <row r="13" spans="1:32" x14ac:dyDescent="0.3">
      <c r="B13" s="92" t="s">
        <v>15</v>
      </c>
      <c r="C13" s="4">
        <v>0.53890000000000005</v>
      </c>
      <c r="D13" s="4">
        <v>2.0287000000000002</v>
      </c>
      <c r="E13" s="4">
        <v>1.3425</v>
      </c>
      <c r="F13" s="4">
        <v>1.01E-2</v>
      </c>
      <c r="G13" s="4">
        <v>2.0044</v>
      </c>
      <c r="H13" s="4">
        <v>0.1</v>
      </c>
      <c r="I13" s="4">
        <v>0.26100000000000001</v>
      </c>
      <c r="J13" s="3"/>
      <c r="K13" s="3"/>
      <c r="L13" s="159" t="s">
        <v>15</v>
      </c>
      <c r="M13" s="41">
        <f t="shared" si="0"/>
        <v>25.023969319271334</v>
      </c>
      <c r="N13" s="41">
        <f>(M13*G13/H13)/1000000/F13</f>
        <v>4.9661429805492534E-2</v>
      </c>
      <c r="O13" s="41">
        <f>N13*D13/C13</f>
        <v>0.18695146158174558</v>
      </c>
      <c r="P13" s="41">
        <f>N13*0.1478+1.333</f>
        <v>1.3403399593252519</v>
      </c>
      <c r="Q13" s="41">
        <f t="shared" si="1"/>
        <v>1.3351600406747481</v>
      </c>
      <c r="R13" s="41">
        <f t="shared" si="2"/>
        <v>1.5720820049113363E-2</v>
      </c>
      <c r="S13" s="4">
        <f>R13*D13/C13</f>
        <v>5.9181346508881572E-2</v>
      </c>
      <c r="T13" s="3"/>
      <c r="U13" s="3"/>
      <c r="V13" s="213" t="s">
        <v>15</v>
      </c>
      <c r="W13" s="7">
        <f>O13</f>
        <v>0.18695146158174558</v>
      </c>
      <c r="X13" s="7">
        <f>S13</f>
        <v>5.9181346508881572E-2</v>
      </c>
      <c r="Y13" s="7">
        <f>1-X13-W13</f>
        <v>0.7538671919093729</v>
      </c>
      <c r="Z13" s="159" t="s">
        <v>69</v>
      </c>
      <c r="AA13" s="159" t="s">
        <v>8</v>
      </c>
      <c r="AB13" s="3"/>
      <c r="AC13" s="3"/>
    </row>
    <row r="14" spans="1:32" x14ac:dyDescent="0.3">
      <c r="B14" s="92" t="s">
        <v>22</v>
      </c>
      <c r="C14" s="4">
        <f>AVERAGE(C11:C13)</f>
        <v>0.5387333333333334</v>
      </c>
      <c r="D14" s="4">
        <f>C14+1.5</f>
        <v>2.0387333333333335</v>
      </c>
      <c r="E14" s="4">
        <f>AVERAGE(E11:E13)</f>
        <v>1.3425666666666667</v>
      </c>
      <c r="F14" s="4">
        <f>AVERAGE(F11:F13)</f>
        <v>1.0366666666666668E-2</v>
      </c>
      <c r="G14" s="4">
        <f>AVERAGE(G11:G13)</f>
        <v>2.0038</v>
      </c>
      <c r="H14" s="4">
        <f>AVERAGE(H11:H13)</f>
        <v>0.10000000000000002</v>
      </c>
      <c r="I14" s="4">
        <f>AVERAGE(I11:I13)</f>
        <v>0.25366666666666665</v>
      </c>
      <c r="J14" s="3"/>
      <c r="K14" s="3"/>
      <c r="L14" s="159" t="s">
        <v>22</v>
      </c>
      <c r="M14" s="4">
        <f>AVERAGE(M11:M13)</f>
        <v>24.320869287312238</v>
      </c>
      <c r="N14" s="4">
        <f>AVERAGE(N11:N13)</f>
        <v>4.7043916313285895E-2</v>
      </c>
      <c r="O14" s="4">
        <f>AVERAGE(O12:O13)</f>
        <v>0.17823045456047146</v>
      </c>
      <c r="P14" s="4">
        <f>AVERAGE(P12:P13)</f>
        <v>1.3399984291846092</v>
      </c>
      <c r="Q14" s="4">
        <f>AVERAGE(Q12:Q13)</f>
        <v>1.3355515708153907</v>
      </c>
      <c r="R14" s="70">
        <f>AVERAGE(R12:R13)</f>
        <v>1.8570384391490637E-2</v>
      </c>
      <c r="S14" s="70">
        <f>AVERAGE(S11,S12)</f>
        <v>7.78897634649659E-2</v>
      </c>
      <c r="T14" s="3"/>
      <c r="U14" s="3"/>
      <c r="V14" s="213" t="s">
        <v>22</v>
      </c>
      <c r="W14" s="7">
        <f>AVERAGE(W11:W13)</f>
        <v>0.17720705010776616</v>
      </c>
      <c r="X14" s="7">
        <f>AVERAGE(X11:X13)</f>
        <v>7.1653624479604452E-2</v>
      </c>
      <c r="Y14" s="7">
        <f>AVERAGE(Y11:Y13)</f>
        <v>0.7511393254126294</v>
      </c>
      <c r="Z14" s="41">
        <f>C14/0.5</f>
        <v>1.0774666666666668</v>
      </c>
      <c r="AA14" s="41">
        <f>C15/0.5</f>
        <v>1.1372481406154637E-3</v>
      </c>
      <c r="AB14" s="3"/>
      <c r="AC14" s="3"/>
    </row>
    <row r="15" spans="1:32" x14ac:dyDescent="0.3">
      <c r="B15" s="92" t="s">
        <v>8</v>
      </c>
      <c r="C15" s="4">
        <f t="shared" ref="C15:I15" si="3">_xlfn.STDEV.S(C11:C13)</f>
        <v>5.6862407030773185E-4</v>
      </c>
      <c r="D15" s="4">
        <f t="shared" si="3"/>
        <v>6.506407098645857E-4</v>
      </c>
      <c r="E15" s="4">
        <f t="shared" si="3"/>
        <v>5.7735026918956222E-5</v>
      </c>
      <c r="F15" s="4">
        <f t="shared" si="3"/>
        <v>2.3094010767585091E-4</v>
      </c>
      <c r="G15" s="4">
        <f t="shared" si="3"/>
        <v>1.682260384126098E-3</v>
      </c>
      <c r="H15" s="4">
        <f t="shared" si="3"/>
        <v>1.6996749443881478E-17</v>
      </c>
      <c r="I15" s="4">
        <f t="shared" si="3"/>
        <v>7.5055534994651419E-3</v>
      </c>
      <c r="J15" s="3"/>
      <c r="K15" s="3"/>
      <c r="L15" s="159" t="s">
        <v>8</v>
      </c>
      <c r="M15" s="4">
        <f>_xlfn.STDEV.S(M11:M13)</f>
        <v>0.71961203254699302</v>
      </c>
      <c r="N15" s="4">
        <f>_xlfn.STDEV.S(N11:N13)</f>
        <v>2.3710549059943612E-3</v>
      </c>
      <c r="O15" s="4">
        <f>_xlfn.STDEV.S(O12:O13)</f>
        <v>1.2333366407036854E-2</v>
      </c>
      <c r="P15" s="4">
        <f>_xlfn.STDEV.S(P12:P13)</f>
        <v>4.8299655685601629E-4</v>
      </c>
      <c r="Q15" s="4">
        <f>_xlfn.STDEV.S(Q12:Q13)</f>
        <v>5.5370723497466328E-4</v>
      </c>
      <c r="R15" s="4">
        <f>_xlfn.STDEV.S(R12:R13)</f>
        <v>4.0298925398447117E-3</v>
      </c>
      <c r="S15" s="4">
        <f>_xlfn.STDEV.S(S12:S13)</f>
        <v>1.5155742675729927E-2</v>
      </c>
      <c r="T15" s="3"/>
      <c r="U15" s="3"/>
      <c r="V15" s="213" t="s">
        <v>8</v>
      </c>
      <c r="W15" s="7">
        <f>_xlfn.STDEV.S(W11:W13)</f>
        <v>8.8993276985716002E-3</v>
      </c>
      <c r="X15" s="7">
        <f>_xlfn.STDEV.S(X11:X13)</f>
        <v>1.113975451715027E-2</v>
      </c>
      <c r="Y15" s="7">
        <f t="shared" ref="Y15" si="4">_xlfn.STDEV.S(Y11:Y13)</f>
        <v>2.3645323501731551E-3</v>
      </c>
      <c r="Z15" s="3"/>
      <c r="AA15" s="4"/>
      <c r="AB15" s="19"/>
      <c r="AC15" s="203"/>
      <c r="AD15" s="8"/>
    </row>
    <row r="16" spans="1:32" x14ac:dyDescent="0.3">
      <c r="C16" s="3"/>
      <c r="D16" s="3"/>
      <c r="E16" s="3"/>
      <c r="F16" s="3"/>
      <c r="G16" s="3"/>
      <c r="H16" s="3"/>
      <c r="I16" s="3"/>
      <c r="J16" s="3"/>
      <c r="K16" s="3"/>
      <c r="L16" s="3"/>
      <c r="M16" s="3"/>
      <c r="N16" s="3"/>
      <c r="O16" s="3"/>
      <c r="P16" s="3"/>
      <c r="Q16" s="3"/>
      <c r="R16" s="3"/>
      <c r="S16" s="3"/>
      <c r="T16" s="3"/>
      <c r="U16" s="3"/>
      <c r="V16" s="83"/>
      <c r="W16" s="83"/>
      <c r="X16" s="83"/>
      <c r="Y16" s="83"/>
      <c r="Z16" s="3"/>
      <c r="AA16" s="3"/>
      <c r="AB16" s="3"/>
      <c r="AC16" s="203"/>
      <c r="AD16" s="8"/>
    </row>
    <row r="17" spans="1:40" x14ac:dyDescent="0.3">
      <c r="C17" s="3"/>
      <c r="D17" s="3"/>
      <c r="E17" s="3"/>
      <c r="F17" s="3"/>
      <c r="G17" s="3"/>
      <c r="H17" s="3"/>
      <c r="I17" s="3"/>
      <c r="J17" s="3"/>
      <c r="K17" s="3"/>
      <c r="L17" s="3"/>
      <c r="M17" s="3"/>
      <c r="N17" s="3"/>
      <c r="O17" s="3"/>
      <c r="P17" s="3"/>
      <c r="Q17" s="3"/>
      <c r="R17" s="3"/>
      <c r="S17" s="3"/>
      <c r="T17" s="3"/>
      <c r="U17" s="3"/>
      <c r="V17" s="83"/>
      <c r="W17" s="83"/>
      <c r="X17" s="83"/>
      <c r="Y17" s="83"/>
      <c r="Z17" s="3"/>
      <c r="AA17" s="3"/>
      <c r="AB17" s="3"/>
      <c r="AC17" s="203"/>
      <c r="AD17" s="8"/>
    </row>
    <row r="18" spans="1:40" x14ac:dyDescent="0.3">
      <c r="C18" s="3"/>
      <c r="D18" s="3"/>
      <c r="E18" s="3"/>
      <c r="F18" s="3"/>
      <c r="G18" s="3"/>
      <c r="H18" s="3"/>
      <c r="I18" s="3"/>
      <c r="J18" s="3"/>
      <c r="K18" s="3"/>
      <c r="L18" s="3"/>
      <c r="M18" s="3"/>
      <c r="N18" s="3"/>
      <c r="O18" s="3"/>
      <c r="P18" s="3"/>
      <c r="Q18" s="3"/>
      <c r="R18" s="3"/>
      <c r="S18" s="3"/>
      <c r="T18" s="3"/>
      <c r="U18" s="3"/>
      <c r="V18" s="293" t="s">
        <v>20</v>
      </c>
      <c r="W18" s="294"/>
      <c r="X18" s="294"/>
      <c r="Y18" s="295"/>
      <c r="Z18" s="3"/>
      <c r="AA18" s="3"/>
      <c r="AB18" s="3"/>
      <c r="AC18" s="3"/>
      <c r="AD18" s="12"/>
      <c r="AF18" s="8"/>
      <c r="AG18" s="8"/>
      <c r="AH18" s="12"/>
      <c r="AN18" s="9"/>
    </row>
    <row r="19" spans="1:40" x14ac:dyDescent="0.3">
      <c r="B19" s="92" t="s">
        <v>11</v>
      </c>
      <c r="C19" s="159" t="s">
        <v>23</v>
      </c>
      <c r="D19" s="159" t="s">
        <v>32</v>
      </c>
      <c r="E19" s="159" t="s">
        <v>24</v>
      </c>
      <c r="F19" s="159" t="s">
        <v>25</v>
      </c>
      <c r="G19" s="159" t="s">
        <v>28</v>
      </c>
      <c r="H19" s="159" t="s">
        <v>27</v>
      </c>
      <c r="I19" s="159" t="s">
        <v>26</v>
      </c>
      <c r="J19" s="3"/>
      <c r="K19" s="3"/>
      <c r="L19" s="159" t="s">
        <v>11</v>
      </c>
      <c r="M19" s="159" t="s">
        <v>30</v>
      </c>
      <c r="N19" s="159" t="s">
        <v>34</v>
      </c>
      <c r="O19" s="159" t="s">
        <v>35</v>
      </c>
      <c r="P19" s="159" t="s">
        <v>37</v>
      </c>
      <c r="Q19" s="159" t="s">
        <v>38</v>
      </c>
      <c r="R19" s="159" t="s">
        <v>39</v>
      </c>
      <c r="S19" s="159" t="s">
        <v>47</v>
      </c>
      <c r="T19" s="3"/>
      <c r="U19" s="3"/>
      <c r="V19" s="213" t="s">
        <v>11</v>
      </c>
      <c r="W19" s="213" t="s">
        <v>17</v>
      </c>
      <c r="X19" s="213" t="s">
        <v>18</v>
      </c>
      <c r="Y19" s="213" t="s">
        <v>44</v>
      </c>
      <c r="Z19" s="3"/>
      <c r="AA19" s="3"/>
      <c r="AB19" s="3"/>
      <c r="AC19" s="3"/>
      <c r="AD19" s="12"/>
      <c r="AF19" s="8"/>
      <c r="AG19" s="8"/>
      <c r="AH19" s="12"/>
      <c r="AN19" s="9"/>
    </row>
    <row r="20" spans="1:40" x14ac:dyDescent="0.3">
      <c r="B20" s="92" t="s">
        <v>13</v>
      </c>
      <c r="C20" s="4">
        <v>0.5706</v>
      </c>
      <c r="D20" s="4">
        <v>2.0625</v>
      </c>
      <c r="E20" s="4">
        <v>1.3472</v>
      </c>
      <c r="F20" s="4">
        <v>1.06E-2</v>
      </c>
      <c r="G20" s="4">
        <v>2.0072999999999999</v>
      </c>
      <c r="H20" s="4">
        <v>0.1</v>
      </c>
      <c r="I20" s="4">
        <v>0.52400000000000002</v>
      </c>
      <c r="J20" s="3"/>
      <c r="K20" s="3"/>
      <c r="L20" s="159" t="s">
        <v>13</v>
      </c>
      <c r="M20" s="41">
        <f>I20/0.01043</f>
        <v>50.239693192713332</v>
      </c>
      <c r="N20" s="4">
        <f>(M20*G20/H20)/1000000/F20</f>
        <v>9.5137864288427784E-2</v>
      </c>
      <c r="O20" s="4">
        <f>N20*D20/C20</f>
        <v>0.34388686487010567</v>
      </c>
      <c r="P20" s="4">
        <f>N20*0.1478+1.333</f>
        <v>1.3470613763418295</v>
      </c>
      <c r="Q20" s="41">
        <f>E20-(P20-1.333)</f>
        <v>1.3331386236581704</v>
      </c>
      <c r="R20" s="41">
        <f>(Q20-1.333)/0.1374</f>
        <v>1.0089058091005199E-3</v>
      </c>
      <c r="S20" s="4">
        <f>R20*D20/C20</f>
        <v>3.6468072752713324E-3</v>
      </c>
      <c r="T20" s="3"/>
      <c r="U20" s="3"/>
      <c r="V20" s="213" t="s">
        <v>13</v>
      </c>
      <c r="W20" s="7">
        <f>O20</f>
        <v>0.34388686487010567</v>
      </c>
      <c r="X20" s="7">
        <f>S20</f>
        <v>3.6468072752713324E-3</v>
      </c>
      <c r="Y20" s="7">
        <f>1-X20-W20</f>
        <v>0.652466327854623</v>
      </c>
      <c r="Z20" s="3"/>
      <c r="AA20" s="3"/>
      <c r="AB20" s="3"/>
      <c r="AC20" s="3"/>
      <c r="AD20" s="12"/>
      <c r="AF20" s="12"/>
      <c r="AG20" s="12"/>
      <c r="AH20" s="12"/>
      <c r="AN20" s="9"/>
    </row>
    <row r="21" spans="1:40" x14ac:dyDescent="0.3">
      <c r="B21" s="92" t="s">
        <v>14</v>
      </c>
      <c r="C21" s="4">
        <v>0.56889999999999996</v>
      </c>
      <c r="D21" s="4">
        <v>2.0608</v>
      </c>
      <c r="E21" s="4">
        <v>1.3472999999999999</v>
      </c>
      <c r="F21" s="4">
        <v>1.0500000000000001E-2</v>
      </c>
      <c r="G21" s="4">
        <v>2.0087999999999999</v>
      </c>
      <c r="H21" s="4">
        <v>0.1</v>
      </c>
      <c r="I21" s="4">
        <v>0.52</v>
      </c>
      <c r="J21" s="3"/>
      <c r="K21" s="3"/>
      <c r="L21" s="159" t="s">
        <v>14</v>
      </c>
      <c r="M21" s="41">
        <f t="shared" ref="M21:M22" si="5">I21/0.01043</f>
        <v>49.856184084372003</v>
      </c>
      <c r="N21" s="4">
        <f>(M21*G21/H21)/1000000/F21</f>
        <v>9.5382002465415686E-2</v>
      </c>
      <c r="O21" s="4">
        <f>N21*D21/C21</f>
        <v>0.34551455559980426</v>
      </c>
      <c r="P21" s="4">
        <f>N21*0.1478+1.333</f>
        <v>1.3470974599643883</v>
      </c>
      <c r="Q21" s="41">
        <f t="shared" ref="Q21:Q22" si="6">E21-(P21-1.333)</f>
        <v>1.3332025400356116</v>
      </c>
      <c r="R21" s="41">
        <f t="shared" ref="R21:R22" si="7">(Q21-1.333)/0.1374</f>
        <v>1.4740905066346294E-3</v>
      </c>
      <c r="S21" s="4">
        <f>R21*D21/C21</f>
        <v>5.3397885675384857E-3</v>
      </c>
      <c r="T21" s="3"/>
      <c r="U21" s="3"/>
      <c r="V21" s="213" t="s">
        <v>14</v>
      </c>
      <c r="W21" s="7">
        <f>O21</f>
        <v>0.34551455559980426</v>
      </c>
      <c r="X21" s="7">
        <f>S21</f>
        <v>5.3397885675384857E-3</v>
      </c>
      <c r="Y21" s="7">
        <f>1-X21-W21</f>
        <v>0.64914565583265726</v>
      </c>
      <c r="Z21" s="3"/>
      <c r="AA21" s="3"/>
      <c r="AB21" s="3"/>
      <c r="AC21" s="3"/>
      <c r="AD21" s="12"/>
      <c r="AF21" s="12"/>
      <c r="AG21" s="12"/>
      <c r="AH21" s="12"/>
      <c r="AN21" s="9"/>
    </row>
    <row r="22" spans="1:40" x14ac:dyDescent="0.3">
      <c r="B22" s="92" t="s">
        <v>15</v>
      </c>
      <c r="C22" s="4">
        <v>0.57199999999999995</v>
      </c>
      <c r="D22" s="4">
        <v>2.0632999999999999</v>
      </c>
      <c r="E22" s="4">
        <v>1.3472999999999999</v>
      </c>
      <c r="F22" s="4">
        <v>1.03E-2</v>
      </c>
      <c r="G22" s="4">
        <v>2.008</v>
      </c>
      <c r="H22" s="4">
        <v>0.1</v>
      </c>
      <c r="I22" s="4">
        <v>0.51500000000000001</v>
      </c>
      <c r="J22" s="3"/>
      <c r="K22" s="3"/>
      <c r="L22" s="159" t="s">
        <v>15</v>
      </c>
      <c r="M22" s="41">
        <f t="shared" si="5"/>
        <v>49.376797698945353</v>
      </c>
      <c r="N22" s="4">
        <f>(M22*G22/H22)/1000000/F22</f>
        <v>9.6260786193672093E-2</v>
      </c>
      <c r="O22" s="4">
        <f>N22*D22/C22</f>
        <v>0.34722881145699935</v>
      </c>
      <c r="P22" s="4">
        <f>N22*0.1478+1.333</f>
        <v>1.3472273441994247</v>
      </c>
      <c r="Q22" s="41">
        <f t="shared" si="6"/>
        <v>1.3330726558005752</v>
      </c>
      <c r="R22" s="41">
        <f t="shared" si="7"/>
        <v>5.2879039719978013E-4</v>
      </c>
      <c r="S22" s="4">
        <f>R22*D22/C22</f>
        <v>1.9074357107382977E-3</v>
      </c>
      <c r="T22" s="3"/>
      <c r="U22" s="3"/>
      <c r="V22" s="213" t="s">
        <v>15</v>
      </c>
      <c r="W22" s="7">
        <f>O22</f>
        <v>0.34722881145699935</v>
      </c>
      <c r="X22" s="7">
        <f>S22</f>
        <v>1.9074357107382977E-3</v>
      </c>
      <c r="Y22" s="7">
        <f>1-X22-W22</f>
        <v>0.65086375283226239</v>
      </c>
      <c r="Z22" s="159" t="s">
        <v>69</v>
      </c>
      <c r="AA22" s="159" t="s">
        <v>8</v>
      </c>
      <c r="AB22" s="3"/>
      <c r="AC22" s="3"/>
      <c r="AD22" s="12"/>
      <c r="AF22" s="12"/>
      <c r="AG22" s="12"/>
      <c r="AH22" s="12"/>
      <c r="AN22" s="9"/>
    </row>
    <row r="23" spans="1:40" x14ac:dyDescent="0.3">
      <c r="B23" s="92" t="s">
        <v>22</v>
      </c>
      <c r="C23" s="4">
        <f>AVERAGE(C20:C22)</f>
        <v>0.57050000000000001</v>
      </c>
      <c r="D23" s="4">
        <f>C23+1.5</f>
        <v>2.0705</v>
      </c>
      <c r="E23" s="4">
        <f>AVERAGE(E20:E22)</f>
        <v>1.3472666666666664</v>
      </c>
      <c r="F23" s="4">
        <f>AVERAGE(F20:F22)</f>
        <v>1.0466666666666666E-2</v>
      </c>
      <c r="G23" s="4">
        <f>AVERAGE(G20:G22)</f>
        <v>2.0080333333333331</v>
      </c>
      <c r="H23" s="4">
        <f>AVERAGE(H20:H22)</f>
        <v>0.10000000000000002</v>
      </c>
      <c r="I23" s="4">
        <f>AVERAGE(I20:I22)</f>
        <v>0.51966666666666672</v>
      </c>
      <c r="J23" s="3"/>
      <c r="K23" s="3"/>
      <c r="L23" s="159" t="s">
        <v>22</v>
      </c>
      <c r="M23" s="4">
        <f>AVERAGE(M20:M22)</f>
        <v>49.824224992010237</v>
      </c>
      <c r="N23" s="4">
        <f>AVERAGE(N20:N22)</f>
        <v>9.5593550982505174E-2</v>
      </c>
      <c r="O23" s="4">
        <f>AVERAGE(O20:O22)</f>
        <v>0.34554341064230315</v>
      </c>
      <c r="P23" s="4">
        <f>AVERAGE(P20:P22)</f>
        <v>1.3471287268352141</v>
      </c>
      <c r="Q23" s="4">
        <f>AVERAGE(Q20:Q22)</f>
        <v>1.3331379398314525</v>
      </c>
      <c r="R23" s="4">
        <f>(Q23-1.333)/0.1358</f>
        <v>1.0157572271906757E-3</v>
      </c>
      <c r="S23" s="70">
        <f>AVERAGE(S20,S21)</f>
        <v>4.4932979214049092E-3</v>
      </c>
      <c r="T23" s="3"/>
      <c r="U23" s="3"/>
      <c r="V23" s="213" t="s">
        <v>22</v>
      </c>
      <c r="W23" s="7">
        <f>AVERAGE(W20:W22)</f>
        <v>0.34554341064230315</v>
      </c>
      <c r="X23" s="7">
        <f t="shared" ref="X23:Y23" si="8">AVERAGE(X20:X22)</f>
        <v>3.631343851182705E-3</v>
      </c>
      <c r="Y23" s="7">
        <f t="shared" si="8"/>
        <v>0.65082524550651433</v>
      </c>
      <c r="Z23" s="41">
        <f>C23/0.5</f>
        <v>1.141</v>
      </c>
      <c r="AA23" s="41">
        <f>C24/0.5</f>
        <v>3.104834939251999E-3</v>
      </c>
      <c r="AB23" s="3"/>
      <c r="AC23" s="3"/>
      <c r="AD23" s="12"/>
      <c r="AF23" s="12"/>
      <c r="AG23" s="12"/>
      <c r="AH23" s="12"/>
      <c r="AN23" s="9"/>
    </row>
    <row r="24" spans="1:40" x14ac:dyDescent="0.3">
      <c r="B24" s="92" t="s">
        <v>8</v>
      </c>
      <c r="C24" s="4">
        <f t="shared" ref="C24:I24" si="9">_xlfn.STDEV.S(C20:C22)</f>
        <v>1.5524174696259995E-3</v>
      </c>
      <c r="D24" s="4">
        <f t="shared" si="9"/>
        <v>1.2767145334803517E-3</v>
      </c>
      <c r="E24" s="4">
        <f t="shared" si="9"/>
        <v>5.7735026918956215E-5</v>
      </c>
      <c r="F24" s="4">
        <f t="shared" si="9"/>
        <v>1.5275252316519468E-4</v>
      </c>
      <c r="G24" s="4">
        <f t="shared" si="9"/>
        <v>7.5055534994653938E-4</v>
      </c>
      <c r="H24" s="4">
        <f t="shared" si="9"/>
        <v>1.6996749443881478E-17</v>
      </c>
      <c r="I24" s="4">
        <f t="shared" si="9"/>
        <v>4.5092497528228985E-3</v>
      </c>
      <c r="J24" s="3"/>
      <c r="K24" s="3"/>
      <c r="L24" s="159" t="s">
        <v>8</v>
      </c>
      <c r="M24" s="4">
        <f t="shared" ref="M24:R24" si="10">_xlfn.STDEV.S(M20:M22)</f>
        <v>0.43233458799836094</v>
      </c>
      <c r="N24" s="4">
        <f t="shared" si="10"/>
        <v>5.9059544752008779E-4</v>
      </c>
      <c r="O24" s="4">
        <f t="shared" si="10"/>
        <v>1.6711601382036355E-3</v>
      </c>
      <c r="P24" s="4">
        <f t="shared" si="10"/>
        <v>8.7290007143494251E-5</v>
      </c>
      <c r="Q24" s="4">
        <f t="shared" si="10"/>
        <v>6.4944817668383055E-5</v>
      </c>
      <c r="R24" s="4">
        <f t="shared" si="10"/>
        <v>4.7266970646567003E-4</v>
      </c>
      <c r="S24" s="4">
        <f>_xlfn.STDEV.S(S21:S22)</f>
        <v>2.4270399804684315E-3</v>
      </c>
      <c r="T24" s="3"/>
      <c r="U24" s="3"/>
      <c r="V24" s="213" t="s">
        <v>8</v>
      </c>
      <c r="W24" s="7">
        <f>_xlfn.STDEV.S(W20:W22)</f>
        <v>1.6711601382036355E-3</v>
      </c>
      <c r="X24" s="7">
        <f t="shared" ref="X24:Y24" si="11">_xlfn.STDEV.S(X20:X22)</f>
        <v>1.716228676927848E-3</v>
      </c>
      <c r="Y24" s="7">
        <f t="shared" si="11"/>
        <v>1.6606708824955961E-3</v>
      </c>
      <c r="Z24" s="41">
        <f>C24/0.5</f>
        <v>3.104834939251999E-3</v>
      </c>
      <c r="AA24" s="4"/>
      <c r="AB24" s="3"/>
      <c r="AC24" s="3"/>
      <c r="AD24" s="12"/>
      <c r="AF24" s="8"/>
      <c r="AG24" s="8"/>
      <c r="AH24" s="12"/>
      <c r="AN24" s="9"/>
    </row>
    <row r="25" spans="1:40" x14ac:dyDescent="0.3">
      <c r="B25" s="1"/>
      <c r="C25" s="13"/>
      <c r="D25" s="13"/>
      <c r="E25" s="13"/>
      <c r="F25" s="13"/>
      <c r="G25" s="13"/>
      <c r="H25" s="13"/>
      <c r="I25" s="13"/>
      <c r="J25" s="3"/>
      <c r="K25" s="3"/>
      <c r="L25" s="13"/>
      <c r="M25" s="13"/>
      <c r="N25" s="13"/>
      <c r="O25" s="13"/>
      <c r="P25" s="13"/>
      <c r="Q25" s="13"/>
      <c r="R25" s="13"/>
      <c r="S25" s="13"/>
      <c r="T25" s="3"/>
      <c r="U25" s="3"/>
      <c r="V25" s="60"/>
      <c r="W25" s="60"/>
      <c r="X25" s="60"/>
      <c r="Y25" s="60"/>
      <c r="Z25" s="3"/>
      <c r="AA25" s="3"/>
      <c r="AB25" s="3"/>
      <c r="AC25" s="3"/>
      <c r="AD25" s="12"/>
      <c r="AF25" s="12"/>
      <c r="AG25" s="12"/>
      <c r="AH25" s="12"/>
      <c r="AN25" s="9"/>
    </row>
    <row r="26" spans="1:40" x14ac:dyDescent="0.3">
      <c r="C26" s="3"/>
      <c r="D26" s="3"/>
      <c r="E26" s="3"/>
      <c r="F26" s="3"/>
      <c r="G26" s="3"/>
      <c r="H26" s="3"/>
      <c r="I26" s="3"/>
      <c r="J26" s="3"/>
      <c r="K26" s="3"/>
      <c r="L26" s="3"/>
      <c r="M26" s="3"/>
      <c r="N26" s="3"/>
      <c r="O26" s="3"/>
      <c r="P26" s="3"/>
      <c r="Q26" s="3"/>
      <c r="R26" s="3"/>
      <c r="S26" s="3"/>
      <c r="T26" s="3"/>
      <c r="U26" s="3"/>
      <c r="V26" s="83"/>
      <c r="W26" s="83"/>
      <c r="X26" s="83"/>
      <c r="Y26" s="83"/>
      <c r="Z26" s="3"/>
      <c r="AA26" s="3"/>
      <c r="AB26" s="3"/>
      <c r="AC26" s="3"/>
      <c r="AD26" s="12"/>
    </row>
    <row r="27" spans="1:40" x14ac:dyDescent="0.3">
      <c r="A27" s="208" t="s">
        <v>46</v>
      </c>
      <c r="C27" s="3"/>
      <c r="D27" s="3"/>
      <c r="E27" s="3"/>
      <c r="F27" s="3"/>
      <c r="G27" s="3"/>
      <c r="H27" s="3"/>
      <c r="I27" s="3"/>
      <c r="J27" s="3"/>
      <c r="K27" s="3"/>
      <c r="L27" s="3"/>
      <c r="M27" s="3"/>
      <c r="N27" s="3"/>
      <c r="O27" s="3"/>
      <c r="P27" s="3"/>
      <c r="Q27" s="3"/>
      <c r="R27" s="3"/>
      <c r="S27" s="3"/>
      <c r="T27" s="3"/>
      <c r="U27" s="3"/>
      <c r="V27" s="83"/>
      <c r="W27" s="83">
        <f>W14</f>
        <v>0.17720705010776616</v>
      </c>
      <c r="X27" s="83">
        <f>X14</f>
        <v>7.1653624479604452E-2</v>
      </c>
      <c r="Y27" s="83"/>
      <c r="Z27" s="3"/>
      <c r="AA27" s="3"/>
      <c r="AB27" s="3"/>
      <c r="AC27" s="203"/>
      <c r="AD27" s="8"/>
      <c r="AG27" s="9"/>
    </row>
    <row r="28" spans="1:40" x14ac:dyDescent="0.3">
      <c r="B28" s="92"/>
      <c r="C28" s="297" t="s">
        <v>19</v>
      </c>
      <c r="D28" s="297"/>
      <c r="E28" s="297"/>
      <c r="F28" s="204"/>
      <c r="G28" s="129"/>
      <c r="H28" s="129"/>
      <c r="I28" s="159"/>
      <c r="J28" s="297" t="s">
        <v>20</v>
      </c>
      <c r="K28" s="297"/>
      <c r="L28" s="159"/>
      <c r="M28" s="3"/>
      <c r="N28" s="3"/>
      <c r="O28" s="3"/>
      <c r="P28" s="3"/>
      <c r="Q28" s="3"/>
      <c r="R28" s="3"/>
      <c r="S28" s="3"/>
      <c r="T28" s="3"/>
      <c r="U28" s="3"/>
      <c r="V28" s="83"/>
      <c r="W28" s="83">
        <f>W23</f>
        <v>0.34554341064230315</v>
      </c>
      <c r="X28" s="83">
        <f>X23</f>
        <v>3.631343851182705E-3</v>
      </c>
      <c r="Y28" s="83"/>
      <c r="Z28" s="3"/>
      <c r="AA28" s="3"/>
      <c r="AB28" s="3"/>
      <c r="AC28" s="203"/>
      <c r="AD28" s="8"/>
      <c r="AG28" s="9"/>
    </row>
    <row r="29" spans="1:40" x14ac:dyDescent="0.3">
      <c r="B29" s="92" t="s">
        <v>12</v>
      </c>
      <c r="C29" s="159" t="s">
        <v>49</v>
      </c>
      <c r="D29" s="159" t="s">
        <v>40</v>
      </c>
      <c r="E29" s="159" t="s">
        <v>21</v>
      </c>
      <c r="F29" s="3"/>
      <c r="G29" s="3"/>
      <c r="H29" s="3"/>
      <c r="I29" s="159" t="s">
        <v>12</v>
      </c>
      <c r="J29" s="159" t="s">
        <v>17</v>
      </c>
      <c r="K29" s="159" t="s">
        <v>18</v>
      </c>
      <c r="L29" s="159" t="s">
        <v>44</v>
      </c>
      <c r="M29" s="3"/>
      <c r="N29" s="3"/>
      <c r="O29" s="3"/>
      <c r="P29" s="3"/>
      <c r="Q29" s="3"/>
      <c r="R29" s="3"/>
      <c r="S29" s="3"/>
      <c r="T29" s="3"/>
      <c r="U29" s="3"/>
      <c r="V29" s="83"/>
      <c r="W29" s="83">
        <f>J7</f>
        <v>0.24975222993062438</v>
      </c>
      <c r="X29" s="83">
        <f>K7</f>
        <v>4.9950445986124879E-2</v>
      </c>
      <c r="Y29" s="83"/>
      <c r="Z29" s="3"/>
      <c r="AA29" s="3"/>
      <c r="AB29" s="3"/>
      <c r="AC29" s="203"/>
      <c r="AD29" s="8"/>
      <c r="AG29" s="9"/>
      <c r="AM29" s="9"/>
    </row>
    <row r="30" spans="1:40" x14ac:dyDescent="0.3">
      <c r="B30" s="92" t="s">
        <v>13</v>
      </c>
      <c r="C30" s="4">
        <v>5.12</v>
      </c>
      <c r="D30" s="4">
        <v>5.05</v>
      </c>
      <c r="E30" s="4">
        <f>SUM(C30:D30)</f>
        <v>10.17</v>
      </c>
      <c r="F30" s="3"/>
      <c r="G30" s="3"/>
      <c r="H30" s="3"/>
      <c r="I30" s="159" t="s">
        <v>13</v>
      </c>
      <c r="J30" s="7">
        <f>C30*0.5/E30</f>
        <v>0.25172074729596855</v>
      </c>
      <c r="K30" s="7">
        <f>D30*0.2/E30</f>
        <v>9.9311701081612594E-2</v>
      </c>
      <c r="L30" s="7">
        <f>1-K30-J30</f>
        <v>0.64896755162241893</v>
      </c>
      <c r="M30" s="3"/>
      <c r="N30" s="3"/>
      <c r="O30" s="3"/>
      <c r="P30" s="3"/>
      <c r="Q30" s="3"/>
      <c r="R30" s="3"/>
      <c r="S30" s="3"/>
      <c r="T30" s="3"/>
      <c r="U30" s="3"/>
      <c r="V30" s="207" t="s">
        <v>12</v>
      </c>
      <c r="W30" s="207" t="s">
        <v>17</v>
      </c>
      <c r="X30" s="207" t="s">
        <v>18</v>
      </c>
      <c r="Y30" s="207" t="s">
        <v>44</v>
      </c>
      <c r="Z30" s="3"/>
      <c r="AA30" s="3"/>
      <c r="AB30" s="3"/>
      <c r="AC30" s="3"/>
      <c r="AG30" s="9"/>
      <c r="AM30" s="9"/>
    </row>
    <row r="31" spans="1:40" x14ac:dyDescent="0.3">
      <c r="B31" s="2"/>
      <c r="C31" s="4"/>
      <c r="D31" s="4"/>
      <c r="E31" s="4"/>
      <c r="F31" s="3"/>
      <c r="G31" s="3"/>
      <c r="H31" s="3"/>
      <c r="I31" s="159"/>
      <c r="J31" s="7"/>
      <c r="K31" s="7"/>
      <c r="L31" s="7"/>
      <c r="M31" s="3"/>
      <c r="N31" s="3"/>
      <c r="O31" s="3"/>
      <c r="P31" s="3"/>
      <c r="Q31" s="3"/>
      <c r="R31" s="3"/>
      <c r="S31" s="3"/>
      <c r="T31" s="3"/>
      <c r="U31" s="3"/>
      <c r="V31" s="207" t="s">
        <v>13</v>
      </c>
      <c r="W31" s="207">
        <f>J33</f>
        <v>0.25172074729596855</v>
      </c>
      <c r="X31" s="207">
        <f>K33</f>
        <v>9.9311701081612594E-2</v>
      </c>
      <c r="Y31" s="207">
        <f>L33</f>
        <v>0.64896755162241893</v>
      </c>
      <c r="Z31" s="3"/>
      <c r="AA31" s="3"/>
      <c r="AB31" s="3"/>
      <c r="AC31" s="3"/>
      <c r="AM31" s="9"/>
    </row>
    <row r="32" spans="1:40" x14ac:dyDescent="0.3">
      <c r="B32" s="2"/>
      <c r="C32" s="4"/>
      <c r="D32" s="4"/>
      <c r="E32" s="4"/>
      <c r="F32" s="3"/>
      <c r="G32" s="3"/>
      <c r="H32" s="3"/>
      <c r="I32" s="159"/>
      <c r="J32" s="7"/>
      <c r="K32" s="7"/>
      <c r="L32" s="7"/>
      <c r="M32" s="3"/>
      <c r="N32" s="3"/>
      <c r="O32" s="3"/>
      <c r="P32" s="3" t="s">
        <v>1</v>
      </c>
      <c r="Q32" s="3" t="s">
        <v>42</v>
      </c>
      <c r="R32" s="3"/>
      <c r="S32" s="3"/>
      <c r="T32" s="3"/>
      <c r="U32" s="3"/>
      <c r="V32" s="207" t="s">
        <v>53</v>
      </c>
      <c r="W32" s="207">
        <f>W40</f>
        <v>0.15700016117635504</v>
      </c>
      <c r="X32" s="207">
        <f>X40</f>
        <v>0.13116430539687685</v>
      </c>
      <c r="Y32" s="207">
        <f>Y40</f>
        <v>0.71183553342676797</v>
      </c>
      <c r="Z32" s="3"/>
      <c r="AA32" s="3"/>
      <c r="AB32" s="3"/>
      <c r="AC32" s="3"/>
      <c r="AM32" s="9"/>
    </row>
    <row r="33" spans="2:32" x14ac:dyDescent="0.3">
      <c r="C33" s="3"/>
      <c r="D33" s="3"/>
      <c r="E33" s="3"/>
      <c r="F33" s="3"/>
      <c r="G33" s="3"/>
      <c r="H33" s="3"/>
      <c r="I33" s="159" t="s">
        <v>22</v>
      </c>
      <c r="J33" s="7">
        <f>AVERAGE(J30:J32)</f>
        <v>0.25172074729596855</v>
      </c>
      <c r="K33" s="7">
        <f>AVERAGE(K30:K32)</f>
        <v>9.9311701081612594E-2</v>
      </c>
      <c r="L33" s="7">
        <f>AVERAGE(L30:L32)</f>
        <v>0.64896755162241893</v>
      </c>
      <c r="M33" s="3"/>
      <c r="N33" s="3"/>
      <c r="O33" s="3"/>
      <c r="P33" s="3" t="s">
        <v>0</v>
      </c>
      <c r="Q33" s="3" t="s">
        <v>59</v>
      </c>
      <c r="R33" s="3"/>
      <c r="S33" s="3"/>
      <c r="T33" s="3"/>
      <c r="U33" s="3"/>
      <c r="V33" s="207" t="s">
        <v>14</v>
      </c>
      <c r="W33" s="207">
        <f>W49</f>
        <v>0.42912956622280746</v>
      </c>
      <c r="X33" s="207">
        <v>1E-3</v>
      </c>
      <c r="Y33" s="207">
        <f>Y49</f>
        <v>0.55560249270503437</v>
      </c>
      <c r="Z33" s="3"/>
      <c r="AA33" s="3"/>
      <c r="AB33" s="3"/>
      <c r="AC33" s="3"/>
    </row>
    <row r="34" spans="2:32" x14ac:dyDescent="0.3">
      <c r="B34" t="s">
        <v>31</v>
      </c>
      <c r="C34" s="3"/>
      <c r="D34" s="3"/>
      <c r="E34" s="3"/>
      <c r="F34" s="3"/>
      <c r="G34" s="3"/>
      <c r="H34" s="3"/>
      <c r="I34" s="159" t="s">
        <v>8</v>
      </c>
      <c r="J34" s="7" t="e">
        <f>_xlfn.STDEV.S(J30:J32)</f>
        <v>#DIV/0!</v>
      </c>
      <c r="K34" s="7" t="e">
        <f>_xlfn.STDEV.S(K30:K32)</f>
        <v>#DIV/0!</v>
      </c>
      <c r="L34" s="7" t="e">
        <f>_xlfn.STDEV.S(L30:L32)</f>
        <v>#DIV/0!</v>
      </c>
      <c r="M34" s="3"/>
      <c r="N34" s="3"/>
      <c r="O34" s="3"/>
      <c r="P34" s="3"/>
      <c r="Q34" s="3"/>
      <c r="R34" s="3"/>
      <c r="S34" s="3"/>
      <c r="T34" s="3"/>
      <c r="U34" s="3"/>
      <c r="V34" s="83"/>
      <c r="W34" s="83"/>
      <c r="X34" s="83"/>
      <c r="Y34" s="83"/>
      <c r="Z34" s="3"/>
      <c r="AA34" s="3"/>
      <c r="AB34" s="3"/>
      <c r="AC34" s="3"/>
      <c r="AD34" s="8"/>
      <c r="AE34" s="8"/>
      <c r="AF34" s="8"/>
    </row>
    <row r="35" spans="2:32" x14ac:dyDescent="0.3">
      <c r="B35">
        <v>1.5</v>
      </c>
      <c r="C35" s="3"/>
      <c r="D35" s="3"/>
      <c r="E35" s="3"/>
      <c r="F35" s="3"/>
      <c r="G35" s="3"/>
      <c r="H35" s="3"/>
      <c r="I35" s="3"/>
      <c r="J35" s="3"/>
      <c r="K35" s="3"/>
      <c r="L35" s="3"/>
      <c r="M35" s="3"/>
      <c r="N35" s="3"/>
      <c r="O35" s="3"/>
      <c r="P35" s="3"/>
      <c r="Q35" s="3"/>
      <c r="R35" s="3"/>
      <c r="S35" s="3"/>
      <c r="T35" s="3"/>
      <c r="U35" s="3"/>
      <c r="V35" s="210" t="s">
        <v>20</v>
      </c>
      <c r="W35" s="211"/>
      <c r="X35" s="211"/>
      <c r="Y35" s="212"/>
      <c r="Z35" s="3"/>
      <c r="AA35" s="3"/>
      <c r="AB35" s="3"/>
      <c r="AC35" s="3"/>
      <c r="AD35" s="8"/>
      <c r="AE35" s="8"/>
      <c r="AF35" s="8"/>
    </row>
    <row r="36" spans="2:32" x14ac:dyDescent="0.3">
      <c r="B36" s="92" t="s">
        <v>10</v>
      </c>
      <c r="C36" s="159" t="s">
        <v>23</v>
      </c>
      <c r="D36" s="159" t="s">
        <v>32</v>
      </c>
      <c r="E36" s="159" t="s">
        <v>24</v>
      </c>
      <c r="F36" s="159" t="s">
        <v>33</v>
      </c>
      <c r="G36" s="159" t="s">
        <v>28</v>
      </c>
      <c r="H36" s="159" t="s">
        <v>27</v>
      </c>
      <c r="I36" s="159" t="s">
        <v>26</v>
      </c>
      <c r="J36" s="3"/>
      <c r="K36" s="3"/>
      <c r="L36" s="159" t="s">
        <v>10</v>
      </c>
      <c r="M36" s="159" t="s">
        <v>30</v>
      </c>
      <c r="N36" s="159" t="s">
        <v>36</v>
      </c>
      <c r="O36" s="159" t="s">
        <v>35</v>
      </c>
      <c r="P36" s="159" t="s">
        <v>37</v>
      </c>
      <c r="Q36" s="159" t="s">
        <v>38</v>
      </c>
      <c r="R36" s="159" t="s">
        <v>39</v>
      </c>
      <c r="S36" s="159" t="s">
        <v>47</v>
      </c>
      <c r="T36" s="3"/>
      <c r="U36" s="3"/>
      <c r="V36" s="213" t="s">
        <v>10</v>
      </c>
      <c r="W36" s="213" t="s">
        <v>17</v>
      </c>
      <c r="X36" s="213" t="s">
        <v>18</v>
      </c>
      <c r="Y36" s="213" t="s">
        <v>44</v>
      </c>
      <c r="Z36" s="3"/>
      <c r="AA36" s="3"/>
      <c r="AB36" s="3"/>
      <c r="AC36" s="3"/>
      <c r="AD36" s="8"/>
      <c r="AE36" s="8"/>
      <c r="AF36" s="8"/>
    </row>
    <row r="37" spans="2:32" x14ac:dyDescent="0.3">
      <c r="B37" s="92" t="s">
        <v>13</v>
      </c>
      <c r="C37" s="4">
        <v>0.5383</v>
      </c>
      <c r="D37" s="4">
        <v>2.0280999999999998</v>
      </c>
      <c r="E37" s="4">
        <v>1.3439000000000001</v>
      </c>
      <c r="F37" s="4">
        <v>1.03E-2</v>
      </c>
      <c r="G37" s="4">
        <v>2.0095999999999998</v>
      </c>
      <c r="H37" s="4">
        <v>0.1</v>
      </c>
      <c r="I37" s="4">
        <v>0.214</v>
      </c>
      <c r="J37" s="3"/>
      <c r="K37" s="3"/>
      <c r="L37" s="159" t="s">
        <v>13</v>
      </c>
      <c r="M37" s="41">
        <f>I37/0.01026</f>
        <v>20.857699805068226</v>
      </c>
      <c r="N37" s="4">
        <f>(M37*G37/H37)/1000000/F37</f>
        <v>4.0694789833267089E-2</v>
      </c>
      <c r="O37" s="4">
        <f>N37*D37/C37</f>
        <v>0.15332175972663753</v>
      </c>
      <c r="P37" s="4">
        <f>N37*0.1478+1.333</f>
        <v>1.3390146899373567</v>
      </c>
      <c r="Q37" s="41">
        <f>E37-(P37-1.333)</f>
        <v>1.3378853100626433</v>
      </c>
      <c r="R37" s="41">
        <f>(Q37-1.333)/0.1374</f>
        <v>3.5555386190999759E-2</v>
      </c>
      <c r="S37" s="4">
        <f>R37*D37/C37</f>
        <v>0.1339585337803578</v>
      </c>
      <c r="T37" s="3"/>
      <c r="U37" s="3"/>
      <c r="V37" s="213" t="s">
        <v>13</v>
      </c>
      <c r="W37" s="7">
        <f>O37</f>
        <v>0.15332175972663753</v>
      </c>
      <c r="X37" s="7">
        <f>S37</f>
        <v>0.1339585337803578</v>
      </c>
      <c r="Y37" s="7">
        <f>1-X37-W37</f>
        <v>0.71271970649300465</v>
      </c>
      <c r="Z37" s="3"/>
      <c r="AA37" s="3"/>
      <c r="AB37" s="3"/>
      <c r="AC37" s="3"/>
    </row>
    <row r="38" spans="2:32" x14ac:dyDescent="0.3">
      <c r="B38" s="92" t="s">
        <v>14</v>
      </c>
      <c r="C38" s="4">
        <v>0.53949999999999998</v>
      </c>
      <c r="D38" s="4">
        <v>2.0310999999999999</v>
      </c>
      <c r="E38" s="4">
        <v>1.3440000000000001</v>
      </c>
      <c r="F38" s="4">
        <v>1.09E-2</v>
      </c>
      <c r="G38" s="4">
        <v>2.0085999999999999</v>
      </c>
      <c r="H38" s="4">
        <v>0.1</v>
      </c>
      <c r="I38" s="4">
        <v>0.23799999999999999</v>
      </c>
      <c r="J38" s="3"/>
      <c r="K38" s="3"/>
      <c r="L38" s="159" t="s">
        <v>14</v>
      </c>
      <c r="M38" s="41">
        <f t="shared" ref="M38:M39" si="12">I38/0.01026</f>
        <v>23.196881091617932</v>
      </c>
      <c r="N38" s="4">
        <f>(M38*G38/H38)/1000000/F38</f>
        <v>4.2746105835434658E-2</v>
      </c>
      <c r="O38" s="4">
        <f>N38*D38/C38</f>
        <v>0.16092977861418228</v>
      </c>
      <c r="P38" s="4">
        <f>N38*0.1478+1.333</f>
        <v>1.3393178744424772</v>
      </c>
      <c r="Q38" s="41">
        <f t="shared" ref="Q38:Q39" si="13">E38-(P38-1.333)</f>
        <v>1.3376821255575229</v>
      </c>
      <c r="R38" s="41">
        <f t="shared" ref="R38:R39" si="14">(Q38-1.333)/0.1374</f>
        <v>3.4076605222146276E-2</v>
      </c>
      <c r="S38" s="4">
        <f>R38*D38/C38</f>
        <v>0.1282909969725696</v>
      </c>
      <c r="T38" s="3"/>
      <c r="U38" s="3"/>
      <c r="V38" s="213" t="s">
        <v>14</v>
      </c>
      <c r="W38" s="7">
        <f>O38</f>
        <v>0.16092977861418228</v>
      </c>
      <c r="X38" s="7">
        <f>S38</f>
        <v>0.1282909969725696</v>
      </c>
      <c r="Y38" s="7">
        <f>1-X38-W38</f>
        <v>0.71077922441324803</v>
      </c>
      <c r="Z38" s="3"/>
      <c r="AA38" s="3"/>
      <c r="AB38" s="3"/>
      <c r="AC38" s="3"/>
    </row>
    <row r="39" spans="2:32" x14ac:dyDescent="0.3">
      <c r="B39" s="92" t="s">
        <v>15</v>
      </c>
      <c r="C39" s="4">
        <v>0.53690000000000004</v>
      </c>
      <c r="D39" s="4">
        <v>2.0293999999999999</v>
      </c>
      <c r="E39" s="4">
        <v>1.3439000000000001</v>
      </c>
      <c r="F39" s="4">
        <v>1.01E-2</v>
      </c>
      <c r="G39" s="4">
        <v>2.0081000000000002</v>
      </c>
      <c r="H39" s="4">
        <v>0.1</v>
      </c>
      <c r="I39" s="4">
        <v>0.214</v>
      </c>
      <c r="J39" s="3"/>
      <c r="K39" s="3"/>
      <c r="L39" s="159" t="s">
        <v>15</v>
      </c>
      <c r="M39" s="41">
        <f t="shared" si="12"/>
        <v>20.857699805068226</v>
      </c>
      <c r="N39" s="4">
        <f>(M39*G39/H39)/1000000/F39</f>
        <v>4.1469650473819314E-2</v>
      </c>
      <c r="O39" s="4">
        <f>N39*D39/C39</f>
        <v>0.15674894518824528</v>
      </c>
      <c r="P39" s="4">
        <f>N39*0.1478+1.333</f>
        <v>1.3391292143400304</v>
      </c>
      <c r="Q39" s="41">
        <f t="shared" si="13"/>
        <v>1.3377707856599697</v>
      </c>
      <c r="R39" s="41">
        <f t="shared" si="14"/>
        <v>3.4721875254510114E-2</v>
      </c>
      <c r="S39" s="4">
        <f>R39*D39/C39</f>
        <v>0.13124338543770314</v>
      </c>
      <c r="T39" s="3"/>
      <c r="U39" s="3"/>
      <c r="V39" s="213" t="s">
        <v>15</v>
      </c>
      <c r="W39" s="7">
        <f>O39</f>
        <v>0.15674894518824528</v>
      </c>
      <c r="X39" s="7">
        <f>S39</f>
        <v>0.13124338543770314</v>
      </c>
      <c r="Y39" s="7">
        <f>1-X39-W39</f>
        <v>0.71200766937405158</v>
      </c>
      <c r="Z39" s="159" t="s">
        <v>69</v>
      </c>
      <c r="AA39" s="159" t="s">
        <v>8</v>
      </c>
      <c r="AB39" s="3"/>
      <c r="AC39" s="3"/>
    </row>
    <row r="40" spans="2:32" x14ac:dyDescent="0.3">
      <c r="B40" s="92" t="s">
        <v>22</v>
      </c>
      <c r="C40" s="4">
        <f>AVERAGE(C37:C39)</f>
        <v>0.53823333333333334</v>
      </c>
      <c r="D40" s="4">
        <f>C40+1.5</f>
        <v>2.0382333333333333</v>
      </c>
      <c r="E40" s="4">
        <f>AVERAGE(E37:E39)</f>
        <v>1.3439333333333334</v>
      </c>
      <c r="F40" s="4">
        <f>AVERAGE(F37:F39)</f>
        <v>1.0433333333333334E-2</v>
      </c>
      <c r="G40" s="4">
        <f>AVERAGE(G37:G39)</f>
        <v>2.0087666666666668</v>
      </c>
      <c r="H40" s="4">
        <f>AVERAGE(H37:H39)</f>
        <v>0.10000000000000002</v>
      </c>
      <c r="I40" s="4">
        <f>AVERAGE(I37:I39)</f>
        <v>0.22199999999999998</v>
      </c>
      <c r="J40" s="3"/>
      <c r="K40" s="3"/>
      <c r="L40" s="159" t="s">
        <v>22</v>
      </c>
      <c r="M40" s="4">
        <f>AVERAGE(M37:M39)</f>
        <v>21.637426900584796</v>
      </c>
      <c r="N40" s="4">
        <f>AVERAGE(N37:N39)</f>
        <v>4.163684871417369E-2</v>
      </c>
      <c r="O40" s="4">
        <f>AVERAGE(O38:O39)</f>
        <v>0.15883936190121378</v>
      </c>
      <c r="P40" s="4">
        <f>AVERAGE(P38:P39)</f>
        <v>1.3392235443912539</v>
      </c>
      <c r="Q40" s="4">
        <f>AVERAGE(Q38:Q39)</f>
        <v>1.3377264556087463</v>
      </c>
      <c r="R40" s="4">
        <f>AVERAGE(R38:R39)</f>
        <v>3.4399240238328195E-2</v>
      </c>
      <c r="S40" s="70">
        <f>AVERAGE(S37,S38)</f>
        <v>0.1311247653764637</v>
      </c>
      <c r="T40" s="13"/>
      <c r="U40" s="3"/>
      <c r="V40" s="213" t="s">
        <v>22</v>
      </c>
      <c r="W40" s="7">
        <f>AVERAGE(W37:W39)</f>
        <v>0.15700016117635504</v>
      </c>
      <c r="X40" s="7">
        <f>AVERAGE(X37:X39)</f>
        <v>0.13116430539687685</v>
      </c>
      <c r="Y40" s="7">
        <f>AVERAGE(Y37:Y39)</f>
        <v>0.71183553342676797</v>
      </c>
      <c r="Z40" s="41">
        <f>C40/0.5</f>
        <v>1.0764666666666667</v>
      </c>
      <c r="AA40" s="41">
        <f>C41/0.5</f>
        <v>2.6025628394590198E-3</v>
      </c>
      <c r="AB40" s="3"/>
      <c r="AC40" s="3"/>
    </row>
    <row r="41" spans="2:32" x14ac:dyDescent="0.3">
      <c r="B41" s="92" t="s">
        <v>8</v>
      </c>
      <c r="C41" s="4">
        <f t="shared" ref="C41:I41" si="15">_xlfn.STDEV.S(C37:C39)</f>
        <v>1.3012814197295099E-3</v>
      </c>
      <c r="D41" s="4">
        <f t="shared" si="15"/>
        <v>1.5044378795196235E-3</v>
      </c>
      <c r="E41" s="4">
        <f t="shared" si="15"/>
        <v>5.7735026918956222E-5</v>
      </c>
      <c r="F41" s="4">
        <f t="shared" si="15"/>
        <v>4.1633319989322666E-4</v>
      </c>
      <c r="G41" s="4">
        <f t="shared" si="15"/>
        <v>7.6376261582579235E-4</v>
      </c>
      <c r="H41" s="4">
        <f t="shared" si="15"/>
        <v>1.6996749443881478E-17</v>
      </c>
      <c r="I41" s="4">
        <f t="shared" si="15"/>
        <v>1.3856406460551014E-2</v>
      </c>
      <c r="J41" s="3"/>
      <c r="K41" s="3"/>
      <c r="L41" s="159" t="s">
        <v>8</v>
      </c>
      <c r="M41" s="4">
        <f>_xlfn.STDEV.S(M37:M39)</f>
        <v>1.3505269454728082</v>
      </c>
      <c r="N41" s="4">
        <f>_xlfn.STDEV.S(N37:N39)</f>
        <v>1.0358285446300385E-3</v>
      </c>
      <c r="O41" s="4">
        <f>_xlfn.STDEV.S(O38:O39)</f>
        <v>2.95629566649144E-3</v>
      </c>
      <c r="P41" s="4">
        <f>_xlfn.STDEV.S(P38:P39)</f>
        <v>1.3340283777946721E-4</v>
      </c>
      <c r="Q41" s="4">
        <f>_xlfn.STDEV.S(Q38:Q39)</f>
        <v>6.2692159660820252E-5</v>
      </c>
      <c r="R41" s="4">
        <f>_xlfn.STDEV.S(R38:R39)</f>
        <v>4.5627481558093227E-4</v>
      </c>
      <c r="S41" s="4">
        <f>_xlfn.STDEV.S(S38:S39)</f>
        <v>2.087653904392871E-3</v>
      </c>
      <c r="T41" s="3"/>
      <c r="U41" s="3"/>
      <c r="V41" s="213" t="s">
        <v>8</v>
      </c>
      <c r="W41" s="7">
        <f>_xlfn.STDEV.S(W37:W39)</f>
        <v>3.8102257089076626E-3</v>
      </c>
      <c r="X41" s="7">
        <f>_xlfn.STDEV.S(X37:X39)</f>
        <v>2.8345958453633788E-3</v>
      </c>
      <c r="Y41" s="7">
        <f>_xlfn.STDEV.S(Y37:Y39)</f>
        <v>9.8162659077906237E-4</v>
      </c>
      <c r="Z41" s="41">
        <f>C41/0.5</f>
        <v>2.6025628394590198E-3</v>
      </c>
      <c r="AA41" s="4"/>
      <c r="AB41" s="3"/>
      <c r="AC41" s="3"/>
    </row>
    <row r="42" spans="2:32" x14ac:dyDescent="0.3">
      <c r="C42" s="3"/>
      <c r="D42" s="3"/>
      <c r="E42" s="3"/>
      <c r="F42" s="3"/>
      <c r="G42" s="3"/>
      <c r="H42" s="3"/>
      <c r="I42" s="3"/>
      <c r="J42" s="3"/>
      <c r="K42" s="3"/>
      <c r="L42" s="3"/>
      <c r="M42" s="3"/>
      <c r="N42" s="3"/>
      <c r="O42" s="3"/>
      <c r="P42" s="3"/>
      <c r="Q42" s="3"/>
      <c r="R42" s="3"/>
      <c r="S42" s="3"/>
      <c r="T42" s="3"/>
      <c r="U42" s="3"/>
      <c r="V42" s="83"/>
      <c r="W42" s="83"/>
      <c r="X42" s="83"/>
      <c r="Y42" s="83"/>
      <c r="Z42" s="3"/>
      <c r="AA42" s="3"/>
      <c r="AB42" s="3"/>
      <c r="AC42" s="3"/>
    </row>
    <row r="43" spans="2:32" x14ac:dyDescent="0.3">
      <c r="C43" s="3"/>
      <c r="D43" s="3"/>
      <c r="E43" s="3"/>
      <c r="F43" s="3"/>
      <c r="G43" s="3"/>
      <c r="H43" s="3"/>
      <c r="I43" s="3"/>
      <c r="J43" s="3"/>
      <c r="K43" s="3"/>
      <c r="L43" s="3"/>
      <c r="M43" s="3"/>
      <c r="N43" s="3"/>
      <c r="O43" s="3"/>
      <c r="P43" s="3"/>
      <c r="Q43" s="3"/>
      <c r="R43" s="3"/>
      <c r="S43" s="3"/>
      <c r="T43" s="3"/>
      <c r="U43" s="3"/>
      <c r="V43" s="83"/>
      <c r="W43" s="83"/>
      <c r="X43" s="83"/>
      <c r="Y43" s="83"/>
      <c r="Z43" s="3"/>
      <c r="AA43" s="3"/>
      <c r="AB43" s="3"/>
      <c r="AC43" s="3"/>
    </row>
    <row r="44" spans="2:32" x14ac:dyDescent="0.3">
      <c r="C44" s="3"/>
      <c r="D44" s="3"/>
      <c r="E44" s="3"/>
      <c r="F44" s="3"/>
      <c r="G44" s="3"/>
      <c r="H44" s="3"/>
      <c r="I44" s="3"/>
      <c r="J44" s="3"/>
      <c r="K44" s="3"/>
      <c r="L44" s="3"/>
      <c r="M44" s="3"/>
      <c r="N44" s="3"/>
      <c r="O44" s="3"/>
      <c r="P44" s="3"/>
      <c r="Q44" s="3"/>
      <c r="R44" s="3"/>
      <c r="S44" s="3"/>
      <c r="T44" s="3"/>
      <c r="U44" s="3"/>
      <c r="V44" s="293" t="s">
        <v>20</v>
      </c>
      <c r="W44" s="294"/>
      <c r="X44" s="294"/>
      <c r="Y44" s="295"/>
      <c r="Z44" s="3"/>
      <c r="AA44" s="3"/>
      <c r="AB44" s="3"/>
      <c r="AC44" s="3"/>
    </row>
    <row r="45" spans="2:32" x14ac:dyDescent="0.3">
      <c r="B45" s="92" t="s">
        <v>11</v>
      </c>
      <c r="C45" s="159" t="s">
        <v>23</v>
      </c>
      <c r="D45" s="159" t="s">
        <v>32</v>
      </c>
      <c r="E45" s="159" t="s">
        <v>24</v>
      </c>
      <c r="F45" s="159" t="s">
        <v>25</v>
      </c>
      <c r="G45" s="159" t="s">
        <v>28</v>
      </c>
      <c r="H45" s="159" t="s">
        <v>27</v>
      </c>
      <c r="I45" s="159" t="s">
        <v>26</v>
      </c>
      <c r="J45" s="3"/>
      <c r="K45" s="3"/>
      <c r="L45" s="159" t="s">
        <v>11</v>
      </c>
      <c r="M45" s="159" t="s">
        <v>30</v>
      </c>
      <c r="N45" s="159" t="s">
        <v>34</v>
      </c>
      <c r="O45" s="159" t="s">
        <v>35</v>
      </c>
      <c r="P45" s="159" t="s">
        <v>37</v>
      </c>
      <c r="Q45" s="159" t="s">
        <v>38</v>
      </c>
      <c r="R45" s="159" t="s">
        <v>39</v>
      </c>
      <c r="S45" s="159" t="s">
        <v>47</v>
      </c>
      <c r="T45" s="3"/>
      <c r="U45" s="3"/>
      <c r="V45" s="213" t="s">
        <v>11</v>
      </c>
      <c r="W45" s="213" t="s">
        <v>17</v>
      </c>
      <c r="X45" s="213" t="s">
        <v>18</v>
      </c>
      <c r="Y45" s="213" t="s">
        <v>44</v>
      </c>
      <c r="Z45" s="3"/>
      <c r="AA45" s="3"/>
      <c r="AB45" s="3"/>
      <c r="AC45" s="3"/>
    </row>
    <row r="46" spans="2:32" x14ac:dyDescent="0.3">
      <c r="B46" s="92" t="s">
        <v>13</v>
      </c>
      <c r="C46" s="4">
        <v>0.58809999999999996</v>
      </c>
      <c r="D46" s="4">
        <v>2.0813999999999999</v>
      </c>
      <c r="E46" s="4">
        <v>1.3514999999999999</v>
      </c>
      <c r="F46" s="4">
        <v>1.09E-2</v>
      </c>
      <c r="G46" s="4">
        <v>2.0087999999999999</v>
      </c>
      <c r="H46" s="4">
        <v>0.1</v>
      </c>
      <c r="I46" s="4">
        <v>0.64800000000000002</v>
      </c>
      <c r="J46" s="3"/>
      <c r="K46" s="3"/>
      <c r="L46" s="159" t="s">
        <v>13</v>
      </c>
      <c r="M46" s="41">
        <f>I46/0.01026</f>
        <v>63.15789473684211</v>
      </c>
      <c r="N46" s="4">
        <f>(M46*G46/H46)/1000000/F46</f>
        <v>0.11639594398841138</v>
      </c>
      <c r="O46" s="4">
        <f>N46*D46/C46</f>
        <v>0.41194782829022181</v>
      </c>
      <c r="P46" s="4">
        <f>N46*0.1478+1.333</f>
        <v>1.3502033205214872</v>
      </c>
      <c r="Q46" s="41">
        <f>E46-(P46-1.333)</f>
        <v>1.3342966794785127</v>
      </c>
      <c r="R46" s="41">
        <f>(Q46-1.333)/0.1374</f>
        <v>9.4372596689428837E-3</v>
      </c>
      <c r="S46" s="4">
        <f>R46*D46/C46</f>
        <v>3.3400292934769121E-2</v>
      </c>
      <c r="T46" s="3"/>
      <c r="U46" s="3"/>
      <c r="V46" s="213" t="s">
        <v>13</v>
      </c>
      <c r="W46" s="7">
        <f>O46</f>
        <v>0.41194782829022181</v>
      </c>
      <c r="X46" s="7">
        <f>S46</f>
        <v>3.3400292934769121E-2</v>
      </c>
      <c r="Y46" s="7">
        <f>1-X46-W46</f>
        <v>0.5546518787750091</v>
      </c>
      <c r="Z46" s="3"/>
      <c r="AA46" s="3"/>
      <c r="AB46" s="3"/>
      <c r="AC46" s="3"/>
    </row>
    <row r="47" spans="2:32" x14ac:dyDescent="0.3">
      <c r="B47" s="92" t="s">
        <v>14</v>
      </c>
      <c r="C47" s="4">
        <v>0.58489999999999998</v>
      </c>
      <c r="D47" s="4">
        <v>2.0754000000000001</v>
      </c>
      <c r="E47" s="4">
        <v>1.3514999999999999</v>
      </c>
      <c r="F47" s="4">
        <v>1.06E-2</v>
      </c>
      <c r="G47" s="4">
        <v>2.0097999999999998</v>
      </c>
      <c r="H47" s="4">
        <v>0.1</v>
      </c>
      <c r="I47" s="4">
        <v>0.64400000000000002</v>
      </c>
      <c r="J47" s="3"/>
      <c r="K47" s="3"/>
      <c r="L47" s="159" t="s">
        <v>14</v>
      </c>
      <c r="M47" s="41">
        <f t="shared" ref="M47:M48" si="16">I47/0.01026</f>
        <v>62.768031189083821</v>
      </c>
      <c r="N47" s="4">
        <f>(M47*G47/H47)/1000000/F47</f>
        <v>0.11901055573945345</v>
      </c>
      <c r="O47" s="4">
        <f>N47*D47/C47</f>
        <v>0.42228501860431134</v>
      </c>
      <c r="P47" s="4">
        <f>N47*0.1478+1.333</f>
        <v>1.3505897601382912</v>
      </c>
      <c r="Q47" s="41">
        <f t="shared" ref="Q47:Q48" si="17">E47-(P47-1.333)</f>
        <v>1.3339102398617086</v>
      </c>
      <c r="R47" s="41">
        <f t="shared" ref="R47:R48" si="18">(Q47-1.333)/0.1374</f>
        <v>6.624744262799737E-3</v>
      </c>
      <c r="S47" s="4">
        <f>R47*D47/C47</f>
        <v>2.3506572479081167E-2</v>
      </c>
      <c r="T47" s="3"/>
      <c r="U47" s="3"/>
      <c r="V47" s="213" t="s">
        <v>14</v>
      </c>
      <c r="W47" s="7">
        <f>O47</f>
        <v>0.42228501860431134</v>
      </c>
      <c r="X47" s="7">
        <f>S47</f>
        <v>2.3506572479081167E-2</v>
      </c>
      <c r="Y47" s="7">
        <f>1-X47-W47</f>
        <v>0.5542084089166075</v>
      </c>
      <c r="Z47" s="3"/>
      <c r="AA47" s="3"/>
      <c r="AB47" s="3"/>
      <c r="AC47" s="3"/>
    </row>
    <row r="48" spans="2:32" x14ac:dyDescent="0.3">
      <c r="B48" s="92" t="s">
        <v>15</v>
      </c>
      <c r="C48" s="4">
        <v>0.58730000000000004</v>
      </c>
      <c r="D48" s="4">
        <v>2.0777999999999999</v>
      </c>
      <c r="E48" s="4">
        <v>1.3514999999999999</v>
      </c>
      <c r="F48" s="4">
        <v>1.0800000000000001E-2</v>
      </c>
      <c r="G48" s="4">
        <v>2.0074999999999998</v>
      </c>
      <c r="H48" s="4">
        <v>0.1</v>
      </c>
      <c r="I48" s="4">
        <v>0.70699999999999996</v>
      </c>
      <c r="J48" s="3"/>
      <c r="K48" s="3"/>
      <c r="L48" s="159" t="s">
        <v>15</v>
      </c>
      <c r="M48" s="41">
        <f t="shared" si="16"/>
        <v>68.908382066276801</v>
      </c>
      <c r="N48" s="4">
        <f>(M48*G48/H48)/1000000/F48</f>
        <v>0.1280866453685654</v>
      </c>
      <c r="O48" s="4">
        <f>N48*D48/C48</f>
        <v>0.45315585177388928</v>
      </c>
      <c r="P48" s="4">
        <f>N48*0.1478+1.333</f>
        <v>1.351931206185474</v>
      </c>
      <c r="Q48" s="41">
        <f t="shared" si="17"/>
        <v>1.3325687938145259</v>
      </c>
      <c r="R48" s="41">
        <f t="shared" si="18"/>
        <v>-3.1383274051972189E-3</v>
      </c>
      <c r="S48" s="4">
        <f>R48*D48/C48</f>
        <v>-1.1103042197375753E-2</v>
      </c>
      <c r="T48" s="3"/>
      <c r="U48" s="3"/>
      <c r="V48" s="213" t="s">
        <v>15</v>
      </c>
      <c r="W48" s="7">
        <f>O48</f>
        <v>0.45315585177388928</v>
      </c>
      <c r="X48" s="7">
        <f>S48</f>
        <v>-1.1103042197375753E-2</v>
      </c>
      <c r="Y48" s="7">
        <f>1-X48-W48</f>
        <v>0.55794719042348639</v>
      </c>
      <c r="Z48" s="159" t="s">
        <v>69</v>
      </c>
      <c r="AA48" s="159" t="s">
        <v>8</v>
      </c>
      <c r="AB48" s="203"/>
      <c r="AC48" s="203"/>
    </row>
    <row r="49" spans="1:32" x14ac:dyDescent="0.3">
      <c r="B49" s="92" t="s">
        <v>22</v>
      </c>
      <c r="C49" s="4">
        <f>AVERAGE(C46:C48)</f>
        <v>0.58676666666666666</v>
      </c>
      <c r="D49" s="4">
        <f>C49+1.5</f>
        <v>2.0867666666666667</v>
      </c>
      <c r="E49" s="4">
        <f>AVERAGE(E46:E48)</f>
        <v>1.3514999999999999</v>
      </c>
      <c r="F49" s="4">
        <f>AVERAGE(F46:F48)</f>
        <v>1.0766666666666666E-2</v>
      </c>
      <c r="G49" s="4">
        <f>AVERAGE(G46:G48)</f>
        <v>2.0086999999999997</v>
      </c>
      <c r="H49" s="4">
        <f>AVERAGE(H46:H48)</f>
        <v>0.10000000000000002</v>
      </c>
      <c r="I49" s="4">
        <f>AVERAGE(I46:I48)</f>
        <v>0.66633333333333333</v>
      </c>
      <c r="J49" s="3"/>
      <c r="K49" s="3"/>
      <c r="L49" s="159" t="s">
        <v>22</v>
      </c>
      <c r="M49" s="4">
        <f t="shared" ref="M49:R49" si="19">AVERAGE(M46:M48)</f>
        <v>64.944769330734246</v>
      </c>
      <c r="N49" s="4">
        <f t="shared" si="19"/>
        <v>0.12116438169881007</v>
      </c>
      <c r="O49" s="4">
        <f t="shared" si="19"/>
        <v>0.42912956622280746</v>
      </c>
      <c r="P49" s="4">
        <f t="shared" si="19"/>
        <v>1.3509080956150843</v>
      </c>
      <c r="Q49" s="4">
        <f t="shared" si="19"/>
        <v>1.3335919043849156</v>
      </c>
      <c r="R49" s="4">
        <f t="shared" si="19"/>
        <v>4.3078921755151335E-3</v>
      </c>
      <c r="S49" s="70">
        <f>AVERAGE(S46,S47)</f>
        <v>2.8453432706925144E-2</v>
      </c>
      <c r="T49" s="3"/>
      <c r="U49" s="3"/>
      <c r="V49" s="213" t="s">
        <v>22</v>
      </c>
      <c r="W49" s="7">
        <f>AVERAGE(W46:W48)</f>
        <v>0.42912956622280746</v>
      </c>
      <c r="X49" s="7">
        <f t="shared" ref="X49:Y49" si="20">AVERAGE(X46:X48)</f>
        <v>1.5267941072158177E-2</v>
      </c>
      <c r="Y49" s="7">
        <f t="shared" si="20"/>
        <v>0.55560249270503437</v>
      </c>
      <c r="Z49" s="41">
        <f>C49/0.5</f>
        <v>1.1735333333333333</v>
      </c>
      <c r="AA49" s="41">
        <f>C50/0.5</f>
        <v>3.3306655991458189E-3</v>
      </c>
      <c r="AB49" s="203"/>
      <c r="AC49" s="203"/>
    </row>
    <row r="50" spans="1:32" x14ac:dyDescent="0.3">
      <c r="B50" s="92" t="s">
        <v>8</v>
      </c>
      <c r="C50" s="4">
        <f t="shared" ref="C50:I50" si="21">_xlfn.STDEV.S(C46:C48)</f>
        <v>1.6653327995729095E-3</v>
      </c>
      <c r="D50" s="4">
        <f t="shared" si="21"/>
        <v>3.0199337741082027E-3</v>
      </c>
      <c r="E50" s="4">
        <f t="shared" si="21"/>
        <v>0</v>
      </c>
      <c r="F50" s="4">
        <f t="shared" si="21"/>
        <v>1.5275252316519468E-4</v>
      </c>
      <c r="G50" s="4">
        <f t="shared" si="21"/>
        <v>1.1532562594670681E-3</v>
      </c>
      <c r="H50" s="4">
        <f t="shared" si="21"/>
        <v>1.6996749443881478E-17</v>
      </c>
      <c r="I50" s="4">
        <f t="shared" si="21"/>
        <v>3.5275109260402455E-2</v>
      </c>
      <c r="J50" s="3"/>
      <c r="K50" s="3"/>
      <c r="L50" s="159" t="s">
        <v>8</v>
      </c>
      <c r="M50" s="4">
        <f t="shared" ref="M50:R50" si="22">_xlfn.STDEV.S(M46:M48)</f>
        <v>3.438119810955405</v>
      </c>
      <c r="N50" s="4">
        <f t="shared" si="22"/>
        <v>6.1357435887904113E-3</v>
      </c>
      <c r="O50" s="4">
        <f t="shared" si="22"/>
        <v>2.1439710211055056E-2</v>
      </c>
      <c r="P50" s="4">
        <f t="shared" si="22"/>
        <v>9.0686290242326256E-4</v>
      </c>
      <c r="Q50" s="4">
        <f t="shared" si="22"/>
        <v>9.0686290242326256E-4</v>
      </c>
      <c r="R50" s="4">
        <f t="shared" si="22"/>
        <v>6.6001666843032219E-3</v>
      </c>
      <c r="S50" s="4">
        <f>_xlfn.STDEV.S(S47:S48)</f>
        <v>2.4472693231976147E-2</v>
      </c>
      <c r="T50" s="3"/>
      <c r="U50" s="3"/>
      <c r="V50" s="213" t="s">
        <v>8</v>
      </c>
      <c r="W50" s="7">
        <f>_xlfn.STDEV.S(W46:W48)</f>
        <v>2.1439710211055056E-2</v>
      </c>
      <c r="X50" s="7">
        <f t="shared" ref="X50:Y50" si="23">_xlfn.STDEV.S(X46:X48)</f>
        <v>2.3367562882452106E-2</v>
      </c>
      <c r="Y50" s="7">
        <f t="shared" si="23"/>
        <v>2.0426384707072907E-3</v>
      </c>
      <c r="Z50" s="41">
        <f>C50/0.5</f>
        <v>3.3306655991458189E-3</v>
      </c>
      <c r="AA50" s="4"/>
      <c r="AB50" s="203"/>
      <c r="AC50" s="203"/>
    </row>
    <row r="51" spans="1:32" x14ac:dyDescent="0.3">
      <c r="C51" s="3"/>
      <c r="D51" s="3"/>
      <c r="E51" s="3"/>
      <c r="F51" s="3"/>
      <c r="G51" s="3"/>
      <c r="H51" s="3"/>
      <c r="I51" s="3"/>
      <c r="J51" s="3"/>
      <c r="K51" s="3"/>
      <c r="L51" s="3"/>
      <c r="M51" s="3"/>
      <c r="N51" s="3"/>
      <c r="O51" s="3"/>
      <c r="P51" s="3"/>
      <c r="Q51" s="3"/>
      <c r="R51" s="3"/>
      <c r="S51" s="3"/>
      <c r="T51" s="3"/>
      <c r="U51" s="3"/>
      <c r="V51" s="83"/>
      <c r="W51" s="83"/>
      <c r="X51" s="83"/>
      <c r="Y51" s="83"/>
      <c r="Z51" s="3"/>
      <c r="AA51" s="3"/>
      <c r="AB51" s="3"/>
      <c r="AC51" s="3"/>
    </row>
    <row r="52" spans="1:32" x14ac:dyDescent="0.3">
      <c r="C52" s="3"/>
      <c r="D52" s="3"/>
      <c r="E52" s="3"/>
      <c r="F52" s="3"/>
      <c r="G52" s="3"/>
      <c r="H52" s="3"/>
      <c r="I52" s="3"/>
      <c r="J52" s="3"/>
      <c r="K52" s="3"/>
      <c r="L52" s="3"/>
      <c r="M52" s="3"/>
      <c r="N52" s="3"/>
      <c r="O52" s="3"/>
      <c r="P52" s="3"/>
      <c r="Q52" s="3"/>
      <c r="R52" s="3"/>
      <c r="S52" s="3"/>
      <c r="T52" s="3"/>
      <c r="U52" s="3"/>
      <c r="V52" s="83"/>
      <c r="W52" s="83"/>
      <c r="X52" s="83"/>
      <c r="Y52" s="83"/>
      <c r="Z52" s="3"/>
      <c r="AA52" s="3"/>
      <c r="AB52" s="3"/>
      <c r="AC52" s="3"/>
    </row>
    <row r="53" spans="1:32" x14ac:dyDescent="0.3">
      <c r="A53" s="208" t="s">
        <v>55</v>
      </c>
      <c r="C53" s="3"/>
      <c r="D53" s="3"/>
      <c r="E53" s="3"/>
      <c r="F53" s="3"/>
      <c r="G53" s="3"/>
      <c r="H53" s="3"/>
      <c r="I53" s="3"/>
      <c r="J53" s="3"/>
      <c r="K53" s="3"/>
      <c r="L53" s="3"/>
      <c r="M53" s="3"/>
      <c r="N53" s="3"/>
      <c r="O53" s="3"/>
      <c r="P53" s="3"/>
      <c r="Q53" s="3"/>
      <c r="R53" s="3"/>
      <c r="S53" s="3"/>
      <c r="T53" s="3"/>
      <c r="U53" s="3"/>
      <c r="V53" s="83"/>
      <c r="W53" s="83">
        <f>W40</f>
        <v>0.15700016117635504</v>
      </c>
      <c r="X53" s="83">
        <f>X40</f>
        <v>0.13116430539687685</v>
      </c>
      <c r="Y53" s="83"/>
      <c r="Z53" s="3"/>
      <c r="AA53" s="3"/>
      <c r="AB53" s="3"/>
      <c r="AC53" s="3"/>
    </row>
    <row r="54" spans="1:32" x14ac:dyDescent="0.3">
      <c r="B54" s="92"/>
      <c r="C54" s="297" t="s">
        <v>19</v>
      </c>
      <c r="D54" s="297"/>
      <c r="E54" s="297"/>
      <c r="F54" s="214"/>
      <c r="G54" s="129"/>
      <c r="H54" s="129"/>
      <c r="I54" s="159"/>
      <c r="J54" s="297" t="s">
        <v>20</v>
      </c>
      <c r="K54" s="297"/>
      <c r="L54" s="159"/>
      <c r="M54" s="3"/>
      <c r="N54" s="3"/>
      <c r="O54" s="3"/>
      <c r="P54" s="3"/>
      <c r="Q54" s="3"/>
      <c r="R54" s="3"/>
      <c r="S54" s="3"/>
      <c r="T54" s="3"/>
      <c r="U54" s="3"/>
      <c r="V54" s="83"/>
      <c r="W54" s="83">
        <f>W49</f>
        <v>0.42912956622280746</v>
      </c>
      <c r="X54" s="83">
        <f>X49</f>
        <v>1.5267941072158177E-2</v>
      </c>
      <c r="Y54" s="83"/>
      <c r="Z54" s="3"/>
      <c r="AA54" s="3"/>
      <c r="AB54" s="3"/>
      <c r="AC54" s="3"/>
    </row>
    <row r="55" spans="1:32" x14ac:dyDescent="0.3">
      <c r="B55" s="92" t="s">
        <v>12</v>
      </c>
      <c r="C55" s="159" t="s">
        <v>51</v>
      </c>
      <c r="D55" s="159" t="s">
        <v>40</v>
      </c>
      <c r="E55" s="159" t="s">
        <v>61</v>
      </c>
      <c r="F55" s="159" t="s">
        <v>21</v>
      </c>
      <c r="G55" s="3"/>
      <c r="H55" s="3"/>
      <c r="I55" s="159" t="s">
        <v>12</v>
      </c>
      <c r="J55" s="213" t="s">
        <v>17</v>
      </c>
      <c r="K55" s="213" t="s">
        <v>18</v>
      </c>
      <c r="L55" s="213" t="s">
        <v>44</v>
      </c>
      <c r="M55" s="3"/>
      <c r="N55" s="3"/>
      <c r="O55" s="3"/>
      <c r="P55" s="3"/>
      <c r="Q55" s="3"/>
      <c r="R55" s="3"/>
      <c r="S55" s="3"/>
      <c r="T55" s="3"/>
      <c r="U55" s="3"/>
      <c r="V55" s="83"/>
      <c r="W55" s="83">
        <f>J33</f>
        <v>0.25172074729596855</v>
      </c>
      <c r="X55" s="83">
        <f>K33</f>
        <v>9.9311701081612594E-2</v>
      </c>
      <c r="Y55" s="83"/>
      <c r="Z55" s="3"/>
      <c r="AA55" s="3"/>
      <c r="AB55" s="3"/>
      <c r="AC55" s="3"/>
    </row>
    <row r="56" spans="1:32" x14ac:dyDescent="0.3">
      <c r="B56" s="2" t="s">
        <v>13</v>
      </c>
      <c r="C56" s="4">
        <v>5</v>
      </c>
      <c r="D56" s="4">
        <v>2.5299999999999998</v>
      </c>
      <c r="E56" s="4">
        <v>2.4900000000000002</v>
      </c>
      <c r="F56" s="4">
        <f>SUM(C56:E56)</f>
        <v>10.02</v>
      </c>
      <c r="G56" s="3"/>
      <c r="H56" s="3"/>
      <c r="I56" s="159" t="s">
        <v>13</v>
      </c>
      <c r="J56" s="7">
        <f>C56*0.6/F56</f>
        <v>0.29940119760479045</v>
      </c>
      <c r="K56" s="7">
        <f>(D56*0.2+E56*0.4)/F56</f>
        <v>0.14990019960079842</v>
      </c>
      <c r="L56" s="7">
        <f>1-K56-J56</f>
        <v>0.55069860279441107</v>
      </c>
      <c r="M56" s="3"/>
      <c r="N56" s="3"/>
      <c r="O56" s="3"/>
      <c r="P56" s="3"/>
      <c r="Q56" s="3"/>
      <c r="R56" s="3"/>
      <c r="S56" s="3"/>
      <c r="T56" s="3"/>
      <c r="U56" s="3"/>
      <c r="V56" s="207" t="s">
        <v>12</v>
      </c>
      <c r="W56" s="207" t="s">
        <v>17</v>
      </c>
      <c r="X56" s="207" t="s">
        <v>18</v>
      </c>
      <c r="Y56" s="207" t="s">
        <v>44</v>
      </c>
      <c r="Z56" s="3"/>
      <c r="AA56" s="3"/>
      <c r="AB56" s="3"/>
      <c r="AC56" s="3"/>
    </row>
    <row r="57" spans="1:32" x14ac:dyDescent="0.3">
      <c r="B57" s="2"/>
      <c r="C57" s="4"/>
      <c r="D57" s="4"/>
      <c r="E57" s="4"/>
      <c r="F57" s="4"/>
      <c r="G57" s="3"/>
      <c r="H57" s="3"/>
      <c r="I57" s="4"/>
      <c r="J57" s="7"/>
      <c r="K57" s="7"/>
      <c r="L57" s="7"/>
      <c r="M57" s="3"/>
      <c r="N57" s="3"/>
      <c r="O57" s="3"/>
      <c r="P57" s="3"/>
      <c r="Q57" s="3"/>
      <c r="R57" s="3"/>
      <c r="S57" s="3"/>
      <c r="T57" s="3"/>
      <c r="U57" s="3"/>
      <c r="V57" s="207" t="s">
        <v>13</v>
      </c>
      <c r="W57" s="207">
        <f>J59</f>
        <v>0.29940119760479045</v>
      </c>
      <c r="X57" s="207">
        <f>K59</f>
        <v>0.14990019960079842</v>
      </c>
      <c r="Y57" s="207">
        <f>L59</f>
        <v>0.55069860279441107</v>
      </c>
      <c r="Z57" s="3"/>
      <c r="AA57" s="3"/>
      <c r="AB57" s="3"/>
      <c r="AC57" s="3"/>
    </row>
    <row r="58" spans="1:32" x14ac:dyDescent="0.3">
      <c r="B58" s="2"/>
      <c r="C58" s="4"/>
      <c r="D58" s="4"/>
      <c r="E58" s="4"/>
      <c r="F58" s="4"/>
      <c r="G58" s="3"/>
      <c r="H58" s="3"/>
      <c r="I58" s="4"/>
      <c r="J58" s="7"/>
      <c r="K58" s="7"/>
      <c r="L58" s="7"/>
      <c r="M58" s="3"/>
      <c r="N58" s="3"/>
      <c r="O58" s="3"/>
      <c r="P58" s="3" t="s">
        <v>1</v>
      </c>
      <c r="Q58" s="3" t="s">
        <v>42</v>
      </c>
      <c r="R58" s="3"/>
      <c r="S58" s="3"/>
      <c r="T58" s="3"/>
      <c r="U58" s="3"/>
      <c r="V58" s="207" t="s">
        <v>53</v>
      </c>
      <c r="W58" s="207">
        <f>W66</f>
        <v>0.1273460846302151</v>
      </c>
      <c r="X58" s="207">
        <f>X66</f>
        <v>0.24977483246073254</v>
      </c>
      <c r="Y58" s="207">
        <f>Y66</f>
        <v>0.62287908290905236</v>
      </c>
      <c r="Z58" s="3"/>
      <c r="AA58" s="3"/>
      <c r="AB58" s="3"/>
      <c r="AC58" s="3"/>
    </row>
    <row r="59" spans="1:32" x14ac:dyDescent="0.3">
      <c r="C59" s="3"/>
      <c r="D59" s="3"/>
      <c r="E59" s="3"/>
      <c r="F59" s="3"/>
      <c r="G59" s="3"/>
      <c r="H59" s="3"/>
      <c r="I59" s="159" t="s">
        <v>22</v>
      </c>
      <c r="J59" s="7">
        <f>AVERAGE(J56:J58)</f>
        <v>0.29940119760479045</v>
      </c>
      <c r="K59" s="7">
        <f>AVERAGE(K56:K58)</f>
        <v>0.14990019960079842</v>
      </c>
      <c r="L59" s="7">
        <f>AVERAGE(L56:L58)</f>
        <v>0.55069860279441107</v>
      </c>
      <c r="M59" s="3"/>
      <c r="N59" s="3"/>
      <c r="O59" s="3"/>
      <c r="P59" s="3" t="s">
        <v>0</v>
      </c>
      <c r="Q59" s="3" t="s">
        <v>59</v>
      </c>
      <c r="R59" s="3"/>
      <c r="S59" s="3"/>
      <c r="T59" s="3"/>
      <c r="U59" s="3"/>
      <c r="V59" s="207" t="s">
        <v>14</v>
      </c>
      <c r="W59" s="207">
        <f>W75</f>
        <v>0.56385117312134425</v>
      </c>
      <c r="X59" s="207">
        <v>1E-3</v>
      </c>
      <c r="Y59" s="207">
        <f>Y75</f>
        <v>0.42979546001220759</v>
      </c>
      <c r="Z59" s="3"/>
      <c r="AA59" s="3"/>
      <c r="AB59" s="3"/>
      <c r="AC59" s="3"/>
    </row>
    <row r="60" spans="1:32" x14ac:dyDescent="0.3">
      <c r="B60" t="s">
        <v>31</v>
      </c>
      <c r="C60" s="3"/>
      <c r="D60" s="3"/>
      <c r="E60" s="3"/>
      <c r="F60" s="3"/>
      <c r="G60" s="3"/>
      <c r="H60" s="3"/>
      <c r="I60" s="159" t="s">
        <v>8</v>
      </c>
      <c r="J60" s="7" t="e">
        <f>_xlfn.STDEV.S(J56:J58)</f>
        <v>#DIV/0!</v>
      </c>
      <c r="K60" s="7" t="e">
        <f>_xlfn.STDEV.S(K56:K58)</f>
        <v>#DIV/0!</v>
      </c>
      <c r="L60" s="7" t="e">
        <f>_xlfn.STDEV.S(L56:L58)</f>
        <v>#DIV/0!</v>
      </c>
      <c r="M60" s="3"/>
      <c r="N60" s="3"/>
      <c r="O60" s="3"/>
      <c r="P60" s="3"/>
      <c r="Q60" s="3"/>
      <c r="R60" s="3"/>
      <c r="S60" s="3"/>
      <c r="T60" s="3"/>
      <c r="U60" s="3"/>
      <c r="V60" s="83"/>
      <c r="W60" s="83"/>
      <c r="X60" s="83"/>
      <c r="Y60" s="83"/>
      <c r="Z60" s="3"/>
      <c r="AA60" s="3"/>
      <c r="AB60" s="3"/>
      <c r="AC60" s="3"/>
      <c r="AD60" s="8"/>
      <c r="AE60" s="8"/>
      <c r="AF60" s="8"/>
    </row>
    <row r="61" spans="1:32" x14ac:dyDescent="0.3">
      <c r="B61">
        <v>1.5</v>
      </c>
      <c r="C61" s="3"/>
      <c r="D61" s="3"/>
      <c r="E61" s="3"/>
      <c r="F61" s="3"/>
      <c r="G61" s="3"/>
      <c r="H61" s="3"/>
      <c r="I61" s="3"/>
      <c r="J61" s="3"/>
      <c r="K61" s="3"/>
      <c r="L61" s="3"/>
      <c r="M61" s="3"/>
      <c r="N61" s="3"/>
      <c r="O61" s="3"/>
      <c r="P61" s="3"/>
      <c r="Q61" s="3"/>
      <c r="R61" s="3"/>
      <c r="S61" s="3"/>
      <c r="T61" s="3"/>
      <c r="U61" s="3"/>
      <c r="V61" s="210" t="s">
        <v>20</v>
      </c>
      <c r="W61" s="211"/>
      <c r="X61" s="211"/>
      <c r="Y61" s="212"/>
      <c r="Z61" s="3"/>
      <c r="AA61" s="3"/>
      <c r="AB61" s="3"/>
      <c r="AC61" s="3"/>
      <c r="AD61" s="8"/>
      <c r="AE61" s="8"/>
      <c r="AF61" s="8"/>
    </row>
    <row r="62" spans="1:32" x14ac:dyDescent="0.3">
      <c r="B62" s="92" t="s">
        <v>10</v>
      </c>
      <c r="C62" s="159" t="s">
        <v>23</v>
      </c>
      <c r="D62" s="159" t="s">
        <v>32</v>
      </c>
      <c r="E62" s="159" t="s">
        <v>24</v>
      </c>
      <c r="F62" s="159" t="s">
        <v>33</v>
      </c>
      <c r="G62" s="159" t="s">
        <v>28</v>
      </c>
      <c r="H62" s="159" t="s">
        <v>27</v>
      </c>
      <c r="I62" s="159" t="s">
        <v>26</v>
      </c>
      <c r="J62" s="3"/>
      <c r="K62" s="3"/>
      <c r="L62" s="159" t="s">
        <v>10</v>
      </c>
      <c r="M62" s="159" t="s">
        <v>30</v>
      </c>
      <c r="N62" s="159" t="s">
        <v>36</v>
      </c>
      <c r="O62" s="159" t="s">
        <v>35</v>
      </c>
      <c r="P62" s="159" t="s">
        <v>37</v>
      </c>
      <c r="Q62" s="159" t="s">
        <v>38</v>
      </c>
      <c r="R62" s="159" t="s">
        <v>39</v>
      </c>
      <c r="S62" s="159" t="s">
        <v>47</v>
      </c>
      <c r="T62" s="3"/>
      <c r="U62" s="3"/>
      <c r="V62" s="213" t="s">
        <v>10</v>
      </c>
      <c r="W62" s="213" t="s">
        <v>17</v>
      </c>
      <c r="X62" s="213" t="s">
        <v>18</v>
      </c>
      <c r="Y62" s="213" t="s">
        <v>44</v>
      </c>
      <c r="Z62" s="3"/>
      <c r="AA62" s="3"/>
      <c r="AB62" s="3"/>
      <c r="AC62" s="3"/>
      <c r="AD62" s="8"/>
      <c r="AE62" s="8"/>
      <c r="AF62" s="8"/>
    </row>
    <row r="63" spans="1:32" x14ac:dyDescent="0.3">
      <c r="B63" s="92" t="s">
        <v>13</v>
      </c>
      <c r="C63" s="4">
        <v>0.54390000000000005</v>
      </c>
      <c r="D63" s="4">
        <v>2.0407999999999999</v>
      </c>
      <c r="E63" s="4">
        <v>1.3472</v>
      </c>
      <c r="F63" s="4">
        <v>1.0200000000000001E-2</v>
      </c>
      <c r="G63" s="4">
        <v>2.0118999999999998</v>
      </c>
      <c r="H63" s="4">
        <v>0.1</v>
      </c>
      <c r="I63" s="4">
        <v>0.17499999999999999</v>
      </c>
      <c r="J63" s="3"/>
      <c r="K63" s="3"/>
      <c r="L63" s="159" t="s">
        <v>13</v>
      </c>
      <c r="M63" s="41">
        <f>I63/0.01026</f>
        <v>17.056530214424949</v>
      </c>
      <c r="N63" s="4">
        <f>(M63*G63/H63)/1000000/F63</f>
        <v>3.3643169743530925E-2</v>
      </c>
      <c r="O63" s="4">
        <f>N63*D63/C63</f>
        <v>0.12623456667144312</v>
      </c>
      <c r="P63" s="4">
        <f>N63*0.1478+1.333</f>
        <v>1.3379724604880938</v>
      </c>
      <c r="Q63" s="41">
        <f>E63-(P63-1.333)</f>
        <v>1.3422275395119061</v>
      </c>
      <c r="R63" s="41">
        <f>(Q63-1.333)/0.1374</f>
        <v>6.715822061067056E-2</v>
      </c>
      <c r="S63" s="4">
        <f>R63*D63/C63</f>
        <v>0.25198841077818801</v>
      </c>
      <c r="T63" s="3"/>
      <c r="U63" s="3"/>
      <c r="V63" s="213" t="s">
        <v>13</v>
      </c>
      <c r="W63" s="7">
        <f>O63</f>
        <v>0.12623456667144312</v>
      </c>
      <c r="X63" s="7">
        <f>S63</f>
        <v>0.25198841077818801</v>
      </c>
      <c r="Y63" s="7">
        <f>1-X63-W63</f>
        <v>0.62177702255036893</v>
      </c>
      <c r="Z63" s="3"/>
      <c r="AA63" s="3"/>
      <c r="AB63" s="3"/>
      <c r="AC63" s="3"/>
    </row>
    <row r="64" spans="1:32" x14ac:dyDescent="0.3">
      <c r="B64" s="92" t="s">
        <v>14</v>
      </c>
      <c r="C64" s="4">
        <v>0.54710000000000003</v>
      </c>
      <c r="D64" s="4">
        <v>2.0459000000000001</v>
      </c>
      <c r="E64" s="4">
        <v>1.3471</v>
      </c>
      <c r="F64" s="4">
        <v>1.1599999999999999E-2</v>
      </c>
      <c r="G64" s="4">
        <v>2.0162</v>
      </c>
      <c r="H64" s="4">
        <v>0.1</v>
      </c>
      <c r="I64" s="4">
        <v>0.216</v>
      </c>
      <c r="J64" s="3"/>
      <c r="K64" s="3"/>
      <c r="L64" s="159" t="s">
        <v>14</v>
      </c>
      <c r="M64" s="41">
        <f t="shared" ref="M64:M65" si="24">I64/0.01026</f>
        <v>21.052631578947366</v>
      </c>
      <c r="N64" s="4">
        <f>(M64*G64/H64)/1000000/F64</f>
        <v>3.6591651542649727E-2</v>
      </c>
      <c r="O64" s="4">
        <f>N64*D64/C64</f>
        <v>0.13683578850503944</v>
      </c>
      <c r="P64" s="4">
        <f>N64*0.1478+1.333</f>
        <v>1.3384082460980036</v>
      </c>
      <c r="Q64" s="41">
        <f t="shared" ref="Q64:Q65" si="25">E64-(P64-1.333)</f>
        <v>1.3416917539019964</v>
      </c>
      <c r="R64" s="41">
        <f t="shared" ref="R64:R65" si="26">(Q64-1.333)/0.1374</f>
        <v>6.3258762023263401E-2</v>
      </c>
      <c r="S64" s="4">
        <f>R64*D64/C64</f>
        <v>0.23655840106633994</v>
      </c>
      <c r="T64" s="3"/>
      <c r="U64" s="3"/>
      <c r="V64" s="213" t="s">
        <v>14</v>
      </c>
      <c r="W64" s="7">
        <f>O64</f>
        <v>0.13683578850503944</v>
      </c>
      <c r="X64" s="7">
        <f>S64</f>
        <v>0.23655840106633994</v>
      </c>
      <c r="Y64" s="7">
        <f>1-X64-W64</f>
        <v>0.62660581042862062</v>
      </c>
      <c r="Z64" s="3"/>
      <c r="AA64" s="3"/>
      <c r="AB64" s="3"/>
      <c r="AC64" s="3"/>
    </row>
    <row r="65" spans="1:34" x14ac:dyDescent="0.3">
      <c r="B65" s="92" t="s">
        <v>15</v>
      </c>
      <c r="C65" s="4">
        <v>0.5423</v>
      </c>
      <c r="D65" s="4">
        <v>2.0398999999999998</v>
      </c>
      <c r="E65" s="4">
        <v>1.3472</v>
      </c>
      <c r="F65" s="4">
        <v>1.0200000000000001E-2</v>
      </c>
      <c r="G65" s="4">
        <v>2.0182000000000002</v>
      </c>
      <c r="H65" s="4">
        <v>0.1</v>
      </c>
      <c r="I65" s="4">
        <v>0.16400000000000001</v>
      </c>
      <c r="J65" s="3"/>
      <c r="K65" s="3"/>
      <c r="L65" s="159" t="s">
        <v>15</v>
      </c>
      <c r="M65" s="41">
        <f t="shared" si="24"/>
        <v>15.98440545808967</v>
      </c>
      <c r="N65" s="4">
        <f>(M65*G65/H65)/1000000/F65</f>
        <v>3.1627183426977026E-2</v>
      </c>
      <c r="O65" s="4">
        <f>N65*D65/C65</f>
        <v>0.1189678987141627</v>
      </c>
      <c r="P65" s="4">
        <f>N65*0.1478+1.333</f>
        <v>1.3376744977105071</v>
      </c>
      <c r="Q65" s="41">
        <f t="shared" si="25"/>
        <v>1.3425255022894929</v>
      </c>
      <c r="R65" s="41">
        <f t="shared" si="26"/>
        <v>6.9326799777968656E-2</v>
      </c>
      <c r="S65" s="4">
        <f>R65*D65/C65</f>
        <v>0.26077768553766967</v>
      </c>
      <c r="T65" s="3"/>
      <c r="U65" s="3"/>
      <c r="V65" s="213" t="s">
        <v>15</v>
      </c>
      <c r="W65" s="7">
        <f>O65</f>
        <v>0.1189678987141627</v>
      </c>
      <c r="X65" s="7">
        <f>S65</f>
        <v>0.26077768553766967</v>
      </c>
      <c r="Y65" s="7">
        <f>1-X65-W65</f>
        <v>0.62025441574816764</v>
      </c>
      <c r="Z65" s="159" t="s">
        <v>69</v>
      </c>
      <c r="AA65" s="159" t="s">
        <v>8</v>
      </c>
      <c r="AB65" s="3"/>
      <c r="AC65" s="3"/>
    </row>
    <row r="66" spans="1:34" x14ac:dyDescent="0.3">
      <c r="B66" s="92" t="s">
        <v>22</v>
      </c>
      <c r="C66" s="4">
        <f>AVERAGE(C63:C65)</f>
        <v>0.54443333333333344</v>
      </c>
      <c r="D66" s="4">
        <f>C66+1.5</f>
        <v>2.0444333333333335</v>
      </c>
      <c r="E66" s="4">
        <f>AVERAGE(E63:E65)</f>
        <v>1.3471666666666666</v>
      </c>
      <c r="F66" s="4">
        <f>AVERAGE(F63:F65)</f>
        <v>1.0666666666666666E-2</v>
      </c>
      <c r="G66" s="4">
        <f>AVERAGE(G63:G65)</f>
        <v>2.0154333333333336</v>
      </c>
      <c r="H66" s="4">
        <f>AVERAGE(H63:H65)</f>
        <v>0.10000000000000002</v>
      </c>
      <c r="I66" s="4">
        <f>AVERAGE(I63:I65)</f>
        <v>0.18500000000000003</v>
      </c>
      <c r="J66" s="3"/>
      <c r="K66" s="3"/>
      <c r="L66" s="159" t="s">
        <v>22</v>
      </c>
      <c r="M66" s="4">
        <f>AVERAGE(M63:M65)</f>
        <v>18.03118908382066</v>
      </c>
      <c r="N66" s="4">
        <f>AVERAGE(N63:N65)</f>
        <v>3.3954001571052557E-2</v>
      </c>
      <c r="O66" s="4">
        <f>AVERAGE(O64:O65)</f>
        <v>0.12790184360960108</v>
      </c>
      <c r="P66" s="4">
        <f>AVERAGE(P64:P65)</f>
        <v>1.3380413719042554</v>
      </c>
      <c r="Q66" s="4">
        <f>AVERAGE(Q64:Q65)</f>
        <v>1.3421086280957446</v>
      </c>
      <c r="R66" s="4">
        <f>AVERAGE(R64:R65)</f>
        <v>6.6292780900616022E-2</v>
      </c>
      <c r="S66" s="70">
        <f>AVERAGE(S63,S64)</f>
        <v>0.24427340592226399</v>
      </c>
      <c r="T66" s="13"/>
      <c r="U66" s="3"/>
      <c r="V66" s="213" t="s">
        <v>22</v>
      </c>
      <c r="W66" s="7">
        <f>AVERAGE(W63:W65)</f>
        <v>0.1273460846302151</v>
      </c>
      <c r="X66" s="7">
        <f>AVERAGE(X63:X65)</f>
        <v>0.24977483246073254</v>
      </c>
      <c r="Y66" s="7">
        <f>AVERAGE(Y63:Y65)</f>
        <v>0.62287908290905236</v>
      </c>
      <c r="Z66" s="41">
        <f>C66/0.5</f>
        <v>1.0888666666666669</v>
      </c>
      <c r="AA66" s="41">
        <f>C67/0.5</f>
        <v>4.888080741286248E-3</v>
      </c>
      <c r="AB66" s="3"/>
      <c r="AC66" s="3"/>
    </row>
    <row r="67" spans="1:34" x14ac:dyDescent="0.3">
      <c r="B67" s="92" t="s">
        <v>8</v>
      </c>
      <c r="C67" s="4">
        <f t="shared" ref="C67:I67" si="27">_xlfn.STDEV.S(C63:C65)</f>
        <v>2.444040370643124E-3</v>
      </c>
      <c r="D67" s="4">
        <f t="shared" si="27"/>
        <v>3.2357379374727906E-3</v>
      </c>
      <c r="E67" s="4">
        <f t="shared" si="27"/>
        <v>5.7735026918956222E-5</v>
      </c>
      <c r="F67" s="4">
        <f t="shared" si="27"/>
        <v>8.0829037686547516E-4</v>
      </c>
      <c r="G67" s="4">
        <f t="shared" si="27"/>
        <v>3.2192131543802181E-3</v>
      </c>
      <c r="H67" s="4">
        <f t="shared" si="27"/>
        <v>1.6996749443881478E-17</v>
      </c>
      <c r="I67" s="4">
        <f t="shared" si="27"/>
        <v>2.7404379212089221E-2</v>
      </c>
      <c r="J67" s="3"/>
      <c r="K67" s="3"/>
      <c r="L67" s="159" t="s">
        <v>8</v>
      </c>
      <c r="M67" s="4">
        <f>_xlfn.STDEV.S(M63:M65)</f>
        <v>2.6709921259346538</v>
      </c>
      <c r="N67" s="4">
        <f>_xlfn.STDEV.S(N63:N65)</f>
        <v>2.4967875834025293E-3</v>
      </c>
      <c r="O67" s="4">
        <f>_xlfn.STDEV.S(O64:O65)</f>
        <v>1.2634506036622823E-2</v>
      </c>
      <c r="P67" s="4">
        <f>_xlfn.STDEV.S(P64:P65)</f>
        <v>5.1883846048347913E-4</v>
      </c>
      <c r="Q67" s="4">
        <f>_xlfn.STDEV.S(Q64:Q65)</f>
        <v>5.8954913860212617E-4</v>
      </c>
      <c r="R67" s="4">
        <f>_xlfn.STDEV.S(R64:R65)</f>
        <v>4.290750644848078E-3</v>
      </c>
      <c r="S67" s="4">
        <f>_xlfn.STDEV.S(S64:S65)</f>
        <v>1.71256202851633E-2</v>
      </c>
      <c r="T67" s="3"/>
      <c r="U67" s="3"/>
      <c r="V67" s="213" t="s">
        <v>8</v>
      </c>
      <c r="W67" s="7">
        <f>_xlfn.STDEV.S(W63:W65)</f>
        <v>8.9856538729373367E-3</v>
      </c>
      <c r="X67" s="7">
        <f>_xlfn.STDEV.S(X63:X65)</f>
        <v>1.2260439706692014E-2</v>
      </c>
      <c r="Y67" s="7">
        <f>_xlfn.STDEV.S(Y63:Y65)</f>
        <v>3.3160151345188039E-3</v>
      </c>
      <c r="Z67" s="41">
        <f>C67/0.5</f>
        <v>4.888080741286248E-3</v>
      </c>
      <c r="AA67" s="4"/>
      <c r="AB67" s="3"/>
      <c r="AC67" s="3"/>
    </row>
    <row r="68" spans="1:34" x14ac:dyDescent="0.3">
      <c r="C68" s="3"/>
      <c r="D68" s="3"/>
      <c r="E68" s="3"/>
      <c r="F68" s="3"/>
      <c r="G68" s="3"/>
      <c r="H68" s="3"/>
      <c r="I68" s="3"/>
      <c r="J68" s="3"/>
      <c r="K68" s="3"/>
      <c r="L68" s="3"/>
      <c r="M68" s="3"/>
      <c r="N68" s="3"/>
      <c r="O68" s="3"/>
      <c r="P68" s="3"/>
      <c r="Q68" s="3"/>
      <c r="R68" s="3"/>
      <c r="S68" s="3"/>
      <c r="T68" s="3"/>
      <c r="U68" s="3"/>
      <c r="V68" s="83"/>
      <c r="W68" s="83"/>
      <c r="X68" s="83"/>
      <c r="Y68" s="83"/>
      <c r="Z68" s="3"/>
      <c r="AA68" s="3"/>
      <c r="AB68" s="3"/>
      <c r="AC68" s="3"/>
    </row>
    <row r="69" spans="1:34" x14ac:dyDescent="0.3">
      <c r="C69" s="3"/>
      <c r="D69" s="3"/>
      <c r="E69" s="3"/>
      <c r="F69" s="3"/>
      <c r="G69" s="3"/>
      <c r="H69" s="3"/>
      <c r="I69" s="3"/>
      <c r="J69" s="3"/>
      <c r="K69" s="3"/>
      <c r="L69" s="3"/>
      <c r="M69" s="3"/>
      <c r="N69" s="3"/>
      <c r="O69" s="3"/>
      <c r="P69" s="3"/>
      <c r="Q69" s="3"/>
      <c r="R69" s="3"/>
      <c r="S69" s="3"/>
      <c r="T69" s="3"/>
      <c r="U69" s="3"/>
      <c r="V69" s="83"/>
      <c r="W69" s="83"/>
      <c r="X69" s="83"/>
      <c r="Y69" s="83"/>
      <c r="Z69" s="3"/>
      <c r="AA69" s="3"/>
      <c r="AB69" s="3"/>
      <c r="AC69" s="3"/>
    </row>
    <row r="70" spans="1:34" x14ac:dyDescent="0.3">
      <c r="C70" s="3"/>
      <c r="D70" s="3"/>
      <c r="E70" s="3"/>
      <c r="F70" s="3"/>
      <c r="G70" s="3"/>
      <c r="H70" s="3"/>
      <c r="I70" s="3"/>
      <c r="J70" s="3"/>
      <c r="K70" s="3"/>
      <c r="L70" s="3"/>
      <c r="M70" s="3"/>
      <c r="N70" s="3"/>
      <c r="O70" s="3"/>
      <c r="P70" s="3"/>
      <c r="Q70" s="3"/>
      <c r="R70" s="3"/>
      <c r="S70" s="3"/>
      <c r="T70" s="3"/>
      <c r="U70" s="3"/>
      <c r="V70" s="293" t="s">
        <v>20</v>
      </c>
      <c r="W70" s="294"/>
      <c r="X70" s="294"/>
      <c r="Y70" s="295"/>
      <c r="Z70" s="3"/>
      <c r="AA70" s="3"/>
      <c r="AB70" s="3"/>
      <c r="AC70" s="3"/>
      <c r="AG70" s="8"/>
      <c r="AH70" s="8"/>
    </row>
    <row r="71" spans="1:34" x14ac:dyDescent="0.3">
      <c r="B71" s="92" t="s">
        <v>11</v>
      </c>
      <c r="C71" s="159" t="s">
        <v>23</v>
      </c>
      <c r="D71" s="159" t="s">
        <v>32</v>
      </c>
      <c r="E71" s="159" t="s">
        <v>24</v>
      </c>
      <c r="F71" s="159" t="s">
        <v>25</v>
      </c>
      <c r="G71" s="159" t="s">
        <v>28</v>
      </c>
      <c r="H71" s="159" t="s">
        <v>27</v>
      </c>
      <c r="I71" s="159" t="s">
        <v>26</v>
      </c>
      <c r="J71" s="3"/>
      <c r="K71" s="3"/>
      <c r="L71" s="159" t="s">
        <v>11</v>
      </c>
      <c r="M71" s="159" t="s">
        <v>30</v>
      </c>
      <c r="N71" s="159" t="s">
        <v>34</v>
      </c>
      <c r="O71" s="159" t="s">
        <v>35</v>
      </c>
      <c r="P71" s="159" t="s">
        <v>37</v>
      </c>
      <c r="Q71" s="159" t="s">
        <v>38</v>
      </c>
      <c r="R71" s="159" t="s">
        <v>39</v>
      </c>
      <c r="S71" s="159" t="s">
        <v>47</v>
      </c>
      <c r="T71" s="3"/>
      <c r="U71" s="3"/>
      <c r="V71" s="213" t="s">
        <v>11</v>
      </c>
      <c r="W71" s="213" t="s">
        <v>17</v>
      </c>
      <c r="X71" s="213" t="s">
        <v>18</v>
      </c>
      <c r="Y71" s="213" t="s">
        <v>44</v>
      </c>
      <c r="Z71" s="3"/>
      <c r="AA71" s="3"/>
      <c r="AB71" s="3"/>
      <c r="AC71" s="3"/>
      <c r="AG71" s="8"/>
      <c r="AH71" s="8"/>
    </row>
    <row r="72" spans="1:34" x14ac:dyDescent="0.3">
      <c r="B72" s="92" t="s">
        <v>13</v>
      </c>
      <c r="C72" s="4">
        <v>0.61580000000000001</v>
      </c>
      <c r="D72" s="4">
        <v>2.1135000000000002</v>
      </c>
      <c r="E72" s="4">
        <v>1.3573999999999999</v>
      </c>
      <c r="F72" s="4">
        <v>1.06E-2</v>
      </c>
      <c r="G72" s="4">
        <v>2.0121000000000002</v>
      </c>
      <c r="H72" s="4">
        <v>0.1</v>
      </c>
      <c r="I72" s="4">
        <v>0.875</v>
      </c>
      <c r="J72" s="3"/>
      <c r="K72" s="3"/>
      <c r="L72" s="159" t="s">
        <v>13</v>
      </c>
      <c r="M72" s="41">
        <f>I72/0.01026</f>
        <v>85.28265107212475</v>
      </c>
      <c r="N72" s="4">
        <f>(M72*G72/H72)/1000000/F72</f>
        <v>0.16188417190775681</v>
      </c>
      <c r="O72" s="4">
        <f>N72*D72/C72</f>
        <v>0.55560603658175389</v>
      </c>
      <c r="P72" s="4">
        <f>N72*0.1478+1.333</f>
        <v>1.3569264806079664</v>
      </c>
      <c r="Q72" s="41">
        <f>E72-(P72-1.333)</f>
        <v>1.3334735193920335</v>
      </c>
      <c r="R72" s="41">
        <f>(Q72-1.333)/0.1374</f>
        <v>3.4462837848147753E-3</v>
      </c>
      <c r="S72" s="4">
        <f>R72*D72/C72</f>
        <v>1.1828062324141001E-2</v>
      </c>
      <c r="T72" s="3"/>
      <c r="U72" s="3"/>
      <c r="V72" s="213" t="s">
        <v>13</v>
      </c>
      <c r="W72" s="7">
        <f>O72</f>
        <v>0.55560603658175389</v>
      </c>
      <c r="X72" s="7">
        <f>S72</f>
        <v>1.1828062324141001E-2</v>
      </c>
      <c r="Y72" s="7">
        <f>1-X72-W72</f>
        <v>0.43256590109410509</v>
      </c>
      <c r="Z72" s="3"/>
      <c r="AA72" s="3"/>
      <c r="AB72" s="3"/>
      <c r="AC72" s="3"/>
      <c r="AG72" s="12"/>
      <c r="AH72" s="12"/>
    </row>
    <row r="73" spans="1:34" x14ac:dyDescent="0.3">
      <c r="B73" s="92" t="s">
        <v>14</v>
      </c>
      <c r="C73" s="4">
        <v>0.61699999999999999</v>
      </c>
      <c r="D73" s="4">
        <v>2.1152000000000002</v>
      </c>
      <c r="E73" s="4">
        <v>1.3576999999999999</v>
      </c>
      <c r="F73" s="4">
        <v>1.06E-2</v>
      </c>
      <c r="G73" s="4">
        <v>2.0121000000000002</v>
      </c>
      <c r="H73" s="4">
        <v>0.1</v>
      </c>
      <c r="I73" s="4">
        <v>0.90200000000000002</v>
      </c>
      <c r="J73" s="3"/>
      <c r="K73" s="3"/>
      <c r="L73" s="159" t="s">
        <v>14</v>
      </c>
      <c r="M73" s="41">
        <f t="shared" ref="M73:M74" si="28">I73/0.01026</f>
        <v>87.914230019493175</v>
      </c>
      <c r="N73" s="4">
        <f>(M73*G73/H73)/1000000/F73</f>
        <v>0.16687945492662476</v>
      </c>
      <c r="O73" s="4">
        <f>N73*D73/C73</f>
        <v>0.57209630966093472</v>
      </c>
      <c r="P73" s="4">
        <f>N73*0.1478+1.333</f>
        <v>1.357664783438155</v>
      </c>
      <c r="Q73" s="41">
        <f t="shared" ref="Q73:Q74" si="29">E73-(P73-1.333)</f>
        <v>1.3330352165618449</v>
      </c>
      <c r="R73" s="41">
        <f t="shared" ref="R73:R74" si="30">(Q73-1.333)/0.1374</f>
        <v>2.5630685476643752E-4</v>
      </c>
      <c r="S73" s="4">
        <f>R73*D73/C73</f>
        <v>8.7867140875521666E-4</v>
      </c>
      <c r="T73" s="3"/>
      <c r="U73" s="3"/>
      <c r="V73" s="213" t="s">
        <v>14</v>
      </c>
      <c r="W73" s="7">
        <f>O73</f>
        <v>0.57209630966093472</v>
      </c>
      <c r="X73" s="7">
        <f>S73</f>
        <v>8.7867140875521666E-4</v>
      </c>
      <c r="Y73" s="7">
        <f>1-X73-W73</f>
        <v>0.42702501893031009</v>
      </c>
      <c r="Z73" s="3"/>
      <c r="AA73" s="3"/>
      <c r="AB73" s="3"/>
      <c r="AC73" s="3"/>
      <c r="AG73" s="12"/>
      <c r="AH73" s="12"/>
    </row>
    <row r="74" spans="1:34" x14ac:dyDescent="0.3">
      <c r="B74" s="92" t="s">
        <v>15</v>
      </c>
      <c r="C74" s="4">
        <v>0.60899999999999999</v>
      </c>
      <c r="D74" s="4">
        <v>2.1082999999999998</v>
      </c>
      <c r="E74" s="4">
        <v>1.3573999999999999</v>
      </c>
      <c r="F74" s="4">
        <v>1.0699999999999999E-2</v>
      </c>
      <c r="G74" s="4">
        <v>2.0158999999999998</v>
      </c>
      <c r="H74" s="4">
        <v>0.1</v>
      </c>
      <c r="I74" s="4">
        <v>0.96599999999999997</v>
      </c>
      <c r="J74" s="3"/>
      <c r="K74" s="3"/>
      <c r="L74" s="159" t="s">
        <v>15</v>
      </c>
      <c r="M74" s="41">
        <f t="shared" si="28"/>
        <v>94.152046783625721</v>
      </c>
      <c r="N74" s="4">
        <f>(M74*G74/H74)/1000000/F74</f>
        <v>0.1773842159916926</v>
      </c>
      <c r="O74" s="4">
        <f>N74*D74/C74</f>
        <v>0.61408726202838337</v>
      </c>
      <c r="P74" s="4">
        <f>N74*0.1478+1.333</f>
        <v>1.3592173871235722</v>
      </c>
      <c r="Q74" s="41">
        <f t="shared" si="29"/>
        <v>1.3311826128764277</v>
      </c>
      <c r="R74" s="41">
        <f t="shared" si="30"/>
        <v>-1.322698052090442E-2</v>
      </c>
      <c r="S74" s="4">
        <f>R74*D74/C74</f>
        <v>-4.5790546850940542E-2</v>
      </c>
      <c r="T74" s="3"/>
      <c r="U74" s="3"/>
      <c r="V74" s="213" t="s">
        <v>15</v>
      </c>
      <c r="W74" s="7">
        <f>O74</f>
        <v>0.61408726202838337</v>
      </c>
      <c r="X74" s="7">
        <f>S74</f>
        <v>-4.5790546850940542E-2</v>
      </c>
      <c r="Y74" s="7">
        <f>1-X74-W74</f>
        <v>0.43170328482255715</v>
      </c>
      <c r="Z74" s="159" t="s">
        <v>69</v>
      </c>
      <c r="AA74" s="159" t="s">
        <v>8</v>
      </c>
      <c r="AB74" s="203"/>
      <c r="AC74" s="203"/>
      <c r="AG74" s="12"/>
      <c r="AH74" s="12"/>
    </row>
    <row r="75" spans="1:34" x14ac:dyDescent="0.3">
      <c r="B75" s="92" t="s">
        <v>22</v>
      </c>
      <c r="C75" s="4">
        <f>AVERAGE(C72:C74)</f>
        <v>0.61393333333333333</v>
      </c>
      <c r="D75" s="4">
        <f>C75+1.5</f>
        <v>2.1139333333333332</v>
      </c>
      <c r="E75" s="4">
        <f>AVERAGE(E72:E74)</f>
        <v>1.3574999999999999</v>
      </c>
      <c r="F75" s="4">
        <f>AVERAGE(F72:F74)</f>
        <v>1.0633333333333333E-2</v>
      </c>
      <c r="G75" s="4">
        <f>AVERAGE(G72:G74)</f>
        <v>2.0133666666666667</v>
      </c>
      <c r="H75" s="4">
        <f>AVERAGE(H72:H74)</f>
        <v>0.10000000000000002</v>
      </c>
      <c r="I75" s="4">
        <f>AVERAGE(I72:I74)</f>
        <v>0.91433333333333344</v>
      </c>
      <c r="J75" s="3"/>
      <c r="K75" s="3"/>
      <c r="L75" s="159" t="s">
        <v>22</v>
      </c>
      <c r="M75" s="4">
        <f t="shared" ref="M75:R75" si="31">AVERAGE(M72:M74)</f>
        <v>89.116309291747882</v>
      </c>
      <c r="N75" s="4">
        <f t="shared" si="31"/>
        <v>0.16871594760869138</v>
      </c>
      <c r="O75" s="4">
        <f t="shared" si="31"/>
        <v>0.58059653609035733</v>
      </c>
      <c r="P75" s="4">
        <f t="shared" si="31"/>
        <v>1.3579362170565645</v>
      </c>
      <c r="Q75" s="4">
        <f t="shared" si="31"/>
        <v>1.3325637829434356</v>
      </c>
      <c r="R75" s="4">
        <f t="shared" si="31"/>
        <v>-3.1747966271077357E-3</v>
      </c>
      <c r="S75" s="70">
        <f>AVERAGE(S72,S73)</f>
        <v>6.3533668664481086E-3</v>
      </c>
      <c r="T75" s="3"/>
      <c r="U75" s="3"/>
      <c r="V75" s="213" t="s">
        <v>22</v>
      </c>
      <c r="W75" s="7">
        <f>AVERAGE(W72:W73)</f>
        <v>0.56385117312134425</v>
      </c>
      <c r="X75" s="7">
        <f>ABS(AVERAGE(X72:X73))</f>
        <v>6.3533668664481086E-3</v>
      </c>
      <c r="Y75" s="7">
        <f>AVERAGE(Y72:Y73)</f>
        <v>0.42979546001220759</v>
      </c>
      <c r="Z75" s="41">
        <f>C75/0.5</f>
        <v>1.2278666666666667</v>
      </c>
      <c r="AA75" s="41">
        <f>C76/0.5</f>
        <v>8.6286344999271826E-3</v>
      </c>
      <c r="AB75" s="203"/>
      <c r="AC75" s="203"/>
      <c r="AG75" s="12"/>
      <c r="AH75" s="12"/>
    </row>
    <row r="76" spans="1:34" x14ac:dyDescent="0.3">
      <c r="B76" s="92" t="s">
        <v>8</v>
      </c>
      <c r="C76" s="4">
        <f t="shared" ref="C76:I76" si="32">_xlfn.STDEV.S(C72:C74)</f>
        <v>4.3143172499635913E-3</v>
      </c>
      <c r="D76" s="4">
        <f t="shared" si="32"/>
        <v>3.5949038002893352E-3</v>
      </c>
      <c r="E76" s="4">
        <f t="shared" si="32"/>
        <v>1.7320508075686865E-4</v>
      </c>
      <c r="F76" s="4">
        <f t="shared" si="32"/>
        <v>5.7735026918962226E-5</v>
      </c>
      <c r="G76" s="4">
        <f t="shared" si="32"/>
        <v>2.1939310229203363E-3</v>
      </c>
      <c r="H76" s="4">
        <f t="shared" si="32"/>
        <v>1.6996749443881478E-17</v>
      </c>
      <c r="I76" s="4">
        <f t="shared" si="32"/>
        <v>4.6736851983561443E-2</v>
      </c>
      <c r="J76" s="3"/>
      <c r="K76" s="3"/>
      <c r="L76" s="159" t="s">
        <v>8</v>
      </c>
      <c r="M76" s="4">
        <f t="shared" ref="M76:R76" si="33">_xlfn.STDEV.S(M72:M74)</f>
        <v>4.5552487313412708</v>
      </c>
      <c r="N76" s="4">
        <f t="shared" si="33"/>
        <v>7.9115340282053682E-3</v>
      </c>
      <c r="O76" s="4">
        <f t="shared" si="33"/>
        <v>3.0153006806095919E-2</v>
      </c>
      <c r="P76" s="4">
        <f t="shared" si="33"/>
        <v>1.1693247293688208E-3</v>
      </c>
      <c r="Q76" s="4">
        <f t="shared" si="33"/>
        <v>1.216038818556509E-3</v>
      </c>
      <c r="R76" s="4">
        <f t="shared" si="33"/>
        <v>8.8503553024491203E-3</v>
      </c>
      <c r="S76" s="4">
        <f>_xlfn.STDEV.S(S73:S74)</f>
        <v>3.3000120704105913E-2</v>
      </c>
      <c r="T76" s="3"/>
      <c r="U76" s="3"/>
      <c r="V76" s="213" t="s">
        <v>8</v>
      </c>
      <c r="W76" s="7">
        <f>_xlfn.STDEV.S(W72:W74)</f>
        <v>3.0153006806095919E-2</v>
      </c>
      <c r="X76" s="7">
        <f>_xlfn.STDEV.S(X72:X74)</f>
        <v>3.0599044695490751E-2</v>
      </c>
      <c r="Y76" s="7">
        <f>_xlfn.STDEV.S(Y72:Y74)</f>
        <v>2.981377023668848E-3</v>
      </c>
      <c r="Z76" s="41">
        <f>C76/0.5</f>
        <v>8.6286344999271826E-3</v>
      </c>
      <c r="AA76" s="4"/>
      <c r="AB76" s="203"/>
      <c r="AC76" s="203"/>
      <c r="AG76" s="12"/>
      <c r="AH76" s="12"/>
    </row>
    <row r="77" spans="1:34" x14ac:dyDescent="0.3">
      <c r="C77" s="3"/>
      <c r="D77" s="3"/>
      <c r="E77" s="3"/>
      <c r="F77" s="3"/>
      <c r="G77" s="3"/>
      <c r="H77" s="3"/>
      <c r="I77" s="3"/>
      <c r="J77" s="3"/>
      <c r="K77" s="3"/>
      <c r="L77" s="3"/>
      <c r="M77" s="3"/>
      <c r="N77" s="3"/>
      <c r="O77" s="3"/>
      <c r="P77" s="3"/>
      <c r="Q77" s="3"/>
      <c r="R77" s="3"/>
      <c r="S77" s="3"/>
      <c r="T77" s="3"/>
      <c r="U77" s="3"/>
      <c r="V77" s="83"/>
      <c r="W77" s="83"/>
      <c r="X77" s="83"/>
      <c r="Y77" s="83"/>
      <c r="Z77" s="3"/>
      <c r="AA77" s="3"/>
      <c r="AB77" s="3"/>
      <c r="AC77" s="3"/>
      <c r="AG77" s="12"/>
      <c r="AH77" s="12"/>
    </row>
    <row r="78" spans="1:34" x14ac:dyDescent="0.3">
      <c r="C78" s="3"/>
      <c r="D78" s="3"/>
      <c r="E78" s="3"/>
      <c r="F78" s="3"/>
      <c r="G78" s="3"/>
      <c r="H78" s="3"/>
      <c r="I78" s="3"/>
      <c r="J78" s="3"/>
      <c r="K78" s="3"/>
      <c r="L78" s="3"/>
      <c r="M78" s="3"/>
      <c r="N78" s="3"/>
      <c r="O78" s="3"/>
      <c r="P78" s="3"/>
      <c r="Q78" s="3"/>
      <c r="R78" s="3"/>
      <c r="S78" s="3"/>
      <c r="T78" s="3"/>
      <c r="U78" s="3"/>
      <c r="V78" s="83"/>
      <c r="W78" s="83"/>
      <c r="X78" s="83"/>
      <c r="Y78" s="83"/>
      <c r="Z78" s="3"/>
      <c r="AA78" s="3"/>
      <c r="AB78" s="3"/>
      <c r="AC78" s="3"/>
      <c r="AG78" s="8"/>
      <c r="AH78" s="8"/>
    </row>
    <row r="79" spans="1:34" x14ac:dyDescent="0.3">
      <c r="A79" s="208" t="s">
        <v>56</v>
      </c>
      <c r="C79" s="3"/>
      <c r="D79" s="3"/>
      <c r="E79" s="3"/>
      <c r="F79" s="3"/>
      <c r="G79" s="3"/>
      <c r="H79" s="3"/>
      <c r="I79" s="3"/>
      <c r="J79" s="3"/>
      <c r="K79" s="3"/>
      <c r="L79" s="3"/>
      <c r="M79" s="3"/>
      <c r="N79" s="3"/>
      <c r="O79" s="3"/>
      <c r="P79" s="3"/>
      <c r="Q79" s="3"/>
      <c r="R79" s="3"/>
      <c r="S79" s="3"/>
      <c r="T79" s="3"/>
      <c r="U79" s="3"/>
      <c r="V79" s="83"/>
      <c r="W79" s="83">
        <f>W66</f>
        <v>0.1273460846302151</v>
      </c>
      <c r="X79" s="83">
        <f>X66</f>
        <v>0.24977483246073254</v>
      </c>
      <c r="Y79" s="83"/>
      <c r="Z79" s="3"/>
      <c r="AA79" s="3"/>
      <c r="AB79" s="3"/>
      <c r="AC79" s="3"/>
      <c r="AG79" s="8"/>
      <c r="AH79" s="8"/>
    </row>
    <row r="80" spans="1:34" x14ac:dyDescent="0.3">
      <c r="B80" s="92"/>
      <c r="C80" s="297" t="s">
        <v>19</v>
      </c>
      <c r="D80" s="297"/>
      <c r="E80" s="297"/>
      <c r="F80" s="204"/>
      <c r="G80" s="129"/>
      <c r="H80" s="129"/>
      <c r="I80" s="159"/>
      <c r="J80" s="297" t="s">
        <v>20</v>
      </c>
      <c r="K80" s="297"/>
      <c r="L80" s="159"/>
      <c r="M80" s="3"/>
      <c r="N80" s="3"/>
      <c r="O80" s="3"/>
      <c r="P80" s="3"/>
      <c r="Q80" s="3"/>
      <c r="R80" s="3"/>
      <c r="S80" s="3"/>
      <c r="T80" s="3"/>
      <c r="U80" s="3"/>
      <c r="V80" s="83"/>
      <c r="W80" s="83">
        <f>W75</f>
        <v>0.56385117312134425</v>
      </c>
      <c r="X80" s="83">
        <f>X75</f>
        <v>6.3533668664481086E-3</v>
      </c>
      <c r="Y80" s="83"/>
      <c r="Z80" s="3"/>
      <c r="AA80" s="3"/>
      <c r="AB80" s="3"/>
      <c r="AC80" s="3"/>
    </row>
    <row r="81" spans="2:32" x14ac:dyDescent="0.3">
      <c r="B81" s="92" t="s">
        <v>12</v>
      </c>
      <c r="C81" s="159" t="s">
        <v>51</v>
      </c>
      <c r="D81" s="159" t="s">
        <v>61</v>
      </c>
      <c r="E81" s="159" t="s">
        <v>21</v>
      </c>
      <c r="F81" s="3"/>
      <c r="G81" s="3"/>
      <c r="H81" s="3"/>
      <c r="I81" s="159" t="s">
        <v>12</v>
      </c>
      <c r="J81" s="159" t="s">
        <v>17</v>
      </c>
      <c r="K81" s="159" t="s">
        <v>18</v>
      </c>
      <c r="L81" s="159" t="s">
        <v>44</v>
      </c>
      <c r="M81" s="3"/>
      <c r="N81" s="3"/>
      <c r="O81" s="3"/>
      <c r="P81" s="3"/>
      <c r="Q81" s="3"/>
      <c r="R81" s="3"/>
      <c r="S81" s="3"/>
      <c r="T81" s="3"/>
      <c r="U81" s="3"/>
      <c r="V81" s="83"/>
      <c r="W81" s="83">
        <f>J59</f>
        <v>0.29940119760479045</v>
      </c>
      <c r="X81" s="83">
        <f>K59</f>
        <v>0.14990019960079842</v>
      </c>
      <c r="Y81" s="83"/>
      <c r="Z81" s="3"/>
      <c r="AA81" s="3"/>
      <c r="AB81" s="3"/>
      <c r="AC81" s="3"/>
    </row>
    <row r="82" spans="2:32" x14ac:dyDescent="0.3">
      <c r="B82" s="92" t="s">
        <v>13</v>
      </c>
      <c r="C82" s="4">
        <v>5</v>
      </c>
      <c r="D82" s="4">
        <v>5</v>
      </c>
      <c r="E82" s="4">
        <f>SUM(C82:D82)</f>
        <v>10</v>
      </c>
      <c r="F82" s="3"/>
      <c r="G82" s="3"/>
      <c r="H82" s="3"/>
      <c r="I82" s="159" t="s">
        <v>13</v>
      </c>
      <c r="J82" s="7">
        <f>C82*0.6/E82</f>
        <v>0.3</v>
      </c>
      <c r="K82" s="7">
        <f>D82*0.4/E82</f>
        <v>0.2</v>
      </c>
      <c r="L82" s="7">
        <f>1-K82-J82</f>
        <v>0.5</v>
      </c>
      <c r="M82" s="3"/>
      <c r="N82" s="3"/>
      <c r="O82" s="3"/>
      <c r="P82" s="3"/>
      <c r="Q82" s="3"/>
      <c r="R82" s="3"/>
      <c r="S82" s="3"/>
      <c r="T82" s="3"/>
      <c r="U82" s="3"/>
      <c r="V82" s="207" t="s">
        <v>12</v>
      </c>
      <c r="W82" s="207" t="s">
        <v>17</v>
      </c>
      <c r="X82" s="207" t="s">
        <v>18</v>
      </c>
      <c r="Y82" s="207" t="s">
        <v>44</v>
      </c>
      <c r="Z82" s="3"/>
      <c r="AA82" s="3"/>
      <c r="AB82" s="3"/>
      <c r="AC82" s="3"/>
    </row>
    <row r="83" spans="2:32" x14ac:dyDescent="0.3">
      <c r="B83" s="2"/>
      <c r="C83" s="4"/>
      <c r="D83" s="4"/>
      <c r="E83" s="4"/>
      <c r="F83" s="3"/>
      <c r="G83" s="3"/>
      <c r="H83" s="3"/>
      <c r="I83" s="159"/>
      <c r="J83" s="7"/>
      <c r="K83" s="7"/>
      <c r="L83" s="7"/>
      <c r="M83" s="3"/>
      <c r="N83" s="3"/>
      <c r="O83" s="3"/>
      <c r="P83" s="3"/>
      <c r="Q83" s="3"/>
      <c r="R83" s="3"/>
      <c r="S83" s="3"/>
      <c r="T83" s="3"/>
      <c r="U83" s="3"/>
      <c r="V83" s="207" t="s">
        <v>13</v>
      </c>
      <c r="W83" s="207">
        <f>J85</f>
        <v>0.3</v>
      </c>
      <c r="X83" s="207">
        <f>K85</f>
        <v>0.2</v>
      </c>
      <c r="Y83" s="207">
        <f>L85</f>
        <v>0.5</v>
      </c>
      <c r="Z83" s="3"/>
      <c r="AA83" s="3"/>
      <c r="AB83" s="3"/>
      <c r="AC83" s="3"/>
    </row>
    <row r="84" spans="2:32" x14ac:dyDescent="0.3">
      <c r="B84" s="2"/>
      <c r="C84" s="4"/>
      <c r="D84" s="4"/>
      <c r="E84" s="4"/>
      <c r="F84" s="3"/>
      <c r="G84" s="3"/>
      <c r="H84" s="3"/>
      <c r="I84" s="159"/>
      <c r="J84" s="7"/>
      <c r="K84" s="7"/>
      <c r="L84" s="7"/>
      <c r="M84" s="3"/>
      <c r="N84" s="3"/>
      <c r="O84" s="3"/>
      <c r="P84" s="3" t="s">
        <v>1</v>
      </c>
      <c r="Q84" s="3" t="s">
        <v>42</v>
      </c>
      <c r="R84" s="3"/>
      <c r="S84" s="3"/>
      <c r="T84" s="3"/>
      <c r="U84" s="3"/>
      <c r="V84" s="207" t="s">
        <v>53</v>
      </c>
      <c r="W84" s="207">
        <f>W92</f>
        <v>0.11217741051405894</v>
      </c>
      <c r="X84" s="207">
        <f>X92</f>
        <v>0.31725463897325273</v>
      </c>
      <c r="Y84" s="207">
        <f>Y92</f>
        <v>0.57056795051268827</v>
      </c>
      <c r="Z84" s="3"/>
      <c r="AA84" s="3"/>
      <c r="AB84" s="3"/>
      <c r="AC84" s="3"/>
    </row>
    <row r="85" spans="2:32" x14ac:dyDescent="0.3">
      <c r="C85" s="3"/>
      <c r="D85" s="3"/>
      <c r="E85" s="3"/>
      <c r="F85" s="3"/>
      <c r="G85" s="3"/>
      <c r="H85" s="3"/>
      <c r="I85" s="159" t="s">
        <v>22</v>
      </c>
      <c r="J85" s="7">
        <f>AVERAGE(J82:J84)</f>
        <v>0.3</v>
      </c>
      <c r="K85" s="7">
        <f>AVERAGE(K82:K84)</f>
        <v>0.2</v>
      </c>
      <c r="L85" s="7">
        <f>AVERAGE(L82:L84)</f>
        <v>0.5</v>
      </c>
      <c r="M85" s="3"/>
      <c r="N85" s="3"/>
      <c r="O85" s="3"/>
      <c r="P85" s="3" t="s">
        <v>0</v>
      </c>
      <c r="Q85" s="3" t="s">
        <v>59</v>
      </c>
      <c r="R85" s="3"/>
      <c r="S85" s="3"/>
      <c r="T85" s="3"/>
      <c r="U85" s="3"/>
      <c r="V85" s="207" t="s">
        <v>14</v>
      </c>
      <c r="W85" s="207">
        <f>W101</f>
        <v>0.62623819397190306</v>
      </c>
      <c r="X85" s="207">
        <v>1E-3</v>
      </c>
      <c r="Y85" s="207">
        <f>Y101</f>
        <v>0.35372139423902266</v>
      </c>
      <c r="Z85" s="3"/>
      <c r="AA85" s="3"/>
      <c r="AB85" s="3"/>
      <c r="AC85" s="3"/>
    </row>
    <row r="86" spans="2:32" x14ac:dyDescent="0.3">
      <c r="B86" t="s">
        <v>31</v>
      </c>
      <c r="C86" s="3"/>
      <c r="D86" s="3"/>
      <c r="E86" s="3"/>
      <c r="F86" s="3"/>
      <c r="G86" s="3"/>
      <c r="H86" s="3"/>
      <c r="I86" s="159" t="s">
        <v>8</v>
      </c>
      <c r="J86" s="7" t="e">
        <f>_xlfn.STDEV.S(J82:J84)</f>
        <v>#DIV/0!</v>
      </c>
      <c r="K86" s="7" t="e">
        <f>_xlfn.STDEV.S(K82:K84)</f>
        <v>#DIV/0!</v>
      </c>
      <c r="L86" s="7" t="e">
        <f>_xlfn.STDEV.S(L82:L84)</f>
        <v>#DIV/0!</v>
      </c>
      <c r="M86" s="3"/>
      <c r="N86" s="3"/>
      <c r="O86" s="3"/>
      <c r="P86" s="3"/>
      <c r="Q86" s="3"/>
      <c r="R86" s="3"/>
      <c r="S86" s="3"/>
      <c r="T86" s="3"/>
      <c r="U86" s="3"/>
      <c r="V86" s="83"/>
      <c r="W86" s="83"/>
      <c r="X86" s="83"/>
      <c r="Y86" s="83"/>
      <c r="Z86" s="3"/>
      <c r="AA86" s="3"/>
      <c r="AB86" s="3"/>
      <c r="AC86" s="3"/>
      <c r="AD86" s="8"/>
      <c r="AE86" s="8"/>
      <c r="AF86" s="8"/>
    </row>
    <row r="87" spans="2:32" x14ac:dyDescent="0.3">
      <c r="B87">
        <v>1.5</v>
      </c>
      <c r="C87" s="3"/>
      <c r="D87" s="3"/>
      <c r="E87" s="3"/>
      <c r="F87" s="3"/>
      <c r="G87" s="3"/>
      <c r="H87" s="3"/>
      <c r="I87" s="3"/>
      <c r="J87" s="3"/>
      <c r="K87" s="3"/>
      <c r="L87" s="3"/>
      <c r="M87" s="3"/>
      <c r="N87" s="3"/>
      <c r="O87" s="3"/>
      <c r="P87" s="3"/>
      <c r="Q87" s="3"/>
      <c r="R87" s="3"/>
      <c r="S87" s="3"/>
      <c r="T87" s="3"/>
      <c r="U87" s="3"/>
      <c r="V87" s="210" t="s">
        <v>20</v>
      </c>
      <c r="W87" s="211"/>
      <c r="X87" s="211"/>
      <c r="Y87" s="212"/>
      <c r="Z87" s="3"/>
      <c r="AA87" s="3"/>
      <c r="AB87" s="3"/>
      <c r="AC87" s="3"/>
      <c r="AD87" s="8"/>
      <c r="AE87" s="8"/>
      <c r="AF87" s="8"/>
    </row>
    <row r="88" spans="2:32" x14ac:dyDescent="0.3">
      <c r="B88" s="92" t="s">
        <v>10</v>
      </c>
      <c r="C88" s="159" t="s">
        <v>23</v>
      </c>
      <c r="D88" s="159" t="s">
        <v>32</v>
      </c>
      <c r="E88" s="159" t="s">
        <v>24</v>
      </c>
      <c r="F88" s="159" t="s">
        <v>33</v>
      </c>
      <c r="G88" s="159" t="s">
        <v>28</v>
      </c>
      <c r="H88" s="159" t="s">
        <v>27</v>
      </c>
      <c r="I88" s="159" t="s">
        <v>26</v>
      </c>
      <c r="J88" s="3"/>
      <c r="K88" s="3"/>
      <c r="L88" s="159" t="s">
        <v>10</v>
      </c>
      <c r="M88" s="159" t="s">
        <v>30</v>
      </c>
      <c r="N88" s="159" t="s">
        <v>36</v>
      </c>
      <c r="O88" s="159" t="s">
        <v>35</v>
      </c>
      <c r="P88" s="159" t="s">
        <v>37</v>
      </c>
      <c r="Q88" s="159" t="s">
        <v>38</v>
      </c>
      <c r="R88" s="159" t="s">
        <v>39</v>
      </c>
      <c r="S88" s="159" t="s">
        <v>47</v>
      </c>
      <c r="T88" s="3"/>
      <c r="U88" s="3"/>
      <c r="V88" s="213" t="s">
        <v>10</v>
      </c>
      <c r="W88" s="213" t="s">
        <v>17</v>
      </c>
      <c r="X88" s="213" t="s">
        <v>18</v>
      </c>
      <c r="Y88" s="213" t="s">
        <v>44</v>
      </c>
      <c r="Z88" s="3"/>
      <c r="AA88" s="3"/>
      <c r="AB88" s="3"/>
      <c r="AC88" s="3"/>
      <c r="AD88" s="8"/>
      <c r="AE88" s="8"/>
      <c r="AF88" s="8"/>
    </row>
    <row r="89" spans="2:32" x14ac:dyDescent="0.3">
      <c r="B89" s="92" t="s">
        <v>13</v>
      </c>
      <c r="C89" s="4">
        <v>0.53759999999999997</v>
      </c>
      <c r="D89" s="4">
        <v>2.0369999999999999</v>
      </c>
      <c r="E89" s="4">
        <v>1.3489</v>
      </c>
      <c r="F89" s="4">
        <v>1.04E-2</v>
      </c>
      <c r="G89" s="4">
        <v>2.0112000000000001</v>
      </c>
      <c r="H89" s="4">
        <v>0.1</v>
      </c>
      <c r="I89" s="4">
        <v>0.159</v>
      </c>
      <c r="J89" s="3"/>
      <c r="K89" s="3"/>
      <c r="L89" s="159" t="s">
        <v>13</v>
      </c>
      <c r="M89" s="41">
        <f>I89/0.01026</f>
        <v>15.497076023391813</v>
      </c>
      <c r="N89" s="4">
        <f>(M89*G89/H89)/1000000/F89</f>
        <v>2.9968960863697706E-2</v>
      </c>
      <c r="O89" s="4">
        <f>N89*D89/C89</f>
        <v>0.11355426577260459</v>
      </c>
      <c r="P89" s="4">
        <f>N89*0.1478+1.333</f>
        <v>1.3374294124156545</v>
      </c>
      <c r="Q89" s="41">
        <f>E89-(P89-1.333)</f>
        <v>1.3444705875843455</v>
      </c>
      <c r="R89" s="41">
        <f>(Q89-1.333)/0.1374</f>
        <v>8.3483170191743034E-2</v>
      </c>
      <c r="S89" s="4">
        <f>R89*D89/C89</f>
        <v>0.31632294955465134</v>
      </c>
      <c r="T89" s="3"/>
      <c r="U89" s="3"/>
      <c r="V89" s="213" t="s">
        <v>13</v>
      </c>
      <c r="W89" s="7">
        <f>O89</f>
        <v>0.11355426577260459</v>
      </c>
      <c r="X89" s="7">
        <f>S89</f>
        <v>0.31632294955465134</v>
      </c>
      <c r="Y89" s="7">
        <f>1-X89-W89</f>
        <v>0.57012278467274402</v>
      </c>
      <c r="Z89" s="3"/>
      <c r="AA89" s="3"/>
      <c r="AB89" s="3"/>
      <c r="AC89" s="3"/>
    </row>
    <row r="90" spans="2:32" x14ac:dyDescent="0.3">
      <c r="B90" s="92" t="s">
        <v>14</v>
      </c>
      <c r="C90" s="4">
        <v>0.53469999999999995</v>
      </c>
      <c r="D90" s="4">
        <v>2.0352000000000001</v>
      </c>
      <c r="E90" s="4">
        <v>1.3488</v>
      </c>
      <c r="F90" s="4">
        <v>0.01</v>
      </c>
      <c r="G90" s="4">
        <v>2.0087000000000002</v>
      </c>
      <c r="H90" s="4">
        <v>0.1</v>
      </c>
      <c r="I90" s="4">
        <v>0.153</v>
      </c>
      <c r="J90" s="3"/>
      <c r="K90" s="3"/>
      <c r="L90" s="159" t="s">
        <v>14</v>
      </c>
      <c r="M90" s="41">
        <f t="shared" ref="M90:M91" si="34">I90/0.01026</f>
        <v>14.912280701754385</v>
      </c>
      <c r="N90" s="4">
        <f>(M90*G90/H90)/1000000/F90</f>
        <v>2.9954298245614033E-2</v>
      </c>
      <c r="O90" s="4">
        <f>N90*D90/C90</f>
        <v>0.11401344265845088</v>
      </c>
      <c r="P90" s="4">
        <f>N90*0.1478+1.333</f>
        <v>1.3374272452807017</v>
      </c>
      <c r="Q90" s="41">
        <f t="shared" ref="Q90:Q91" si="35">E90-(P90-1.333)</f>
        <v>1.3443727547192983</v>
      </c>
      <c r="R90" s="41">
        <f t="shared" ref="R90:R91" si="36">(Q90-1.333)/0.1374</f>
        <v>8.2771140606246935E-2</v>
      </c>
      <c r="S90" s="4">
        <f>R90*D90/C90</f>
        <v>0.31504736368399811</v>
      </c>
      <c r="T90" s="3"/>
      <c r="U90" s="3"/>
      <c r="V90" s="213" t="s">
        <v>14</v>
      </c>
      <c r="W90" s="7">
        <f>O90</f>
        <v>0.11401344265845088</v>
      </c>
      <c r="X90" s="7">
        <f>S90</f>
        <v>0.31504736368399811</v>
      </c>
      <c r="Y90" s="7">
        <f>1-X90-W90</f>
        <v>0.57093919365755097</v>
      </c>
      <c r="Z90" s="3"/>
      <c r="AA90" s="3"/>
      <c r="AB90" s="3"/>
      <c r="AC90" s="3"/>
    </row>
    <row r="91" spans="2:32" x14ac:dyDescent="0.3">
      <c r="B91" s="92" t="s">
        <v>15</v>
      </c>
      <c r="C91" s="4">
        <v>0.53369999999999995</v>
      </c>
      <c r="D91" s="4">
        <v>2.0310000000000001</v>
      </c>
      <c r="E91" s="4">
        <v>1.3488</v>
      </c>
      <c r="F91" s="4">
        <v>1.0200000000000001E-2</v>
      </c>
      <c r="G91" s="4">
        <v>2.0110999999999999</v>
      </c>
      <c r="H91" s="4">
        <v>0.1</v>
      </c>
      <c r="I91" s="4">
        <v>0.14899999999999999</v>
      </c>
      <c r="J91" s="3"/>
      <c r="K91" s="3"/>
      <c r="L91" s="159" t="s">
        <v>15</v>
      </c>
      <c r="M91" s="41">
        <f t="shared" si="34"/>
        <v>14.5224171539961</v>
      </c>
      <c r="N91" s="4">
        <f>(M91*G91/H91)/1000000/F91</f>
        <v>2.8633365821962305E-2</v>
      </c>
      <c r="O91" s="4">
        <f>N91*D91/C91</f>
        <v>0.10896452311112133</v>
      </c>
      <c r="P91" s="4">
        <f>N91*0.1478+1.333</f>
        <v>1.3372320114684859</v>
      </c>
      <c r="Q91" s="41">
        <f t="shared" si="35"/>
        <v>1.344567988531514</v>
      </c>
      <c r="R91" s="41">
        <f t="shared" si="36"/>
        <v>8.4192056270117069E-2</v>
      </c>
      <c r="S91" s="4">
        <f>R91*D91/C91</f>
        <v>0.32039360368110886</v>
      </c>
      <c r="T91" s="3"/>
      <c r="U91" s="3"/>
      <c r="V91" s="213" t="s">
        <v>15</v>
      </c>
      <c r="W91" s="7">
        <f>O91</f>
        <v>0.10896452311112133</v>
      </c>
      <c r="X91" s="7">
        <f>S91</f>
        <v>0.32039360368110886</v>
      </c>
      <c r="Y91" s="7">
        <f>1-X91-W91</f>
        <v>0.57064187320776982</v>
      </c>
      <c r="Z91" s="159" t="s">
        <v>69</v>
      </c>
      <c r="AA91" s="159" t="s">
        <v>8</v>
      </c>
      <c r="AB91" s="3"/>
      <c r="AC91" s="3"/>
    </row>
    <row r="92" spans="2:32" x14ac:dyDescent="0.3">
      <c r="B92" s="92" t="s">
        <v>22</v>
      </c>
      <c r="C92" s="4">
        <f>AVERAGE(C89:C91)</f>
        <v>0.53533333333333333</v>
      </c>
      <c r="D92" s="4">
        <f>C92+1.5</f>
        <v>2.0353333333333334</v>
      </c>
      <c r="E92" s="4">
        <f>AVERAGE(E89:E91)</f>
        <v>1.3488333333333333</v>
      </c>
      <c r="F92" s="4">
        <f>AVERAGE(F89:F91)</f>
        <v>1.0200000000000001E-2</v>
      </c>
      <c r="G92" s="4">
        <f>AVERAGE(G89:G91)</f>
        <v>2.0103333333333331</v>
      </c>
      <c r="H92" s="4">
        <f>AVERAGE(H89:H91)</f>
        <v>0.10000000000000002</v>
      </c>
      <c r="I92" s="4">
        <f>AVERAGE(I89:I91)</f>
        <v>0.15366666666666665</v>
      </c>
      <c r="J92" s="3"/>
      <c r="K92" s="3"/>
      <c r="L92" s="159" t="s">
        <v>22</v>
      </c>
      <c r="M92" s="4">
        <f>AVERAGE(M89:M91)</f>
        <v>14.9772579597141</v>
      </c>
      <c r="N92" s="4">
        <f>AVERAGE(N89:N91)</f>
        <v>2.9518874977091349E-2</v>
      </c>
      <c r="O92" s="4">
        <f>AVERAGE(O90:O91)</f>
        <v>0.11148898288478611</v>
      </c>
      <c r="P92" s="4">
        <f>AVERAGE(P90:P91)</f>
        <v>1.3373296283745937</v>
      </c>
      <c r="Q92" s="4">
        <f>AVERAGE(Q90:Q91)</f>
        <v>1.3444703716254063</v>
      </c>
      <c r="R92" s="4">
        <f>AVERAGE(R90:R91)</f>
        <v>8.3481598438182009E-2</v>
      </c>
      <c r="S92" s="70">
        <f>AVERAGE(S89,S90)</f>
        <v>0.31568515661932472</v>
      </c>
      <c r="T92" s="13"/>
      <c r="U92" s="3"/>
      <c r="V92" s="213" t="s">
        <v>22</v>
      </c>
      <c r="W92" s="7">
        <f>AVERAGE(W89:W91)</f>
        <v>0.11217741051405894</v>
      </c>
      <c r="X92" s="7">
        <f>AVERAGE(X89:X91)</f>
        <v>0.31725463897325273</v>
      </c>
      <c r="Y92" s="7">
        <f>AVERAGE(Y89:Y91)</f>
        <v>0.57056795051268827</v>
      </c>
      <c r="Z92" s="41">
        <f>C92/0.5</f>
        <v>1.0706666666666667</v>
      </c>
      <c r="AA92" s="41">
        <f>C93/0.5</f>
        <v>4.0513372277969483E-3</v>
      </c>
      <c r="AB92" s="3"/>
      <c r="AC92" s="3"/>
    </row>
    <row r="93" spans="2:32" x14ac:dyDescent="0.3">
      <c r="B93" s="92" t="s">
        <v>8</v>
      </c>
      <c r="C93" s="4">
        <f t="shared" ref="C93:I93" si="37">_xlfn.STDEV.S(C89:C91)</f>
        <v>2.0256686138984742E-3</v>
      </c>
      <c r="D93" s="4">
        <f t="shared" si="37"/>
        <v>3.0789608636680363E-3</v>
      </c>
      <c r="E93" s="4">
        <f t="shared" si="37"/>
        <v>5.7735026918956222E-5</v>
      </c>
      <c r="F93" s="4">
        <f t="shared" si="37"/>
        <v>1.9999999999999968E-4</v>
      </c>
      <c r="G93" s="4">
        <f t="shared" si="37"/>
        <v>1.4153915830373883E-3</v>
      </c>
      <c r="H93" s="4">
        <f t="shared" si="37"/>
        <v>1.6996749443881478E-17</v>
      </c>
      <c r="I93" s="4">
        <f t="shared" si="37"/>
        <v>5.0332229568471705E-3</v>
      </c>
      <c r="J93" s="3"/>
      <c r="K93" s="3"/>
      <c r="L93" s="159" t="s">
        <v>8</v>
      </c>
      <c r="M93" s="4">
        <f>_xlfn.STDEV.S(M89:M91)</f>
        <v>0.49056753965372046</v>
      </c>
      <c r="N93" s="4">
        <f>_xlfn.STDEV.S(N89:N91)</f>
        <v>7.6690846647776761E-4</v>
      </c>
      <c r="O93" s="4">
        <f>_xlfn.STDEV.S(O90:O91)</f>
        <v>3.5701252495820425E-3</v>
      </c>
      <c r="P93" s="4">
        <f>_xlfn.STDEV.S(P90:P91)</f>
        <v>1.3805115253466208E-4</v>
      </c>
      <c r="Q93" s="4">
        <f>_xlfn.STDEV.S(Q90:Q91)</f>
        <v>1.3805115253466208E-4</v>
      </c>
      <c r="R93" s="4">
        <f>_xlfn.STDEV.S(R90:R91)</f>
        <v>1.0047391014167569E-3</v>
      </c>
      <c r="S93" s="4">
        <f>_xlfn.STDEV.S(S90:S91)</f>
        <v>3.780362555807765E-3</v>
      </c>
      <c r="T93" s="3"/>
      <c r="U93" s="3"/>
      <c r="V93" s="213" t="s">
        <v>8</v>
      </c>
      <c r="W93" s="7">
        <f>_xlfn.STDEV.S(W89:W91)</f>
        <v>2.7918980911004337E-3</v>
      </c>
      <c r="X93" s="7">
        <f>_xlfn.STDEV.S(X89:X91)</f>
        <v>2.7922400337770225E-3</v>
      </c>
      <c r="Y93" s="7">
        <f>_xlfn.STDEV.S(Y89:Y91)</f>
        <v>4.1319406004257652E-4</v>
      </c>
      <c r="Z93" s="41">
        <f>C93/0.5</f>
        <v>4.0513372277969483E-3</v>
      </c>
      <c r="AA93" s="4"/>
      <c r="AB93" s="3"/>
      <c r="AC93" s="3"/>
    </row>
    <row r="94" spans="2:32" x14ac:dyDescent="0.3">
      <c r="C94" s="3"/>
      <c r="D94" s="3"/>
      <c r="E94" s="3"/>
      <c r="F94" s="3"/>
      <c r="G94" s="3"/>
      <c r="H94" s="3"/>
      <c r="I94" s="3"/>
      <c r="J94" s="3"/>
      <c r="K94" s="3"/>
      <c r="L94" s="3"/>
      <c r="M94" s="3"/>
      <c r="N94" s="3"/>
      <c r="O94" s="3"/>
      <c r="P94" s="3"/>
      <c r="Q94" s="3"/>
      <c r="R94" s="3"/>
      <c r="S94" s="3"/>
      <c r="T94" s="3"/>
      <c r="U94" s="3"/>
      <c r="V94" s="83"/>
      <c r="W94" s="83"/>
      <c r="X94" s="83"/>
      <c r="Y94" s="83"/>
      <c r="Z94" s="3"/>
      <c r="AA94" s="3"/>
      <c r="AB94" s="3"/>
      <c r="AC94" s="3"/>
    </row>
    <row r="95" spans="2:32" x14ac:dyDescent="0.3">
      <c r="C95" s="3"/>
      <c r="D95" s="3"/>
      <c r="E95" s="3"/>
      <c r="F95" s="3"/>
      <c r="G95" s="3"/>
      <c r="H95" s="3"/>
      <c r="I95" s="3"/>
      <c r="J95" s="3"/>
      <c r="K95" s="3"/>
      <c r="L95" s="3"/>
      <c r="M95" s="3"/>
      <c r="N95" s="3"/>
      <c r="O95" s="3"/>
      <c r="P95" s="3"/>
      <c r="Q95" s="3"/>
      <c r="R95" s="3"/>
      <c r="S95" s="3"/>
      <c r="T95" s="3"/>
      <c r="U95" s="3"/>
      <c r="V95" s="83"/>
      <c r="W95" s="83"/>
      <c r="X95" s="83"/>
      <c r="Y95" s="83"/>
      <c r="Z95" s="3"/>
      <c r="AA95" s="3"/>
      <c r="AB95" s="3"/>
      <c r="AC95" s="3"/>
    </row>
    <row r="96" spans="2:32" x14ac:dyDescent="0.3">
      <c r="C96" s="3"/>
      <c r="D96" s="3"/>
      <c r="E96" s="3"/>
      <c r="F96" s="3"/>
      <c r="G96" s="3"/>
      <c r="H96" s="3"/>
      <c r="I96" s="3"/>
      <c r="J96" s="3"/>
      <c r="K96" s="3"/>
      <c r="L96" s="3"/>
      <c r="M96" s="3"/>
      <c r="N96" s="3"/>
      <c r="O96" s="3"/>
      <c r="P96" s="3"/>
      <c r="Q96" s="3"/>
      <c r="R96" s="3"/>
      <c r="S96" s="3"/>
      <c r="T96" s="3"/>
      <c r="U96" s="3"/>
      <c r="V96" s="293" t="s">
        <v>20</v>
      </c>
      <c r="W96" s="294"/>
      <c r="X96" s="294"/>
      <c r="Y96" s="295"/>
      <c r="Z96" s="3"/>
      <c r="AA96" s="3"/>
      <c r="AB96" s="3"/>
      <c r="AC96" s="3"/>
    </row>
    <row r="97" spans="1:47" x14ac:dyDescent="0.3">
      <c r="B97" s="92" t="s">
        <v>11</v>
      </c>
      <c r="C97" s="159" t="s">
        <v>23</v>
      </c>
      <c r="D97" s="159" t="s">
        <v>32</v>
      </c>
      <c r="E97" s="159" t="s">
        <v>24</v>
      </c>
      <c r="F97" s="159" t="s">
        <v>25</v>
      </c>
      <c r="G97" s="159" t="s">
        <v>28</v>
      </c>
      <c r="H97" s="159" t="s">
        <v>27</v>
      </c>
      <c r="I97" s="159" t="s">
        <v>26</v>
      </c>
      <c r="J97" s="3"/>
      <c r="K97" s="3"/>
      <c r="L97" s="159" t="s">
        <v>11</v>
      </c>
      <c r="M97" s="159" t="s">
        <v>30</v>
      </c>
      <c r="N97" s="159" t="s">
        <v>34</v>
      </c>
      <c r="O97" s="159" t="s">
        <v>35</v>
      </c>
      <c r="P97" s="159" t="s">
        <v>37</v>
      </c>
      <c r="Q97" s="159" t="s">
        <v>38</v>
      </c>
      <c r="R97" s="159" t="s">
        <v>39</v>
      </c>
      <c r="S97" s="159" t="s">
        <v>47</v>
      </c>
      <c r="T97" s="3"/>
      <c r="U97" s="3"/>
      <c r="V97" s="213" t="s">
        <v>11</v>
      </c>
      <c r="W97" s="213" t="s">
        <v>17</v>
      </c>
      <c r="X97" s="213" t="s">
        <v>18</v>
      </c>
      <c r="Y97" s="213" t="s">
        <v>44</v>
      </c>
      <c r="Z97" s="3"/>
      <c r="AA97" s="3"/>
      <c r="AB97" s="3"/>
      <c r="AC97" s="3"/>
    </row>
    <row r="98" spans="1:47" x14ac:dyDescent="0.3">
      <c r="B98" s="92" t="s">
        <v>13</v>
      </c>
      <c r="C98" s="4">
        <v>0.57250000000000001</v>
      </c>
      <c r="D98" s="4">
        <v>2.0693999999999999</v>
      </c>
      <c r="E98" s="4">
        <v>1.3592</v>
      </c>
      <c r="F98" s="4">
        <v>1.0699999999999999E-2</v>
      </c>
      <c r="G98" s="4">
        <v>2.0121000000000002</v>
      </c>
      <c r="H98" s="4">
        <v>0.1</v>
      </c>
      <c r="I98" s="4">
        <v>0.92500000000000004</v>
      </c>
      <c r="J98" s="3"/>
      <c r="K98" s="3"/>
      <c r="L98" s="159" t="s">
        <v>13</v>
      </c>
      <c r="M98" s="41">
        <f>I98/0.01026</f>
        <v>90.155945419103318</v>
      </c>
      <c r="N98" s="4">
        <f>(M98*G98/H98)/1000000/F98</f>
        <v>0.16953530633437178</v>
      </c>
      <c r="O98" s="4">
        <f>N98*D98/C98</f>
        <v>0.61281460773510732</v>
      </c>
      <c r="P98" s="4">
        <f>N98*0.1478+1.333</f>
        <v>1.3580573182762201</v>
      </c>
      <c r="Q98" s="41">
        <f>E98-(P98-1.333)</f>
        <v>1.3341426817237798</v>
      </c>
      <c r="R98" s="41">
        <f>(Q98-1.333)/0.1374</f>
        <v>8.3164608717601757E-3</v>
      </c>
      <c r="S98" s="4">
        <f>R98*D98/C98</f>
        <v>3.0061282319686477E-2</v>
      </c>
      <c r="T98" s="3"/>
      <c r="U98" s="3"/>
      <c r="V98" s="213" t="s">
        <v>13</v>
      </c>
      <c r="W98" s="7">
        <f>O98</f>
        <v>0.61281460773510732</v>
      </c>
      <c r="X98" s="7">
        <f>S98</f>
        <v>3.0061282319686477E-2</v>
      </c>
      <c r="Y98" s="7">
        <f>1-X98-W98</f>
        <v>0.35712410994520616</v>
      </c>
      <c r="Z98" s="3"/>
      <c r="AA98" s="3"/>
      <c r="AB98" s="3"/>
      <c r="AC98" s="3"/>
    </row>
    <row r="99" spans="1:47" x14ac:dyDescent="0.3">
      <c r="B99" s="92" t="s">
        <v>14</v>
      </c>
      <c r="C99" s="4">
        <v>0.64270000000000005</v>
      </c>
      <c r="D99" s="4">
        <v>2.141</v>
      </c>
      <c r="E99" s="4">
        <v>1.3616999999999999</v>
      </c>
      <c r="F99" s="4">
        <v>1.06E-2</v>
      </c>
      <c r="G99" s="4">
        <v>2.0141</v>
      </c>
      <c r="H99" s="4">
        <v>0.1</v>
      </c>
      <c r="I99" s="4">
        <v>1.032</v>
      </c>
      <c r="J99" s="3"/>
      <c r="K99" s="3"/>
      <c r="L99" s="159" t="s">
        <v>14</v>
      </c>
      <c r="M99" s="41">
        <f t="shared" ref="M99:M100" si="38">I99/0.01026</f>
        <v>100.58479532163743</v>
      </c>
      <c r="N99" s="4">
        <f>(M99*G99/H99)/1000000/F99</f>
        <v>0.19112060024274524</v>
      </c>
      <c r="O99" s="4">
        <f>N99*D99/C99</f>
        <v>0.63667217227278283</v>
      </c>
      <c r="P99" s="4">
        <f>N99*0.1478+1.333</f>
        <v>1.3612476247158778</v>
      </c>
      <c r="Q99" s="41">
        <f t="shared" ref="Q99:Q100" si="39">E99-(P99-1.333)</f>
        <v>1.3334523752841221</v>
      </c>
      <c r="R99" s="41">
        <f t="shared" ref="R99:R100" si="40">(Q99-1.333)/0.1374</f>
        <v>3.2923965365510887E-3</v>
      </c>
      <c r="S99" s="4">
        <f>R99*D99/C99</f>
        <v>1.09678247778993E-2</v>
      </c>
      <c r="T99" s="3"/>
      <c r="U99" s="3"/>
      <c r="V99" s="213" t="s">
        <v>14</v>
      </c>
      <c r="W99" s="7">
        <f>O99</f>
        <v>0.63667217227278283</v>
      </c>
      <c r="X99" s="7">
        <f>S99</f>
        <v>1.09678247778993E-2</v>
      </c>
      <c r="Y99" s="7">
        <f>1-X99-W99</f>
        <v>0.35236000294931791</v>
      </c>
      <c r="Z99" s="3"/>
      <c r="AA99" s="3"/>
      <c r="AB99" s="3"/>
      <c r="AC99" s="3"/>
    </row>
    <row r="100" spans="1:47" x14ac:dyDescent="0.3">
      <c r="B100" s="92" t="s">
        <v>15</v>
      </c>
      <c r="C100" s="4">
        <v>0.63819999999999999</v>
      </c>
      <c r="D100" s="4">
        <v>2.1337999999999999</v>
      </c>
      <c r="E100" s="4">
        <v>1.3615999999999999</v>
      </c>
      <c r="F100" s="4">
        <v>1.0699999999999999E-2</v>
      </c>
      <c r="G100" s="4">
        <v>2.0137</v>
      </c>
      <c r="H100" s="4">
        <v>0.1</v>
      </c>
      <c r="I100" s="4">
        <v>1.026</v>
      </c>
      <c r="J100" s="3"/>
      <c r="K100" s="3"/>
      <c r="L100" s="159" t="s">
        <v>15</v>
      </c>
      <c r="M100" s="41">
        <f t="shared" si="38"/>
        <v>100</v>
      </c>
      <c r="N100" s="4">
        <f>(M100*G100/H100)/1000000/F100</f>
        <v>0.18819626168224302</v>
      </c>
      <c r="O100" s="4">
        <f>N100*D100/C100</f>
        <v>0.62922780190781902</v>
      </c>
      <c r="P100" s="4">
        <f>N100*0.1478+1.333</f>
        <v>1.3608154074766354</v>
      </c>
      <c r="Q100" s="41">
        <f t="shared" si="39"/>
        <v>1.3337845925233645</v>
      </c>
      <c r="R100" s="41">
        <f t="shared" si="40"/>
        <v>5.7102803738318143E-3</v>
      </c>
      <c r="S100" s="4">
        <f>R100*D100/C100</f>
        <v>1.909212826963699E-2</v>
      </c>
      <c r="T100" s="3"/>
      <c r="U100" s="3"/>
      <c r="V100" s="213" t="s">
        <v>15</v>
      </c>
      <c r="W100" s="7">
        <f>O100</f>
        <v>0.62922780190781902</v>
      </c>
      <c r="X100" s="7">
        <f>S100</f>
        <v>1.909212826963699E-2</v>
      </c>
      <c r="Y100" s="7">
        <f>1-X100-W100</f>
        <v>0.35168006982254396</v>
      </c>
      <c r="Z100" s="159" t="s">
        <v>69</v>
      </c>
      <c r="AA100" s="159" t="s">
        <v>8</v>
      </c>
      <c r="AB100" s="203"/>
      <c r="AC100" s="203"/>
    </row>
    <row r="101" spans="1:47" x14ac:dyDescent="0.3">
      <c r="B101" s="92" t="s">
        <v>22</v>
      </c>
      <c r="C101" s="4">
        <f>AVERAGE(C98:C100)</f>
        <v>0.61780000000000002</v>
      </c>
      <c r="D101" s="4">
        <f>C101+1.5</f>
        <v>2.1177999999999999</v>
      </c>
      <c r="E101" s="4">
        <f>AVERAGE(E98:E100)</f>
        <v>1.3608333333333331</v>
      </c>
      <c r="F101" s="4">
        <f>AVERAGE(F98:F100)</f>
        <v>1.0666666666666666E-2</v>
      </c>
      <c r="G101" s="4">
        <f>AVERAGE(G98:G100)</f>
        <v>2.0133000000000001</v>
      </c>
      <c r="H101" s="4">
        <f>AVERAGE(H98:H100)</f>
        <v>0.10000000000000002</v>
      </c>
      <c r="I101" s="4">
        <f>AVERAGE(I98:I100)</f>
        <v>0.9943333333333334</v>
      </c>
      <c r="J101" s="3"/>
      <c r="K101" s="3"/>
      <c r="L101" s="159" t="s">
        <v>22</v>
      </c>
      <c r="M101" s="4">
        <f t="shared" ref="M101:R101" si="41">AVERAGE(M98:M100)</f>
        <v>96.913580246913583</v>
      </c>
      <c r="N101" s="4">
        <f t="shared" si="41"/>
        <v>0.18295072275311999</v>
      </c>
      <c r="O101" s="4">
        <f t="shared" si="41"/>
        <v>0.62623819397190306</v>
      </c>
      <c r="P101" s="4">
        <f t="shared" si="41"/>
        <v>1.360040116822911</v>
      </c>
      <c r="Q101" s="4">
        <f t="shared" si="41"/>
        <v>1.333793216510422</v>
      </c>
      <c r="R101" s="4">
        <f t="shared" si="41"/>
        <v>5.7730459273810262E-3</v>
      </c>
      <c r="S101" s="70">
        <f>AVERAGE(S98,S99)</f>
        <v>2.0514553548792887E-2</v>
      </c>
      <c r="T101" s="3"/>
      <c r="U101" s="3"/>
      <c r="V101" s="213" t="s">
        <v>22</v>
      </c>
      <c r="W101" s="7">
        <f>AVERAGE(W98:W100)</f>
        <v>0.62623819397190306</v>
      </c>
      <c r="X101" s="7">
        <f t="shared" ref="X101:Y101" si="42">AVERAGE(X98:X100)</f>
        <v>2.0040411789074255E-2</v>
      </c>
      <c r="Y101" s="7">
        <f t="shared" si="42"/>
        <v>0.35372139423902266</v>
      </c>
      <c r="Z101" s="41">
        <f>C101/0.5</f>
        <v>1.2356</v>
      </c>
      <c r="AA101" s="41">
        <f>C102/0.5</f>
        <v>7.8590839160808057E-2</v>
      </c>
      <c r="AB101" s="203"/>
      <c r="AC101" s="203"/>
    </row>
    <row r="102" spans="1:47" x14ac:dyDescent="0.3">
      <c r="B102" s="92" t="s">
        <v>8</v>
      </c>
      <c r="C102" s="4">
        <f t="shared" ref="C102:I102" si="43">_xlfn.STDEV.S(C98:C100)</f>
        <v>3.9295419580404028E-2</v>
      </c>
      <c r="D102" s="4">
        <f t="shared" si="43"/>
        <v>3.9424527052754059E-2</v>
      </c>
      <c r="E102" s="4">
        <f t="shared" si="43"/>
        <v>1.4153915830374486E-3</v>
      </c>
      <c r="F102" s="4">
        <f t="shared" si="43"/>
        <v>5.7735026918962226E-5</v>
      </c>
      <c r="G102" s="4">
        <f t="shared" si="43"/>
        <v>1.0583005244257195E-3</v>
      </c>
      <c r="H102" s="4">
        <f t="shared" si="43"/>
        <v>1.6996749443881478E-17</v>
      </c>
      <c r="I102" s="4">
        <f t="shared" si="43"/>
        <v>6.0119325789078276E-2</v>
      </c>
      <c r="J102" s="3"/>
      <c r="K102" s="3"/>
      <c r="L102" s="159" t="s">
        <v>8</v>
      </c>
      <c r="M102" s="4">
        <f t="shared" ref="M102:R102" si="44">_xlfn.STDEV.S(M98:M100)</f>
        <v>5.8595834102415463</v>
      </c>
      <c r="N102" s="4">
        <f t="shared" si="44"/>
        <v>1.1709738992412464E-2</v>
      </c>
      <c r="O102" s="4">
        <f t="shared" si="44"/>
        <v>1.2206521335958367E-2</v>
      </c>
      <c r="P102" s="4">
        <f t="shared" si="44"/>
        <v>1.7306994230785768E-3</v>
      </c>
      <c r="Q102" s="4">
        <f t="shared" si="44"/>
        <v>3.4523401486934966E-4</v>
      </c>
      <c r="R102" s="4">
        <f t="shared" si="44"/>
        <v>2.5126201955556742E-3</v>
      </c>
      <c r="S102" s="4">
        <f>_xlfn.STDEV.S(S99:S100)</f>
        <v>5.7447500914252665E-3</v>
      </c>
      <c r="T102" s="3"/>
      <c r="U102" s="3"/>
      <c r="V102" s="213" t="s">
        <v>8</v>
      </c>
      <c r="W102" s="7">
        <f>_xlfn.STDEV.S(W98:W100)</f>
        <v>1.2206521335958367E-2</v>
      </c>
      <c r="X102" s="7">
        <f t="shared" ref="X102:Y102" si="45">_xlfn.STDEV.S(X98:X100)</f>
        <v>9.5819862998198207E-3</v>
      </c>
      <c r="Y102" s="7">
        <f t="shared" si="45"/>
        <v>2.9663838081158628E-3</v>
      </c>
      <c r="Z102" s="41">
        <f>C102/0.5</f>
        <v>7.8590839160808057E-2</v>
      </c>
      <c r="AA102" s="4"/>
      <c r="AB102" s="203"/>
      <c r="AC102" s="203"/>
    </row>
    <row r="103" spans="1:47" x14ac:dyDescent="0.3">
      <c r="C103" s="3"/>
      <c r="D103" s="3"/>
      <c r="E103" s="3"/>
      <c r="F103" s="3"/>
      <c r="G103" s="3"/>
      <c r="H103" s="3"/>
      <c r="I103" s="3"/>
      <c r="J103" s="3"/>
      <c r="K103" s="3"/>
      <c r="L103" s="3"/>
      <c r="M103" s="3"/>
      <c r="N103" s="3"/>
      <c r="O103" s="3"/>
      <c r="P103" s="3"/>
      <c r="Q103" s="3"/>
      <c r="R103" s="3"/>
      <c r="S103" s="3"/>
      <c r="T103" s="3"/>
      <c r="U103" s="3"/>
      <c r="V103" s="83"/>
      <c r="W103" s="83"/>
      <c r="X103" s="83"/>
      <c r="Y103" s="83"/>
      <c r="Z103" s="3"/>
      <c r="AA103" s="3"/>
      <c r="AB103" s="3"/>
      <c r="AC103" s="3"/>
    </row>
    <row r="104" spans="1:47" x14ac:dyDescent="0.3">
      <c r="C104" s="3"/>
      <c r="D104" s="3"/>
      <c r="E104" s="3"/>
      <c r="F104" s="3"/>
      <c r="G104" s="3"/>
      <c r="H104" s="3"/>
      <c r="I104" s="3"/>
      <c r="J104" s="3"/>
      <c r="K104" s="3"/>
      <c r="L104" s="3"/>
      <c r="M104" s="3"/>
      <c r="N104" s="3"/>
      <c r="O104" s="3"/>
      <c r="P104" s="3"/>
      <c r="Q104" s="3"/>
      <c r="R104" s="3"/>
      <c r="S104" s="3"/>
      <c r="T104" s="3"/>
      <c r="U104" s="3"/>
      <c r="V104" s="83"/>
      <c r="W104" s="83"/>
      <c r="X104" s="83"/>
      <c r="Y104" s="83"/>
      <c r="Z104" s="3"/>
      <c r="AA104" s="3"/>
      <c r="AB104" s="3"/>
      <c r="AC104" s="3"/>
    </row>
    <row r="105" spans="1:47" x14ac:dyDescent="0.3">
      <c r="C105" s="3"/>
      <c r="D105" s="3"/>
      <c r="E105" s="3"/>
      <c r="F105" s="3"/>
      <c r="G105" s="3"/>
      <c r="H105" s="3"/>
      <c r="I105" s="3"/>
      <c r="J105" s="3"/>
      <c r="K105" s="3"/>
      <c r="L105" s="3"/>
      <c r="M105" s="3"/>
      <c r="N105" s="3"/>
      <c r="O105" s="3"/>
      <c r="P105" s="3"/>
      <c r="Q105" s="3"/>
      <c r="R105" s="3"/>
      <c r="S105" s="3"/>
      <c r="T105" s="3"/>
      <c r="U105" s="3"/>
      <c r="V105" s="83"/>
      <c r="W105" s="83">
        <f>W92</f>
        <v>0.11217741051405894</v>
      </c>
      <c r="X105" s="83">
        <f>X92</f>
        <v>0.31725463897325273</v>
      </c>
      <c r="Y105" s="83"/>
      <c r="Z105" s="3"/>
      <c r="AA105" s="3"/>
      <c r="AB105" s="3"/>
      <c r="AC105" s="3"/>
    </row>
    <row r="106" spans="1:47" x14ac:dyDescent="0.3">
      <c r="A106" s="17"/>
      <c r="B106" s="17"/>
      <c r="C106" s="19"/>
      <c r="D106" s="19"/>
      <c r="E106" s="19"/>
      <c r="F106" s="19"/>
      <c r="G106" s="19"/>
      <c r="H106" s="19"/>
      <c r="I106" s="19"/>
      <c r="J106" s="19"/>
      <c r="K106" s="19"/>
      <c r="L106" s="19"/>
      <c r="M106" s="19"/>
      <c r="N106" s="19"/>
      <c r="O106" s="19"/>
      <c r="P106" s="19"/>
      <c r="Q106" s="19"/>
      <c r="R106" s="19"/>
      <c r="S106" s="19"/>
      <c r="T106" s="19"/>
      <c r="U106" s="19"/>
      <c r="V106" s="20"/>
      <c r="W106" s="83">
        <f>W101</f>
        <v>0.62623819397190306</v>
      </c>
      <c r="X106" s="83">
        <f>X101</f>
        <v>2.0040411789074255E-2</v>
      </c>
      <c r="Y106" s="20"/>
      <c r="Z106" s="19"/>
      <c r="AA106" s="19"/>
      <c r="AB106" s="19"/>
      <c r="AC106" s="19"/>
      <c r="AD106" s="17"/>
      <c r="AE106" s="17"/>
      <c r="AF106" s="17"/>
      <c r="AG106" s="17"/>
      <c r="AH106" s="17"/>
      <c r="AI106" s="17"/>
      <c r="AJ106" s="17"/>
      <c r="AK106" s="17"/>
      <c r="AL106" s="17"/>
      <c r="AM106" s="17"/>
      <c r="AN106" s="17"/>
      <c r="AO106" s="17"/>
      <c r="AP106" s="17"/>
      <c r="AQ106" s="17"/>
      <c r="AR106" s="17"/>
      <c r="AS106" s="17"/>
      <c r="AT106" s="17"/>
      <c r="AU106" s="17"/>
    </row>
    <row r="107" spans="1:47" x14ac:dyDescent="0.3">
      <c r="A107" s="17"/>
      <c r="B107" s="17"/>
      <c r="C107" s="19"/>
      <c r="D107" s="19"/>
      <c r="E107" s="19"/>
      <c r="F107" s="19"/>
      <c r="G107" s="19"/>
      <c r="H107" s="19"/>
      <c r="I107" s="19"/>
      <c r="J107" s="19"/>
      <c r="K107" s="19"/>
      <c r="L107" s="19"/>
      <c r="M107" s="19"/>
      <c r="N107" s="19"/>
      <c r="O107" s="19"/>
      <c r="P107" s="19"/>
      <c r="Q107" s="19"/>
      <c r="R107" s="19"/>
      <c r="S107" s="19"/>
      <c r="T107" s="19"/>
      <c r="U107" s="19"/>
      <c r="V107" s="20"/>
      <c r="W107" s="83">
        <f>J85</f>
        <v>0.3</v>
      </c>
      <c r="X107" s="83">
        <f>K85</f>
        <v>0.2</v>
      </c>
      <c r="Y107" s="20"/>
      <c r="Z107" s="19"/>
      <c r="AA107" s="19"/>
      <c r="AB107" s="19"/>
      <c r="AC107" s="19"/>
      <c r="AD107" s="17"/>
      <c r="AE107" s="17"/>
      <c r="AF107" s="17"/>
      <c r="AG107" s="17"/>
      <c r="AH107" s="17"/>
      <c r="AI107" s="17"/>
      <c r="AJ107" s="17"/>
      <c r="AK107" s="17"/>
      <c r="AL107" s="17"/>
      <c r="AM107" s="17"/>
      <c r="AN107" s="17"/>
      <c r="AO107" s="17"/>
      <c r="AP107" s="17"/>
      <c r="AQ107" s="17"/>
      <c r="AR107" s="17"/>
      <c r="AS107" s="17"/>
      <c r="AT107" s="17"/>
      <c r="AU107" s="17"/>
    </row>
    <row r="108" spans="1:47" x14ac:dyDescent="0.3">
      <c r="A108" s="17"/>
      <c r="B108" s="17"/>
      <c r="C108" s="19"/>
      <c r="D108" s="19"/>
      <c r="E108" s="19"/>
      <c r="F108" s="19"/>
      <c r="G108" s="19"/>
      <c r="H108" s="19"/>
      <c r="I108" s="19"/>
      <c r="J108" s="19"/>
      <c r="K108" s="19"/>
      <c r="L108" s="19"/>
      <c r="M108" s="19"/>
      <c r="N108" s="19"/>
      <c r="O108" s="19"/>
      <c r="P108" s="19"/>
      <c r="Q108" s="19"/>
      <c r="R108" s="19"/>
      <c r="S108" s="19"/>
      <c r="T108" s="19"/>
      <c r="U108" s="19"/>
      <c r="V108" s="20"/>
      <c r="W108" s="20"/>
      <c r="X108" s="20"/>
      <c r="Y108" s="20"/>
      <c r="Z108" s="19"/>
      <c r="AA108" s="19"/>
      <c r="AB108" s="19"/>
      <c r="AC108" s="19"/>
      <c r="AD108" s="17"/>
      <c r="AE108" s="17"/>
      <c r="AF108" s="17"/>
      <c r="AG108" s="17"/>
      <c r="AH108" s="17"/>
      <c r="AI108" s="17"/>
      <c r="AJ108" s="17"/>
      <c r="AK108" s="17"/>
      <c r="AL108" s="17"/>
      <c r="AM108" s="17"/>
      <c r="AN108" s="17"/>
      <c r="AO108" s="17"/>
      <c r="AP108" s="17"/>
      <c r="AQ108" s="17"/>
      <c r="AR108" s="17"/>
      <c r="AS108" s="17"/>
      <c r="AT108" s="17"/>
      <c r="AU108" s="17"/>
    </row>
    <row r="109" spans="1:47" x14ac:dyDescent="0.3">
      <c r="A109" s="17"/>
      <c r="B109" s="17"/>
      <c r="C109" s="19"/>
      <c r="D109" s="19"/>
      <c r="E109" s="19"/>
      <c r="F109" s="19"/>
      <c r="G109" s="19"/>
      <c r="H109" s="19"/>
      <c r="I109" s="19"/>
      <c r="J109" s="19"/>
      <c r="K109" s="19"/>
      <c r="L109" s="19"/>
      <c r="M109" s="19"/>
      <c r="N109" s="19"/>
      <c r="O109" s="19"/>
      <c r="P109" s="19"/>
      <c r="Q109" s="19"/>
      <c r="R109" s="19"/>
      <c r="S109" s="19"/>
      <c r="T109" s="19"/>
      <c r="U109" s="19"/>
      <c r="V109" s="20"/>
      <c r="W109" s="20"/>
      <c r="X109" s="20"/>
      <c r="Y109" s="20"/>
      <c r="Z109" s="19"/>
      <c r="AA109" s="19"/>
      <c r="AB109" s="19"/>
      <c r="AC109" s="19"/>
      <c r="AD109" s="17"/>
      <c r="AE109" s="17"/>
      <c r="AF109" s="17"/>
      <c r="AG109" s="17"/>
      <c r="AH109" s="17"/>
      <c r="AI109" s="17"/>
      <c r="AJ109" s="17"/>
      <c r="AK109" s="17"/>
      <c r="AL109" s="17"/>
      <c r="AM109" s="17"/>
      <c r="AN109" s="17"/>
      <c r="AO109" s="17"/>
      <c r="AP109" s="17"/>
      <c r="AQ109" s="17"/>
      <c r="AR109" s="17"/>
      <c r="AS109" s="17"/>
      <c r="AT109" s="17"/>
      <c r="AU109" s="17"/>
    </row>
    <row r="110" spans="1:47" x14ac:dyDescent="0.3">
      <c r="A110" s="208" t="s">
        <v>54</v>
      </c>
      <c r="C110" s="3"/>
      <c r="D110" s="3"/>
      <c r="E110" s="3"/>
      <c r="F110" s="3"/>
      <c r="G110" s="3"/>
      <c r="H110" s="3"/>
      <c r="I110" s="3"/>
      <c r="J110" s="3"/>
      <c r="K110" s="3"/>
      <c r="L110" s="3"/>
      <c r="M110" s="3"/>
      <c r="N110" s="3"/>
      <c r="O110" s="3"/>
      <c r="P110" s="3"/>
      <c r="Q110" s="3"/>
      <c r="R110" s="3"/>
      <c r="S110" s="3"/>
      <c r="T110" s="3"/>
      <c r="U110" s="3"/>
      <c r="V110" s="83"/>
      <c r="W110" s="83" t="str">
        <f>W97</f>
        <v>MDX %</v>
      </c>
      <c r="X110" s="83" t="str">
        <f>X97</f>
        <v>PEG %</v>
      </c>
      <c r="Y110" s="83"/>
      <c r="Z110" s="3"/>
      <c r="AA110" s="19"/>
      <c r="AB110" s="19"/>
      <c r="AC110" s="19"/>
      <c r="AD110" s="17"/>
      <c r="AE110" s="17"/>
      <c r="AF110" s="17"/>
      <c r="AG110" s="17"/>
      <c r="AH110" s="17"/>
      <c r="AI110" s="17"/>
      <c r="AJ110" s="17"/>
      <c r="AK110" s="17"/>
      <c r="AL110" s="17"/>
      <c r="AM110" s="17"/>
      <c r="AN110" s="17"/>
      <c r="AO110" s="17"/>
      <c r="AP110" s="17"/>
      <c r="AQ110" s="17"/>
      <c r="AR110" s="17"/>
      <c r="AS110" s="17"/>
      <c r="AT110" s="17"/>
      <c r="AU110" s="17"/>
    </row>
    <row r="111" spans="1:47" x14ac:dyDescent="0.3">
      <c r="B111" s="92"/>
      <c r="C111" s="297" t="s">
        <v>19</v>
      </c>
      <c r="D111" s="297"/>
      <c r="E111" s="297"/>
      <c r="F111" s="204"/>
      <c r="G111" s="129"/>
      <c r="H111" s="129"/>
      <c r="I111" s="159"/>
      <c r="J111" s="297" t="s">
        <v>20</v>
      </c>
      <c r="K111" s="297"/>
      <c r="L111" s="159"/>
      <c r="M111" s="3"/>
      <c r="N111" s="3"/>
      <c r="O111" s="3"/>
      <c r="P111" s="3"/>
      <c r="Q111" s="3"/>
      <c r="R111" s="3"/>
      <c r="S111" s="3"/>
      <c r="T111" s="3"/>
      <c r="U111" s="3"/>
      <c r="V111" s="83"/>
      <c r="W111" s="83">
        <f>W106</f>
        <v>0.62623819397190306</v>
      </c>
      <c r="X111" s="83">
        <f>X106</f>
        <v>2.0040411789074255E-2</v>
      </c>
      <c r="Y111" s="83"/>
      <c r="Z111" s="3"/>
      <c r="AA111" s="19"/>
      <c r="AB111" s="19"/>
      <c r="AC111" s="19"/>
      <c r="AD111" s="17"/>
      <c r="AE111" s="17"/>
      <c r="AF111" s="17"/>
      <c r="AG111" s="17"/>
      <c r="AH111" s="17"/>
      <c r="AI111" s="17"/>
      <c r="AJ111" s="17"/>
      <c r="AK111" s="17"/>
      <c r="AL111" s="17"/>
      <c r="AM111" s="17"/>
      <c r="AN111" s="17"/>
      <c r="AO111" s="17"/>
      <c r="AP111" s="17"/>
      <c r="AQ111" s="17"/>
      <c r="AR111" s="17"/>
      <c r="AS111" s="17"/>
      <c r="AT111" s="17"/>
      <c r="AU111" s="17"/>
    </row>
    <row r="112" spans="1:47" x14ac:dyDescent="0.3">
      <c r="B112" s="92" t="s">
        <v>12</v>
      </c>
      <c r="C112" s="159" t="s">
        <v>51</v>
      </c>
      <c r="D112" s="159" t="s">
        <v>40</v>
      </c>
      <c r="E112" s="159" t="s">
        <v>21</v>
      </c>
      <c r="F112" s="3"/>
      <c r="G112" s="3"/>
      <c r="H112" s="3"/>
      <c r="I112" s="159" t="s">
        <v>12</v>
      </c>
      <c r="J112" s="159" t="s">
        <v>17</v>
      </c>
      <c r="K112" s="159" t="s">
        <v>18</v>
      </c>
      <c r="L112" s="159" t="s">
        <v>44</v>
      </c>
      <c r="M112" s="3"/>
      <c r="N112" s="3"/>
      <c r="O112" s="3"/>
      <c r="P112" s="3"/>
      <c r="Q112" s="3"/>
      <c r="R112" s="3"/>
      <c r="S112" s="3"/>
      <c r="T112" s="3"/>
      <c r="U112" s="3"/>
      <c r="V112" s="83"/>
      <c r="W112" s="83">
        <f>J90</f>
        <v>0</v>
      </c>
      <c r="X112" s="83">
        <f>K90</f>
        <v>0</v>
      </c>
      <c r="Y112" s="83"/>
      <c r="Z112" s="3"/>
      <c r="AA112" s="19"/>
      <c r="AB112" s="19"/>
      <c r="AC112" s="19"/>
      <c r="AD112" s="17"/>
      <c r="AE112" s="17"/>
      <c r="AF112" s="17"/>
      <c r="AG112" s="17"/>
      <c r="AH112" s="17"/>
      <c r="AI112" s="17"/>
      <c r="AJ112" s="17"/>
      <c r="AK112" s="17"/>
      <c r="AL112" s="17"/>
      <c r="AM112" s="17"/>
      <c r="AN112" s="17"/>
      <c r="AO112" s="17"/>
      <c r="AP112" s="17"/>
      <c r="AQ112" s="17"/>
      <c r="AR112" s="17"/>
      <c r="AS112" s="17"/>
      <c r="AT112" s="17"/>
      <c r="AU112" s="17"/>
    </row>
    <row r="113" spans="2:47" x14ac:dyDescent="0.3">
      <c r="B113" s="92" t="s">
        <v>13</v>
      </c>
      <c r="C113" s="4">
        <v>5.01</v>
      </c>
      <c r="D113" s="4">
        <v>5</v>
      </c>
      <c r="E113" s="4">
        <f>SUM(C113:D113)</f>
        <v>10.01</v>
      </c>
      <c r="F113" s="3"/>
      <c r="G113" s="3"/>
      <c r="H113" s="3"/>
      <c r="I113" s="159" t="s">
        <v>13</v>
      </c>
      <c r="J113" s="7">
        <f>C113*0.6/E113</f>
        <v>0.30029970029970027</v>
      </c>
      <c r="K113" s="7">
        <f>(D113*0.2)/E113</f>
        <v>9.9900099900099903E-2</v>
      </c>
      <c r="L113" s="7">
        <f>1-K113-J113</f>
        <v>0.59980019980019983</v>
      </c>
      <c r="M113" s="3"/>
      <c r="N113" s="3"/>
      <c r="O113" s="3"/>
      <c r="P113" s="3"/>
      <c r="Q113" s="3"/>
      <c r="R113" s="3"/>
      <c r="S113" s="3"/>
      <c r="T113" s="3"/>
      <c r="U113" s="3"/>
      <c r="V113" s="207" t="s">
        <v>12</v>
      </c>
      <c r="W113" s="207" t="s">
        <v>17</v>
      </c>
      <c r="X113" s="207" t="s">
        <v>18</v>
      </c>
      <c r="Y113" s="207" t="s">
        <v>44</v>
      </c>
      <c r="Z113" s="3"/>
      <c r="AA113" s="19"/>
      <c r="AB113" s="19"/>
      <c r="AC113" s="19"/>
      <c r="AD113" s="17"/>
      <c r="AE113" s="17"/>
      <c r="AF113" s="17"/>
      <c r="AG113" s="17"/>
      <c r="AH113" s="17"/>
      <c r="AI113" s="17"/>
      <c r="AJ113" s="17"/>
      <c r="AK113" s="17"/>
      <c r="AL113" s="17"/>
      <c r="AM113" s="17"/>
      <c r="AN113" s="17"/>
      <c r="AO113" s="17"/>
      <c r="AP113" s="17"/>
      <c r="AQ113" s="17"/>
      <c r="AR113" s="17"/>
      <c r="AS113" s="17"/>
      <c r="AT113" s="17"/>
      <c r="AU113" s="17"/>
    </row>
    <row r="114" spans="2:47" x14ac:dyDescent="0.3">
      <c r="B114" s="2"/>
      <c r="C114" s="4"/>
      <c r="D114" s="4"/>
      <c r="E114" s="4"/>
      <c r="F114" s="3"/>
      <c r="G114" s="3"/>
      <c r="H114" s="3"/>
      <c r="I114" s="159"/>
      <c r="J114" s="7"/>
      <c r="K114" s="7"/>
      <c r="L114" s="7"/>
      <c r="M114" s="3"/>
      <c r="N114" s="3"/>
      <c r="O114" s="3"/>
      <c r="P114" s="3"/>
      <c r="Q114" s="3"/>
      <c r="R114" s="3"/>
      <c r="S114" s="3"/>
      <c r="T114" s="3"/>
      <c r="U114" s="3"/>
      <c r="V114" s="207" t="s">
        <v>13</v>
      </c>
      <c r="W114" s="207">
        <f>J116</f>
        <v>0.30029970029970027</v>
      </c>
      <c r="X114" s="207">
        <f>K116</f>
        <v>9.9900099900099903E-2</v>
      </c>
      <c r="Y114" s="207">
        <f>L116</f>
        <v>0.59980019980019983</v>
      </c>
      <c r="Z114" s="3"/>
      <c r="AA114" s="19"/>
      <c r="AB114" s="19"/>
      <c r="AC114" s="19"/>
      <c r="AD114" s="17"/>
      <c r="AE114" s="17"/>
      <c r="AF114" s="17"/>
      <c r="AG114" s="17"/>
      <c r="AH114" s="17"/>
      <c r="AI114" s="17"/>
      <c r="AJ114" s="17"/>
      <c r="AK114" s="17"/>
      <c r="AL114" s="17"/>
      <c r="AM114" s="17"/>
      <c r="AN114" s="17"/>
      <c r="AO114" s="17"/>
      <c r="AP114" s="17"/>
      <c r="AQ114" s="17"/>
      <c r="AR114" s="17"/>
      <c r="AS114" s="17"/>
      <c r="AT114" s="17"/>
      <c r="AU114" s="17"/>
    </row>
    <row r="115" spans="2:47" x14ac:dyDescent="0.3">
      <c r="B115" s="2"/>
      <c r="C115" s="4"/>
      <c r="D115" s="4"/>
      <c r="E115" s="4"/>
      <c r="F115" s="3"/>
      <c r="G115" s="3"/>
      <c r="H115" s="3"/>
      <c r="I115" s="159"/>
      <c r="J115" s="7"/>
      <c r="K115" s="7"/>
      <c r="L115" s="7"/>
      <c r="M115" s="3"/>
      <c r="N115" s="3"/>
      <c r="O115" s="3"/>
      <c r="P115" s="3" t="s">
        <v>1</v>
      </c>
      <c r="Q115" s="3" t="s">
        <v>42</v>
      </c>
      <c r="R115" s="3"/>
      <c r="S115" s="3"/>
      <c r="T115" s="3"/>
      <c r="U115" s="3"/>
      <c r="V115" s="207" t="s">
        <v>53</v>
      </c>
      <c r="W115" s="207">
        <f>W123</f>
        <v>0.15213594567873995</v>
      </c>
      <c r="X115" s="207">
        <f>X123</f>
        <v>0.17602279632989112</v>
      </c>
      <c r="Y115" s="207">
        <f>Y123</f>
        <v>0.67184125799136896</v>
      </c>
      <c r="Z115" s="3"/>
      <c r="AA115" s="19"/>
      <c r="AB115" s="19"/>
      <c r="AC115" s="19"/>
      <c r="AD115" s="17"/>
      <c r="AE115" s="17"/>
      <c r="AF115" s="17"/>
      <c r="AG115" s="17"/>
      <c r="AH115" s="17"/>
      <c r="AI115" s="17"/>
      <c r="AJ115" s="17"/>
      <c r="AK115" s="17"/>
      <c r="AL115" s="17"/>
      <c r="AM115" s="17"/>
      <c r="AN115" s="17"/>
      <c r="AO115" s="17"/>
      <c r="AP115" s="17"/>
      <c r="AQ115" s="17"/>
      <c r="AR115" s="17"/>
      <c r="AS115" s="17"/>
      <c r="AT115" s="17"/>
      <c r="AU115" s="17"/>
    </row>
    <row r="116" spans="2:47" x14ac:dyDescent="0.3">
      <c r="C116" s="3"/>
      <c r="D116" s="3"/>
      <c r="E116" s="3"/>
      <c r="F116" s="3"/>
      <c r="G116" s="3"/>
      <c r="H116" s="3"/>
      <c r="I116" s="159" t="s">
        <v>22</v>
      </c>
      <c r="J116" s="7">
        <f>AVERAGE(J113:J115)</f>
        <v>0.30029970029970027</v>
      </c>
      <c r="K116" s="7">
        <f>AVERAGE(K113:K115)</f>
        <v>9.9900099900099903E-2</v>
      </c>
      <c r="L116" s="7">
        <f>AVERAGE(L113:L115)</f>
        <v>0.59980019980019983</v>
      </c>
      <c r="M116" s="3"/>
      <c r="N116" s="3"/>
      <c r="O116" s="3"/>
      <c r="P116" s="3" t="s">
        <v>0</v>
      </c>
      <c r="Q116" s="3" t="s">
        <v>59</v>
      </c>
      <c r="R116" s="3"/>
      <c r="S116" s="3"/>
      <c r="T116" s="3"/>
      <c r="U116" s="3"/>
      <c r="V116" s="207" t="s">
        <v>14</v>
      </c>
      <c r="W116" s="207">
        <f>W132</f>
        <v>0.47410315860533686</v>
      </c>
      <c r="X116" s="207">
        <v>1E-3</v>
      </c>
      <c r="Y116" s="207">
        <f>Y132</f>
        <v>0.50565605246426637</v>
      </c>
      <c r="Z116" s="3"/>
      <c r="AA116" s="19"/>
      <c r="AB116" s="19"/>
      <c r="AC116" s="19"/>
      <c r="AD116" s="17"/>
      <c r="AE116" s="17"/>
      <c r="AF116" s="17"/>
      <c r="AG116" s="17"/>
      <c r="AH116" s="17"/>
      <c r="AI116" s="17"/>
      <c r="AJ116" s="17"/>
      <c r="AK116" s="17"/>
      <c r="AL116" s="17"/>
      <c r="AM116" s="17"/>
      <c r="AN116" s="17"/>
      <c r="AO116" s="17"/>
      <c r="AP116" s="17"/>
      <c r="AQ116" s="17"/>
      <c r="AR116" s="17"/>
      <c r="AS116" s="17"/>
      <c r="AT116" s="17"/>
      <c r="AU116" s="17"/>
    </row>
    <row r="117" spans="2:47" x14ac:dyDescent="0.3">
      <c r="B117" t="s">
        <v>31</v>
      </c>
      <c r="C117" s="3"/>
      <c r="D117" s="3"/>
      <c r="E117" s="3"/>
      <c r="F117" s="3"/>
      <c r="G117" s="3"/>
      <c r="H117" s="3"/>
      <c r="I117" s="159" t="s">
        <v>8</v>
      </c>
      <c r="J117" s="7" t="e">
        <f>_xlfn.STDEV.S(J113:J115)</f>
        <v>#DIV/0!</v>
      </c>
      <c r="K117" s="7" t="e">
        <f>_xlfn.STDEV.S(K113:K115)</f>
        <v>#DIV/0!</v>
      </c>
      <c r="L117" s="7" t="e">
        <f>_xlfn.STDEV.S(L113:L115)</f>
        <v>#DIV/0!</v>
      </c>
      <c r="M117" s="3"/>
      <c r="N117" s="3"/>
      <c r="O117" s="3"/>
      <c r="P117" s="3"/>
      <c r="Q117" s="3"/>
      <c r="R117" s="3"/>
      <c r="S117" s="3"/>
      <c r="T117" s="3"/>
      <c r="U117" s="3"/>
      <c r="V117" s="83"/>
      <c r="W117" s="83"/>
      <c r="X117" s="83"/>
      <c r="Y117" s="83"/>
      <c r="Z117" s="3"/>
      <c r="AA117" s="19"/>
      <c r="AB117" s="19"/>
      <c r="AC117" s="19"/>
      <c r="AD117" s="17"/>
      <c r="AE117" s="17"/>
      <c r="AF117" s="17"/>
      <c r="AG117" s="17"/>
      <c r="AH117" s="17"/>
      <c r="AI117" s="17"/>
      <c r="AJ117" s="17"/>
      <c r="AK117" s="17"/>
      <c r="AL117" s="17"/>
      <c r="AM117" s="17"/>
      <c r="AN117" s="17"/>
      <c r="AO117" s="17"/>
      <c r="AP117" s="17"/>
      <c r="AQ117" s="17"/>
      <c r="AR117" s="17"/>
      <c r="AS117" s="17"/>
      <c r="AT117" s="17"/>
      <c r="AU117" s="17"/>
    </row>
    <row r="118" spans="2:47" x14ac:dyDescent="0.3">
      <c r="B118">
        <v>1.5</v>
      </c>
      <c r="C118" s="3"/>
      <c r="D118" s="3"/>
      <c r="E118" s="3"/>
      <c r="F118" s="3"/>
      <c r="G118" s="3"/>
      <c r="H118" s="3"/>
      <c r="I118" s="3"/>
      <c r="J118" s="3"/>
      <c r="K118" s="3"/>
      <c r="L118" s="3"/>
      <c r="M118" s="3"/>
      <c r="N118" s="3"/>
      <c r="O118" s="3"/>
      <c r="P118" s="3"/>
      <c r="Q118" s="3"/>
      <c r="R118" s="3"/>
      <c r="S118" s="3"/>
      <c r="T118" s="3"/>
      <c r="U118" s="3"/>
      <c r="V118" s="210" t="s">
        <v>20</v>
      </c>
      <c r="W118" s="211"/>
      <c r="X118" s="211"/>
      <c r="Y118" s="212"/>
      <c r="Z118" s="3"/>
      <c r="AA118" s="19"/>
      <c r="AB118" s="19"/>
      <c r="AC118" s="19"/>
      <c r="AD118" s="17"/>
      <c r="AE118" s="17"/>
      <c r="AF118" s="17"/>
      <c r="AG118" s="17"/>
      <c r="AH118" s="17"/>
      <c r="AI118" s="17"/>
      <c r="AJ118" s="17"/>
      <c r="AK118" s="17"/>
      <c r="AL118" s="17"/>
      <c r="AM118" s="17"/>
      <c r="AN118" s="17"/>
      <c r="AO118" s="17"/>
      <c r="AP118" s="17"/>
      <c r="AQ118" s="17"/>
      <c r="AR118" s="17"/>
      <c r="AS118" s="17"/>
      <c r="AT118" s="17"/>
      <c r="AU118" s="17"/>
    </row>
    <row r="119" spans="2:47" x14ac:dyDescent="0.3">
      <c r="B119" s="92" t="s">
        <v>10</v>
      </c>
      <c r="C119" s="159" t="s">
        <v>23</v>
      </c>
      <c r="D119" s="159" t="s">
        <v>32</v>
      </c>
      <c r="E119" s="159" t="s">
        <v>24</v>
      </c>
      <c r="F119" s="159" t="s">
        <v>33</v>
      </c>
      <c r="G119" s="159" t="s">
        <v>28</v>
      </c>
      <c r="H119" s="159" t="s">
        <v>27</v>
      </c>
      <c r="I119" s="159" t="s">
        <v>26</v>
      </c>
      <c r="J119" s="3"/>
      <c r="K119" s="3"/>
      <c r="L119" s="159" t="s">
        <v>10</v>
      </c>
      <c r="M119" s="159" t="s">
        <v>30</v>
      </c>
      <c r="N119" s="159" t="s">
        <v>36</v>
      </c>
      <c r="O119" s="159" t="s">
        <v>35</v>
      </c>
      <c r="P119" s="159" t="s">
        <v>37</v>
      </c>
      <c r="Q119" s="159" t="s">
        <v>38</v>
      </c>
      <c r="R119" s="159" t="s">
        <v>39</v>
      </c>
      <c r="S119" s="159" t="s">
        <v>47</v>
      </c>
      <c r="T119" s="3"/>
      <c r="U119" s="3"/>
      <c r="V119" s="213" t="s">
        <v>10</v>
      </c>
      <c r="W119" s="213" t="s">
        <v>17</v>
      </c>
      <c r="X119" s="213" t="s">
        <v>18</v>
      </c>
      <c r="Y119" s="213" t="s">
        <v>44</v>
      </c>
      <c r="Z119" s="3"/>
      <c r="AA119" s="19"/>
      <c r="AB119" s="19"/>
      <c r="AC119" s="19"/>
      <c r="AD119" s="17"/>
      <c r="AE119" s="17"/>
      <c r="AF119" s="17"/>
      <c r="AG119" s="17"/>
      <c r="AH119" s="17"/>
      <c r="AI119" s="17"/>
      <c r="AJ119" s="17"/>
      <c r="AK119" s="17"/>
      <c r="AL119" s="17"/>
      <c r="AM119" s="17"/>
      <c r="AN119" s="17"/>
      <c r="AO119" s="17"/>
      <c r="AP119" s="17"/>
      <c r="AQ119" s="17"/>
      <c r="AR119" s="17"/>
      <c r="AS119" s="17"/>
      <c r="AT119" s="17"/>
      <c r="AU119" s="17"/>
    </row>
    <row r="120" spans="2:47" x14ac:dyDescent="0.3">
      <c r="B120" s="92" t="s">
        <v>13</v>
      </c>
      <c r="C120" s="4">
        <v>0.54469999999999996</v>
      </c>
      <c r="D120" s="4">
        <v>2.0409000000000002</v>
      </c>
      <c r="E120" s="4">
        <v>1.3454999999999999</v>
      </c>
      <c r="F120" s="4">
        <v>1.0800000000000001E-2</v>
      </c>
      <c r="G120" s="4">
        <v>2.0183</v>
      </c>
      <c r="H120" s="4">
        <v>0.1</v>
      </c>
      <c r="I120" s="4">
        <v>0.23899999999999999</v>
      </c>
      <c r="J120" s="3"/>
      <c r="K120" s="3"/>
      <c r="L120" s="159" t="s">
        <v>13</v>
      </c>
      <c r="M120" s="41">
        <f>I120/0.01026</f>
        <v>23.294346978557503</v>
      </c>
      <c r="N120" s="4">
        <f>(M120*G120/H120)/1000000/F120</f>
        <v>4.3532389358169082E-2</v>
      </c>
      <c r="O120" s="4">
        <f>N120*D120/C120</f>
        <v>0.16310859820284063</v>
      </c>
      <c r="P120" s="4">
        <f>N120*0.1478+1.333</f>
        <v>1.3394340871471373</v>
      </c>
      <c r="Q120" s="41">
        <f>E120-(P120-1.333)</f>
        <v>1.3390659128528626</v>
      </c>
      <c r="R120" s="41">
        <f>(Q120-1.333)/0.1374</f>
        <v>4.4147837357078751E-2</v>
      </c>
      <c r="S120" s="4">
        <f>R120*D120/C120</f>
        <v>0.16541457914826882</v>
      </c>
      <c r="T120" s="3"/>
      <c r="U120" s="3"/>
      <c r="V120" s="7" t="s">
        <v>13</v>
      </c>
      <c r="W120" s="7">
        <f>O120</f>
        <v>0.16310859820284063</v>
      </c>
      <c r="X120" s="7">
        <f>S120</f>
        <v>0.16541457914826882</v>
      </c>
      <c r="Y120" s="7">
        <f>1-X120-W120</f>
        <v>0.67147682264889053</v>
      </c>
      <c r="Z120" s="3"/>
      <c r="AA120" s="19"/>
      <c r="AB120" s="19"/>
      <c r="AC120" s="19"/>
      <c r="AD120" s="17"/>
      <c r="AE120" s="17"/>
      <c r="AF120" s="17"/>
      <c r="AG120" s="17"/>
      <c r="AH120" s="17"/>
      <c r="AI120" s="17"/>
      <c r="AJ120" s="17"/>
      <c r="AK120" s="17"/>
      <c r="AL120" s="17"/>
      <c r="AM120" s="17"/>
      <c r="AN120" s="17"/>
      <c r="AO120" s="17"/>
      <c r="AP120" s="17"/>
      <c r="AQ120" s="17"/>
      <c r="AR120" s="17"/>
      <c r="AS120" s="17"/>
      <c r="AT120" s="17"/>
      <c r="AU120" s="17"/>
    </row>
    <row r="121" spans="2:47" x14ac:dyDescent="0.3">
      <c r="B121" s="92" t="s">
        <v>14</v>
      </c>
      <c r="C121" s="4">
        <v>0.54049999999999998</v>
      </c>
      <c r="D121" s="4">
        <v>2.0335999999999999</v>
      </c>
      <c r="E121" s="4">
        <v>1.3453999999999999</v>
      </c>
      <c r="F121" s="4">
        <v>1.0999999999999999E-2</v>
      </c>
      <c r="G121" s="4">
        <v>2.016</v>
      </c>
      <c r="H121" s="4">
        <v>0.1</v>
      </c>
      <c r="I121" s="4">
        <v>0.215</v>
      </c>
      <c r="J121" s="3"/>
      <c r="K121" s="3"/>
      <c r="L121" s="159" t="s">
        <v>14</v>
      </c>
      <c r="M121" s="41">
        <f t="shared" ref="M121:M122" si="46">I121/0.01026</f>
        <v>20.955165692007796</v>
      </c>
      <c r="N121" s="4">
        <f>(M121*G121/H121)/1000000/F121</f>
        <v>3.840510366826156E-2</v>
      </c>
      <c r="O121" s="4">
        <f>N121*D121/C121</f>
        <v>0.14449698209024367</v>
      </c>
      <c r="P121" s="4">
        <f>N121*0.1478+1.333</f>
        <v>1.338676274322169</v>
      </c>
      <c r="Q121" s="41">
        <f t="shared" ref="Q121:Q122" si="47">E121-(P121-1.333)</f>
        <v>1.3397237256778309</v>
      </c>
      <c r="R121" s="41">
        <f t="shared" ref="R121:R122" si="48">(Q121-1.333)/0.1374</f>
        <v>4.893541250240882E-2</v>
      </c>
      <c r="S121" s="4">
        <f>R121*D121/C121</f>
        <v>0.18411666024958109</v>
      </c>
      <c r="T121" s="3"/>
      <c r="U121" s="3"/>
      <c r="V121" s="7" t="s">
        <v>14</v>
      </c>
      <c r="W121" s="7">
        <f>O121</f>
        <v>0.14449698209024367</v>
      </c>
      <c r="X121" s="7">
        <f>S121</f>
        <v>0.18411666024958109</v>
      </c>
      <c r="Y121" s="7">
        <f>1-X121-W121</f>
        <v>0.67138635766017529</v>
      </c>
      <c r="Z121" s="3"/>
      <c r="AA121" s="19"/>
      <c r="AB121" s="19"/>
      <c r="AC121" s="19"/>
      <c r="AD121" s="17"/>
      <c r="AE121" s="17"/>
      <c r="AF121" s="17"/>
      <c r="AG121" s="17"/>
      <c r="AH121" s="17"/>
      <c r="AI121" s="17"/>
      <c r="AJ121" s="17"/>
      <c r="AK121" s="17"/>
      <c r="AL121" s="17"/>
      <c r="AM121" s="17"/>
      <c r="AN121" s="17"/>
      <c r="AO121" s="17"/>
      <c r="AP121" s="17"/>
      <c r="AQ121" s="17"/>
      <c r="AR121" s="17"/>
      <c r="AS121" s="17"/>
      <c r="AT121" s="17"/>
      <c r="AU121" s="17"/>
    </row>
    <row r="122" spans="2:47" x14ac:dyDescent="0.3">
      <c r="B122" s="92" t="s">
        <v>15</v>
      </c>
      <c r="C122" s="4">
        <v>0.54300000000000004</v>
      </c>
      <c r="D122" s="4">
        <v>2.0373000000000001</v>
      </c>
      <c r="E122" s="4">
        <v>1.3453999999999999</v>
      </c>
      <c r="F122" s="4">
        <v>1.0800000000000001E-2</v>
      </c>
      <c r="G122" s="4">
        <v>2.0158999999999998</v>
      </c>
      <c r="H122" s="4">
        <v>0.1</v>
      </c>
      <c r="I122" s="4">
        <v>0.218</v>
      </c>
      <c r="J122" s="3"/>
      <c r="K122" s="3"/>
      <c r="L122" s="159" t="s">
        <v>15</v>
      </c>
      <c r="M122" s="41">
        <f t="shared" si="46"/>
        <v>21.247563352826511</v>
      </c>
      <c r="N122" s="4">
        <f>(M122*G122/H122)/1000000/F122</f>
        <v>3.9660150891632363E-2</v>
      </c>
      <c r="O122" s="4">
        <f>N122*D122/C122</f>
        <v>0.14880225674313557</v>
      </c>
      <c r="P122" s="4">
        <f>N122*0.1478+1.333</f>
        <v>1.3388617703017833</v>
      </c>
      <c r="Q122" s="41">
        <f t="shared" si="47"/>
        <v>1.3395382296982166</v>
      </c>
      <c r="R122" s="41">
        <f t="shared" si="48"/>
        <v>4.7585368982653586E-2</v>
      </c>
      <c r="S122" s="4">
        <f>R122*D122/C122</f>
        <v>0.17853714959182349</v>
      </c>
      <c r="T122" s="3"/>
      <c r="U122" s="3"/>
      <c r="V122" s="7" t="s">
        <v>15</v>
      </c>
      <c r="W122" s="7">
        <f>O122</f>
        <v>0.14880225674313557</v>
      </c>
      <c r="X122" s="7">
        <f>S122</f>
        <v>0.17853714959182349</v>
      </c>
      <c r="Y122" s="7">
        <f>1-X122-W122</f>
        <v>0.67266059366504094</v>
      </c>
      <c r="Z122" s="159" t="s">
        <v>69</v>
      </c>
      <c r="AA122" s="159" t="s">
        <v>8</v>
      </c>
      <c r="AB122" s="19"/>
      <c r="AC122" s="19"/>
      <c r="AD122" s="17"/>
      <c r="AE122" s="17"/>
      <c r="AF122" s="17"/>
      <c r="AG122" s="17"/>
      <c r="AH122" s="17"/>
      <c r="AI122" s="17"/>
      <c r="AJ122" s="17"/>
      <c r="AK122" s="17"/>
      <c r="AL122" s="17"/>
      <c r="AM122" s="17"/>
      <c r="AN122" s="17"/>
      <c r="AO122" s="17"/>
      <c r="AP122" s="17"/>
      <c r="AQ122" s="17"/>
      <c r="AR122" s="17"/>
      <c r="AS122" s="17"/>
      <c r="AT122" s="17"/>
      <c r="AU122" s="17"/>
    </row>
    <row r="123" spans="2:47" x14ac:dyDescent="0.3">
      <c r="B123" s="92" t="s">
        <v>22</v>
      </c>
      <c r="C123" s="4">
        <f>AVERAGE(C120:C122)</f>
        <v>0.5427333333333334</v>
      </c>
      <c r="D123" s="4">
        <f>C123+1.5</f>
        <v>2.0427333333333335</v>
      </c>
      <c r="E123" s="4">
        <f>AVERAGE(E120:E122)</f>
        <v>1.3454333333333333</v>
      </c>
      <c r="F123" s="4">
        <f>AVERAGE(F120:F122)</f>
        <v>1.0866666666666669E-2</v>
      </c>
      <c r="G123" s="4">
        <f>AVERAGE(G120:G122)</f>
        <v>2.0167333333333333</v>
      </c>
      <c r="H123" s="4">
        <f>AVERAGE(H120:H122)</f>
        <v>0.10000000000000002</v>
      </c>
      <c r="I123" s="4">
        <f>AVERAGE(I120:I122)</f>
        <v>0.22399999999999998</v>
      </c>
      <c r="J123" s="3"/>
      <c r="K123" s="3"/>
      <c r="L123" s="159" t="s">
        <v>22</v>
      </c>
      <c r="M123" s="4">
        <f>AVERAGE(M120:M122)</f>
        <v>21.832358674463933</v>
      </c>
      <c r="N123" s="4">
        <f>AVERAGE(N120:N122)</f>
        <v>4.0532547972687662E-2</v>
      </c>
      <c r="O123" s="4">
        <f>AVERAGE(O121:O122)</f>
        <v>0.14664961941668964</v>
      </c>
      <c r="P123" s="4">
        <f>AVERAGE(P121:P122)</f>
        <v>1.3387690223119761</v>
      </c>
      <c r="Q123" s="4">
        <f>AVERAGE(Q121:Q122)</f>
        <v>1.3396309776880237</v>
      </c>
      <c r="R123" s="4">
        <f>AVERAGE(R121:R122)</f>
        <v>4.8260390742531203E-2</v>
      </c>
      <c r="S123" s="70">
        <f>AVERAGE(S120,S121)</f>
        <v>0.17476561969892496</v>
      </c>
      <c r="T123" s="13"/>
      <c r="U123" s="3"/>
      <c r="V123" s="7" t="s">
        <v>22</v>
      </c>
      <c r="W123" s="7">
        <f>AVERAGE(W120:W122)</f>
        <v>0.15213594567873995</v>
      </c>
      <c r="X123" s="7">
        <f t="shared" ref="X123:Y123" si="49">AVERAGE(X120:X122)</f>
        <v>0.17602279632989112</v>
      </c>
      <c r="Y123" s="7">
        <f t="shared" si="49"/>
        <v>0.67184125799136896</v>
      </c>
      <c r="Z123" s="41">
        <f>C123/0.5</f>
        <v>1.0854666666666668</v>
      </c>
      <c r="AA123" s="41">
        <f>C124/0.5</f>
        <v>4.22532050066421E-3</v>
      </c>
      <c r="AB123" s="19"/>
      <c r="AC123" s="19"/>
      <c r="AD123" s="21"/>
      <c r="AE123" s="17"/>
      <c r="AF123" s="17"/>
      <c r="AG123" s="17"/>
      <c r="AH123" s="17"/>
      <c r="AI123" s="17"/>
      <c r="AJ123" s="17"/>
      <c r="AK123" s="17"/>
      <c r="AL123" s="17"/>
      <c r="AM123" s="17"/>
      <c r="AN123" s="17"/>
      <c r="AO123" s="17"/>
      <c r="AP123" s="17"/>
      <c r="AQ123" s="17"/>
      <c r="AR123" s="17"/>
      <c r="AS123" s="17"/>
      <c r="AT123" s="17"/>
      <c r="AU123" s="17"/>
    </row>
    <row r="124" spans="2:47" x14ac:dyDescent="0.3">
      <c r="B124" s="92" t="s">
        <v>8</v>
      </c>
      <c r="C124" s="4">
        <f t="shared" ref="C124:I124" si="50">_xlfn.STDEV.S(C120:C122)</f>
        <v>2.112660250332105E-3</v>
      </c>
      <c r="D124" s="4">
        <f t="shared" si="50"/>
        <v>3.6501141534662248E-3</v>
      </c>
      <c r="E124" s="4">
        <f t="shared" si="50"/>
        <v>5.7735026918956222E-5</v>
      </c>
      <c r="F124" s="4">
        <f t="shared" si="50"/>
        <v>1.1547005383792445E-4</v>
      </c>
      <c r="G124" s="4">
        <f t="shared" si="50"/>
        <v>1.3576941236278001E-3</v>
      </c>
      <c r="H124" s="4">
        <f t="shared" si="50"/>
        <v>1.6996749443881478E-17</v>
      </c>
      <c r="I124" s="4">
        <f t="shared" si="50"/>
        <v>1.3076696830622016E-2</v>
      </c>
      <c r="J124" s="3"/>
      <c r="K124" s="3"/>
      <c r="L124" s="159" t="s">
        <v>8</v>
      </c>
      <c r="M124" s="4">
        <f>_xlfn.STDEV.S(M120:M122)</f>
        <v>1.2745318548364535</v>
      </c>
      <c r="N124" s="4">
        <f>_xlfn.STDEV.S(N120:N122)</f>
        <v>2.6726526404974474E-3</v>
      </c>
      <c r="O124" s="4">
        <f>_xlfn.STDEV.S(O121:O122)</f>
        <v>3.0442889019304258E-3</v>
      </c>
      <c r="P124" s="4">
        <f>_xlfn.STDEV.S(P121:P122)</f>
        <v>1.3116546506816232E-4</v>
      </c>
      <c r="Q124" s="4">
        <f>_xlfn.STDEV.S(Q121:Q122)</f>
        <v>1.3116546506816232E-4</v>
      </c>
      <c r="R124" s="4">
        <f>_xlfn.STDEV.S(R121:R122)</f>
        <v>9.5462492771588073E-4</v>
      </c>
      <c r="S124" s="4">
        <f>_xlfn.STDEV.S(S121:S122)</f>
        <v>3.945309821803019E-3</v>
      </c>
      <c r="T124" s="3"/>
      <c r="U124" s="3"/>
      <c r="V124" s="7" t="s">
        <v>8</v>
      </c>
      <c r="W124" s="7">
        <f>_xlfn.STDEV.S(W120:W122)</f>
        <v>9.7433656926237747E-3</v>
      </c>
      <c r="X124" s="7">
        <f t="shared" ref="X124:Y124" si="51">_xlfn.STDEV.S(X120:X122)</f>
        <v>9.6012206840775105E-3</v>
      </c>
      <c r="Y124" s="7">
        <f t="shared" si="51"/>
        <v>7.1100575817605006E-4</v>
      </c>
      <c r="Z124" s="41">
        <f>C124/0.5</f>
        <v>4.22532050066421E-3</v>
      </c>
      <c r="AA124" s="4"/>
      <c r="AB124" s="19"/>
      <c r="AC124" s="19"/>
      <c r="AD124" s="21"/>
      <c r="AE124" s="17"/>
      <c r="AF124" s="17"/>
      <c r="AG124" s="17"/>
      <c r="AH124" s="17"/>
      <c r="AI124" s="17"/>
      <c r="AJ124" s="17"/>
      <c r="AK124" s="17"/>
      <c r="AL124" s="17"/>
      <c r="AM124" s="17"/>
      <c r="AN124" s="17"/>
      <c r="AO124" s="17"/>
      <c r="AP124" s="17"/>
      <c r="AQ124" s="17"/>
      <c r="AR124" s="17"/>
      <c r="AS124" s="17"/>
      <c r="AT124" s="17"/>
      <c r="AU124" s="17"/>
    </row>
    <row r="125" spans="2:47" x14ac:dyDescent="0.3">
      <c r="C125" s="3"/>
      <c r="D125" s="3"/>
      <c r="E125" s="3"/>
      <c r="F125" s="3"/>
      <c r="G125" s="3"/>
      <c r="H125" s="3"/>
      <c r="I125" s="3"/>
      <c r="J125" s="3"/>
      <c r="K125" s="3"/>
      <c r="L125" s="3"/>
      <c r="M125" s="3"/>
      <c r="N125" s="3"/>
      <c r="O125" s="3"/>
      <c r="P125" s="3"/>
      <c r="Q125" s="3"/>
      <c r="R125" s="3"/>
      <c r="S125" s="3"/>
      <c r="T125" s="3"/>
      <c r="U125" s="3"/>
      <c r="V125" s="83"/>
      <c r="W125" s="83"/>
      <c r="X125" s="83"/>
      <c r="Y125" s="83"/>
      <c r="Z125" s="3"/>
      <c r="AA125" s="19"/>
      <c r="AB125" s="19"/>
      <c r="AC125" s="19"/>
      <c r="AD125" s="21"/>
      <c r="AE125" s="17"/>
      <c r="AF125" s="17"/>
      <c r="AG125" s="17"/>
      <c r="AH125" s="17"/>
      <c r="AI125" s="17"/>
      <c r="AJ125" s="17"/>
      <c r="AK125" s="17"/>
      <c r="AL125" s="17"/>
      <c r="AM125" s="17"/>
      <c r="AN125" s="17"/>
      <c r="AO125" s="17"/>
      <c r="AP125" s="17"/>
      <c r="AQ125" s="17"/>
      <c r="AR125" s="17"/>
      <c r="AS125" s="17"/>
      <c r="AT125" s="17"/>
      <c r="AU125" s="17"/>
    </row>
    <row r="126" spans="2:47" x14ac:dyDescent="0.3">
      <c r="C126" s="3"/>
      <c r="D126" s="3"/>
      <c r="E126" s="3"/>
      <c r="F126" s="3"/>
      <c r="G126" s="3"/>
      <c r="H126" s="3"/>
      <c r="I126" s="3"/>
      <c r="J126" s="3"/>
      <c r="K126" s="3"/>
      <c r="L126" s="3"/>
      <c r="M126" s="3"/>
      <c r="N126" s="3"/>
      <c r="O126" s="3"/>
      <c r="P126" s="3"/>
      <c r="Q126" s="3"/>
      <c r="R126" s="3"/>
      <c r="S126" s="3"/>
      <c r="T126" s="3"/>
      <c r="U126" s="3"/>
      <c r="V126" s="83"/>
      <c r="W126" s="83"/>
      <c r="X126" s="83"/>
      <c r="Y126" s="83"/>
      <c r="Z126" s="3"/>
      <c r="AA126" s="19"/>
      <c r="AB126" s="19"/>
      <c r="AC126" s="19"/>
      <c r="AD126" s="17"/>
      <c r="AE126" s="17"/>
      <c r="AF126" s="17"/>
      <c r="AG126" s="17"/>
      <c r="AH126" s="17"/>
      <c r="AI126" s="17"/>
      <c r="AJ126" s="17"/>
      <c r="AK126" s="17"/>
      <c r="AL126" s="17"/>
      <c r="AM126" s="17"/>
      <c r="AN126" s="17"/>
      <c r="AO126" s="17"/>
      <c r="AP126" s="17"/>
      <c r="AQ126" s="17"/>
      <c r="AR126" s="17"/>
      <c r="AS126" s="17"/>
      <c r="AT126" s="17"/>
      <c r="AU126" s="17"/>
    </row>
    <row r="127" spans="2:47" x14ac:dyDescent="0.3">
      <c r="C127" s="3"/>
      <c r="D127" s="3"/>
      <c r="E127" s="3"/>
      <c r="F127" s="3"/>
      <c r="G127" s="3"/>
      <c r="H127" s="3"/>
      <c r="I127" s="3"/>
      <c r="J127" s="3"/>
      <c r="K127" s="3"/>
      <c r="L127" s="3"/>
      <c r="M127" s="3"/>
      <c r="N127" s="3"/>
      <c r="O127" s="3"/>
      <c r="P127" s="3"/>
      <c r="Q127" s="3"/>
      <c r="R127" s="3"/>
      <c r="S127" s="3"/>
      <c r="T127" s="3"/>
      <c r="U127" s="3"/>
      <c r="V127" s="293" t="s">
        <v>20</v>
      </c>
      <c r="W127" s="294"/>
      <c r="X127" s="294"/>
      <c r="Y127" s="295"/>
      <c r="Z127" s="3"/>
      <c r="AA127" s="19"/>
      <c r="AB127" s="19"/>
      <c r="AC127" s="19"/>
      <c r="AD127" s="17"/>
      <c r="AE127" s="17"/>
      <c r="AF127" s="17"/>
      <c r="AG127" s="17"/>
      <c r="AH127" s="17"/>
      <c r="AI127" s="17"/>
      <c r="AJ127" s="17"/>
      <c r="AK127" s="17"/>
      <c r="AL127" s="17"/>
      <c r="AM127" s="17"/>
      <c r="AN127" s="17"/>
      <c r="AO127" s="17"/>
      <c r="AP127" s="17"/>
      <c r="AQ127" s="17"/>
      <c r="AR127" s="17"/>
      <c r="AS127" s="17"/>
      <c r="AT127" s="17"/>
      <c r="AU127" s="17"/>
    </row>
    <row r="128" spans="2:47" x14ac:dyDescent="0.3">
      <c r="B128" s="92" t="s">
        <v>11</v>
      </c>
      <c r="C128" s="159" t="s">
        <v>23</v>
      </c>
      <c r="D128" s="159" t="s">
        <v>32</v>
      </c>
      <c r="E128" s="159" t="s">
        <v>24</v>
      </c>
      <c r="F128" s="159" t="s">
        <v>25</v>
      </c>
      <c r="G128" s="159" t="s">
        <v>28</v>
      </c>
      <c r="H128" s="159" t="s">
        <v>27</v>
      </c>
      <c r="I128" s="159" t="s">
        <v>26</v>
      </c>
      <c r="J128" s="3"/>
      <c r="K128" s="3"/>
      <c r="L128" s="159" t="s">
        <v>11</v>
      </c>
      <c r="M128" s="159" t="s">
        <v>30</v>
      </c>
      <c r="N128" s="159" t="s">
        <v>34</v>
      </c>
      <c r="O128" s="159" t="s">
        <v>35</v>
      </c>
      <c r="P128" s="159" t="s">
        <v>37</v>
      </c>
      <c r="Q128" s="159" t="s">
        <v>38</v>
      </c>
      <c r="R128" s="159" t="s">
        <v>39</v>
      </c>
      <c r="S128" s="159" t="s">
        <v>47</v>
      </c>
      <c r="T128" s="3"/>
      <c r="U128" s="3"/>
      <c r="V128" s="213" t="s">
        <v>11</v>
      </c>
      <c r="W128" s="213" t="s">
        <v>17</v>
      </c>
      <c r="X128" s="213" t="s">
        <v>18</v>
      </c>
      <c r="Y128" s="213" t="s">
        <v>44</v>
      </c>
      <c r="Z128" s="3"/>
      <c r="AA128" s="19"/>
      <c r="AB128" s="19"/>
      <c r="AC128" s="19"/>
      <c r="AD128" s="17"/>
      <c r="AE128" s="17"/>
      <c r="AF128" s="17"/>
      <c r="AG128" s="17"/>
      <c r="AH128" s="17"/>
      <c r="AI128" s="17"/>
      <c r="AJ128" s="17"/>
      <c r="AK128" s="17"/>
      <c r="AL128" s="17"/>
      <c r="AM128" s="17"/>
      <c r="AN128" s="17"/>
      <c r="AO128" s="17"/>
      <c r="AP128" s="17"/>
      <c r="AQ128" s="17"/>
      <c r="AR128" s="17"/>
      <c r="AS128" s="17"/>
      <c r="AT128" s="17"/>
      <c r="AU128" s="17"/>
    </row>
    <row r="129" spans="1:47" x14ac:dyDescent="0.3">
      <c r="B129" s="92" t="s">
        <v>13</v>
      </c>
      <c r="C129" s="4">
        <v>0.53569999999999995</v>
      </c>
      <c r="D129" s="4">
        <v>2.0310999999999999</v>
      </c>
      <c r="E129" s="4">
        <v>1.3521000000000001</v>
      </c>
      <c r="F129" s="4">
        <v>1.06E-2</v>
      </c>
      <c r="G129" s="4">
        <v>2.0179</v>
      </c>
      <c r="H129" s="4">
        <v>0.1</v>
      </c>
      <c r="I129" s="4">
        <v>0.68</v>
      </c>
      <c r="J129" s="3"/>
      <c r="K129" s="3"/>
      <c r="L129" s="159" t="s">
        <v>13</v>
      </c>
      <c r="M129" s="41">
        <f>I129/0.01026</f>
        <v>66.27680311890839</v>
      </c>
      <c r="N129" s="4">
        <f>(M129*G129/H129)/1000000/F129</f>
        <v>0.12616977454117473</v>
      </c>
      <c r="O129" s="4">
        <f>N129*D129/C129</f>
        <v>0.47837115749594922</v>
      </c>
      <c r="P129" s="4">
        <f>N129*0.1478+1.333</f>
        <v>1.3516478926771855</v>
      </c>
      <c r="Q129" s="41">
        <f>E129-(P129-1.333)</f>
        <v>1.3334521073228145</v>
      </c>
      <c r="R129" s="41">
        <f>(Q129-1.333)/0.1374</f>
        <v>3.2904463086938303E-3</v>
      </c>
      <c r="S129" s="4">
        <f>R129*D129/C129</f>
        <v>1.2475686947149596E-2</v>
      </c>
      <c r="T129" s="3"/>
      <c r="U129" s="3"/>
      <c r="V129" s="213" t="s">
        <v>13</v>
      </c>
      <c r="W129" s="7">
        <f>O129</f>
        <v>0.47837115749594922</v>
      </c>
      <c r="X129" s="7">
        <f>S129</f>
        <v>1.2475686947149596E-2</v>
      </c>
      <c r="Y129" s="7">
        <f>1-X129-W129</f>
        <v>0.5091531555569011</v>
      </c>
      <c r="Z129" s="3"/>
      <c r="AA129" s="19"/>
      <c r="AB129" s="19"/>
      <c r="AC129" s="19"/>
      <c r="AD129" s="17"/>
      <c r="AE129" s="17"/>
      <c r="AF129" s="17"/>
      <c r="AG129" s="17"/>
      <c r="AH129" s="17"/>
      <c r="AI129" s="17"/>
      <c r="AJ129" s="17"/>
      <c r="AK129" s="17"/>
      <c r="AL129" s="17"/>
      <c r="AM129" s="17"/>
      <c r="AN129" s="17"/>
      <c r="AO129" s="17"/>
      <c r="AP129" s="17"/>
      <c r="AQ129" s="17"/>
      <c r="AR129" s="17"/>
      <c r="AS129" s="17"/>
      <c r="AT129" s="17"/>
      <c r="AU129" s="17"/>
    </row>
    <row r="130" spans="1:47" x14ac:dyDescent="0.3">
      <c r="B130" s="92" t="s">
        <v>14</v>
      </c>
      <c r="C130" s="4">
        <v>0.60470000000000002</v>
      </c>
      <c r="D130" s="4">
        <v>2.0988000000000002</v>
      </c>
      <c r="E130" s="4">
        <v>1.3540000000000001</v>
      </c>
      <c r="F130" s="4">
        <v>1.0500000000000001E-2</v>
      </c>
      <c r="G130" s="4">
        <v>2.0158999999999998</v>
      </c>
      <c r="H130" s="4">
        <v>0.1</v>
      </c>
      <c r="I130" s="4">
        <v>0.73399999999999999</v>
      </c>
      <c r="J130" s="3"/>
      <c r="K130" s="3"/>
      <c r="L130" s="159" t="s">
        <v>14</v>
      </c>
      <c r="M130" s="41">
        <f t="shared" ref="M130:M131" si="52">I130/0.01026</f>
        <v>71.539961013645225</v>
      </c>
      <c r="N130" s="4">
        <f>(M130*G130/H130)/1000000/F130</f>
        <v>0.13734991181657843</v>
      </c>
      <c r="O130" s="4">
        <f>N130*D130/C130</f>
        <v>0.47671571840687094</v>
      </c>
      <c r="P130" s="4">
        <f>N130*0.1478+1.333</f>
        <v>1.3533003169664903</v>
      </c>
      <c r="Q130" s="41">
        <f t="shared" ref="Q130:Q131" si="53">E130-(P130-1.333)</f>
        <v>1.3336996830335097</v>
      </c>
      <c r="R130" s="41">
        <f t="shared" ref="R130:R131" si="54">(Q130-1.333)/0.1374</f>
        <v>5.0923073763446654E-3</v>
      </c>
      <c r="S130" s="4">
        <f>R130*D130/C130</f>
        <v>1.7674441411397693E-2</v>
      </c>
      <c r="T130" s="3"/>
      <c r="U130" s="3"/>
      <c r="V130" s="213" t="s">
        <v>14</v>
      </c>
      <c r="W130" s="7">
        <f>O130</f>
        <v>0.47671571840687094</v>
      </c>
      <c r="X130" s="7">
        <f>S130</f>
        <v>1.7674441411397693E-2</v>
      </c>
      <c r="Y130" s="7">
        <f>1-X130-W130</f>
        <v>0.50560984018173127</v>
      </c>
      <c r="Z130" s="3"/>
      <c r="AA130" s="19"/>
      <c r="AB130" s="19"/>
      <c r="AC130" s="19"/>
      <c r="AD130" s="17"/>
      <c r="AE130" s="17"/>
      <c r="AF130" s="17"/>
      <c r="AG130" s="17"/>
      <c r="AH130" s="17"/>
      <c r="AI130" s="17"/>
      <c r="AJ130" s="17"/>
      <c r="AK130" s="17"/>
      <c r="AL130" s="17"/>
      <c r="AM130" s="17"/>
      <c r="AN130" s="17"/>
      <c r="AO130" s="17"/>
      <c r="AP130" s="17"/>
      <c r="AQ130" s="17"/>
      <c r="AR130" s="17"/>
      <c r="AS130" s="17"/>
      <c r="AT130" s="17"/>
      <c r="AU130" s="17"/>
    </row>
    <row r="131" spans="1:47" x14ac:dyDescent="0.3">
      <c r="B131" s="92" t="s">
        <v>15</v>
      </c>
      <c r="C131" s="4">
        <v>0.60399999999999998</v>
      </c>
      <c r="D131" s="4">
        <v>2.097</v>
      </c>
      <c r="E131" s="4">
        <v>1.3541000000000001</v>
      </c>
      <c r="F131" s="4">
        <v>1.06E-2</v>
      </c>
      <c r="G131" s="4">
        <v>2.0049000000000001</v>
      </c>
      <c r="H131" s="4">
        <v>0.1</v>
      </c>
      <c r="I131" s="4">
        <v>0.73</v>
      </c>
      <c r="J131" s="3"/>
      <c r="K131" s="3"/>
      <c r="L131" s="159" t="s">
        <v>15</v>
      </c>
      <c r="M131" s="41">
        <f t="shared" si="52"/>
        <v>71.150097465886944</v>
      </c>
      <c r="N131" s="4">
        <f>(M131*G131/H131)/1000000/F131</f>
        <v>0.1345743683107139</v>
      </c>
      <c r="O131" s="4">
        <f>N131*D131/C131</f>
        <v>0.46722259991319043</v>
      </c>
      <c r="P131" s="4">
        <f>N131*0.1478+1.333</f>
        <v>1.3528900916363236</v>
      </c>
      <c r="Q131" s="41">
        <f t="shared" si="53"/>
        <v>1.3342099083636765</v>
      </c>
      <c r="R131" s="41">
        <f t="shared" si="54"/>
        <v>8.8057377269033128E-3</v>
      </c>
      <c r="S131" s="4">
        <f>R131*D131/C131</f>
        <v>3.0572238432642795E-2</v>
      </c>
      <c r="T131" s="3"/>
      <c r="U131" s="3"/>
      <c r="V131" s="213" t="s">
        <v>15</v>
      </c>
      <c r="W131" s="7">
        <f>O131</f>
        <v>0.46722259991319043</v>
      </c>
      <c r="X131" s="7">
        <f>S131</f>
        <v>3.0572238432642795E-2</v>
      </c>
      <c r="Y131" s="7">
        <f>1-X131-W131</f>
        <v>0.50220516165416673</v>
      </c>
      <c r="Z131" s="159" t="s">
        <v>69</v>
      </c>
      <c r="AA131" s="159" t="s">
        <v>8</v>
      </c>
      <c r="AB131" s="19"/>
      <c r="AC131" s="19"/>
      <c r="AD131" s="17"/>
      <c r="AE131" s="17"/>
      <c r="AF131" s="17"/>
      <c r="AG131" s="17"/>
      <c r="AH131" s="17"/>
      <c r="AI131" s="17"/>
      <c r="AJ131" s="17"/>
      <c r="AK131" s="17"/>
      <c r="AL131" s="17"/>
      <c r="AM131" s="17"/>
      <c r="AN131" s="17"/>
      <c r="AO131" s="17"/>
      <c r="AP131" s="17"/>
      <c r="AQ131" s="17"/>
      <c r="AR131" s="17"/>
      <c r="AS131" s="17"/>
      <c r="AT131" s="17"/>
      <c r="AU131" s="17"/>
    </row>
    <row r="132" spans="1:47" x14ac:dyDescent="0.3">
      <c r="B132" s="92" t="s">
        <v>22</v>
      </c>
      <c r="C132" s="4">
        <f>AVERAGE(C129:C131)</f>
        <v>0.58146666666666669</v>
      </c>
      <c r="D132" s="4">
        <f>C132+1.5</f>
        <v>2.0814666666666666</v>
      </c>
      <c r="E132" s="4">
        <f>AVERAGE(E129:E131)</f>
        <v>1.3533999999999999</v>
      </c>
      <c r="F132" s="4">
        <f>AVERAGE(F129:F131)</f>
        <v>1.0566666666666667E-2</v>
      </c>
      <c r="G132" s="4">
        <f>AVERAGE(G129:G131)</f>
        <v>2.0128999999999997</v>
      </c>
      <c r="H132" s="4">
        <f>AVERAGE(H129:H131)</f>
        <v>0.10000000000000002</v>
      </c>
      <c r="I132" s="4">
        <f>AVERAGE(I129:I131)</f>
        <v>0.71466666666666667</v>
      </c>
      <c r="J132" s="3"/>
      <c r="K132" s="3"/>
      <c r="L132" s="159" t="s">
        <v>22</v>
      </c>
      <c r="M132" s="4">
        <f t="shared" ref="M132:R132" si="55">AVERAGE(M129:M131)</f>
        <v>69.655620532813515</v>
      </c>
      <c r="N132" s="4">
        <f t="shared" si="55"/>
        <v>0.13269801822282234</v>
      </c>
      <c r="O132" s="4">
        <f t="shared" si="55"/>
        <v>0.47410315860533686</v>
      </c>
      <c r="P132" s="4">
        <f t="shared" si="55"/>
        <v>1.3526127670933332</v>
      </c>
      <c r="Q132" s="4">
        <f t="shared" si="55"/>
        <v>1.3337872329066667</v>
      </c>
      <c r="R132" s="4">
        <f t="shared" si="55"/>
        <v>5.7294971373139355E-3</v>
      </c>
      <c r="S132" s="70">
        <f>AVERAGE(S129,S130)</f>
        <v>1.5075064179273644E-2</v>
      </c>
      <c r="T132" s="3"/>
      <c r="U132" s="3"/>
      <c r="V132" s="213" t="s">
        <v>22</v>
      </c>
      <c r="W132" s="7">
        <f>ABS(AVERAGE(W129:W131))</f>
        <v>0.47410315860533686</v>
      </c>
      <c r="X132" s="7">
        <f t="shared" ref="X132:Y132" si="56">ABS(AVERAGE(X129:X131))</f>
        <v>2.0240788930396696E-2</v>
      </c>
      <c r="Y132" s="7">
        <f t="shared" si="56"/>
        <v>0.50565605246426637</v>
      </c>
      <c r="Z132" s="41">
        <f>C132/0.5</f>
        <v>1.1629333333333334</v>
      </c>
      <c r="AA132" s="41">
        <f>C133/0.5</f>
        <v>7.9273282594663264E-2</v>
      </c>
      <c r="AB132" s="19"/>
      <c r="AC132" s="19"/>
      <c r="AD132" s="17"/>
      <c r="AE132" s="17"/>
      <c r="AF132" s="17"/>
      <c r="AG132" s="17"/>
      <c r="AH132" s="17"/>
      <c r="AI132" s="17"/>
      <c r="AJ132" s="17"/>
      <c r="AK132" s="17"/>
      <c r="AL132" s="17"/>
      <c r="AM132" s="17"/>
      <c r="AN132" s="17"/>
      <c r="AO132" s="17"/>
      <c r="AP132" s="17"/>
      <c r="AQ132" s="17"/>
      <c r="AR132" s="17"/>
      <c r="AS132" s="17"/>
      <c r="AT132" s="17"/>
      <c r="AU132" s="17"/>
    </row>
    <row r="133" spans="1:47" x14ac:dyDescent="0.3">
      <c r="B133" s="92" t="s">
        <v>8</v>
      </c>
      <c r="C133" s="4">
        <f t="shared" ref="C133:I133" si="57">_xlfn.STDEV.S(C129:C131)</f>
        <v>3.9636641297331632E-2</v>
      </c>
      <c r="D133" s="4">
        <f t="shared" si="57"/>
        <v>3.8577497758840479E-2</v>
      </c>
      <c r="E133" s="4">
        <f t="shared" si="57"/>
        <v>1.1269427669584684E-3</v>
      </c>
      <c r="F133" s="4">
        <f t="shared" si="57"/>
        <v>5.7735026918962226E-5</v>
      </c>
      <c r="G133" s="4">
        <f t="shared" si="57"/>
        <v>6.9999999999998952E-3</v>
      </c>
      <c r="H133" s="4">
        <f t="shared" si="57"/>
        <v>1.6996749443881478E-17</v>
      </c>
      <c r="I133" s="4">
        <f t="shared" si="57"/>
        <v>3.0088757590391316E-2</v>
      </c>
      <c r="J133" s="3"/>
      <c r="K133" s="3"/>
      <c r="L133" s="159" t="s">
        <v>8</v>
      </c>
      <c r="M133" s="4">
        <f t="shared" ref="M133:R133" si="58">_xlfn.STDEV.S(M129:M131)</f>
        <v>2.9326274454572436</v>
      </c>
      <c r="N133" s="4">
        <f t="shared" si="58"/>
        <v>5.8214589763620084E-3</v>
      </c>
      <c r="O133" s="4">
        <f t="shared" si="58"/>
        <v>6.0159525913579103E-3</v>
      </c>
      <c r="P133" s="4">
        <f t="shared" si="58"/>
        <v>8.6041163670637388E-4</v>
      </c>
      <c r="Q133" s="4">
        <f t="shared" si="58"/>
        <v>3.86412136973277E-4</v>
      </c>
      <c r="R133" s="4">
        <f t="shared" si="58"/>
        <v>2.8123154073746519E-3</v>
      </c>
      <c r="S133" s="4">
        <f>_xlfn.STDEV.S(S130:S131)</f>
        <v>9.1201197360900512E-3</v>
      </c>
      <c r="T133" s="3"/>
      <c r="U133" s="3"/>
      <c r="V133" s="213" t="s">
        <v>8</v>
      </c>
      <c r="W133" s="7">
        <f>_xlfn.STDEV.S(W129:W131)</f>
        <v>6.0159525913579103E-3</v>
      </c>
      <c r="X133" s="7">
        <f t="shared" ref="X133:Y133" si="59">_xlfn.STDEV.S(X129:X131)</f>
        <v>9.3172366401192506E-3</v>
      </c>
      <c r="Y133" s="7">
        <f t="shared" si="59"/>
        <v>3.4742274679993731E-3</v>
      </c>
      <c r="Z133" s="41">
        <f>C133/0.5</f>
        <v>7.9273282594663264E-2</v>
      </c>
      <c r="AA133" s="4"/>
      <c r="AB133" s="19"/>
      <c r="AC133" s="19"/>
      <c r="AD133" s="17"/>
      <c r="AE133" s="17"/>
      <c r="AF133" s="17"/>
      <c r="AG133" s="17"/>
      <c r="AH133" s="17"/>
      <c r="AI133" s="17"/>
      <c r="AJ133" s="17"/>
      <c r="AK133" s="17"/>
      <c r="AL133" s="17"/>
      <c r="AM133" s="17"/>
      <c r="AN133" s="17"/>
      <c r="AO133" s="17"/>
      <c r="AP133" s="17"/>
      <c r="AQ133" s="17"/>
      <c r="AR133" s="17"/>
      <c r="AS133" s="17"/>
      <c r="AT133" s="17"/>
      <c r="AU133" s="17"/>
    </row>
    <row r="134" spans="1:47" x14ac:dyDescent="0.3">
      <c r="C134" s="3"/>
      <c r="D134" s="3"/>
      <c r="E134" s="3"/>
      <c r="F134" s="3"/>
      <c r="G134" s="3"/>
      <c r="H134" s="3"/>
      <c r="I134" s="3"/>
      <c r="J134" s="3"/>
      <c r="K134" s="3"/>
      <c r="L134" s="3"/>
      <c r="M134" s="3"/>
      <c r="N134" s="3"/>
      <c r="O134" s="3"/>
      <c r="P134" s="3"/>
      <c r="Q134" s="3"/>
      <c r="R134" s="3"/>
      <c r="S134" s="3"/>
      <c r="T134" s="3"/>
      <c r="U134" s="3"/>
      <c r="V134" s="83"/>
      <c r="W134" s="83"/>
      <c r="X134" s="83"/>
      <c r="Y134" s="83"/>
      <c r="Z134" s="3"/>
      <c r="AA134" s="19"/>
      <c r="AB134" s="19"/>
      <c r="AC134" s="19"/>
      <c r="AD134" s="17"/>
      <c r="AE134" s="17"/>
      <c r="AF134" s="17"/>
      <c r="AG134" s="17"/>
      <c r="AH134" s="17"/>
      <c r="AI134" s="17"/>
      <c r="AJ134" s="17"/>
      <c r="AK134" s="17"/>
      <c r="AL134" s="17"/>
      <c r="AM134" s="17"/>
      <c r="AN134" s="17"/>
      <c r="AO134" s="17"/>
      <c r="AP134" s="17"/>
      <c r="AQ134" s="17"/>
      <c r="AR134" s="17"/>
      <c r="AS134" s="17"/>
      <c r="AT134" s="17"/>
      <c r="AU134" s="17"/>
    </row>
    <row r="135" spans="1:47" x14ac:dyDescent="0.3">
      <c r="A135" s="17"/>
      <c r="B135" s="17"/>
      <c r="C135" s="19"/>
      <c r="D135" s="19"/>
      <c r="E135" s="19"/>
      <c r="F135" s="19"/>
      <c r="G135" s="19"/>
      <c r="H135" s="19"/>
      <c r="I135" s="19"/>
      <c r="J135" s="19"/>
      <c r="K135" s="19"/>
      <c r="L135" s="19"/>
      <c r="M135" s="19"/>
      <c r="N135" s="19"/>
      <c r="O135" s="19"/>
      <c r="P135" s="19"/>
      <c r="Q135" s="19"/>
      <c r="R135" s="19"/>
      <c r="S135" s="19"/>
      <c r="T135" s="19"/>
      <c r="U135" s="19"/>
      <c r="V135" s="19"/>
      <c r="W135" s="19"/>
      <c r="X135" s="19"/>
      <c r="Y135" s="19"/>
      <c r="Z135" s="19"/>
      <c r="AA135" s="19"/>
      <c r="AB135" s="19"/>
      <c r="AC135" s="19"/>
      <c r="AD135" s="17"/>
      <c r="AE135" s="17"/>
      <c r="AF135" s="17"/>
      <c r="AG135" s="17"/>
      <c r="AH135" s="17"/>
      <c r="AI135" s="17"/>
      <c r="AJ135" s="17"/>
      <c r="AK135" s="17"/>
      <c r="AL135" s="17"/>
      <c r="AM135" s="17"/>
      <c r="AN135" s="17"/>
      <c r="AO135" s="17"/>
      <c r="AP135" s="17"/>
      <c r="AQ135" s="17"/>
      <c r="AR135" s="17"/>
      <c r="AS135" s="17"/>
      <c r="AT135" s="17"/>
      <c r="AU135" s="17"/>
    </row>
    <row r="136" spans="1:47" x14ac:dyDescent="0.3">
      <c r="A136" s="17"/>
      <c r="B136" s="17"/>
      <c r="C136" s="19"/>
      <c r="D136" s="19"/>
      <c r="E136" s="19"/>
      <c r="F136" s="19"/>
      <c r="G136" s="19"/>
      <c r="H136" s="19"/>
      <c r="I136" s="19"/>
      <c r="J136" s="19"/>
      <c r="K136" s="19"/>
      <c r="L136" s="19"/>
      <c r="M136" s="19"/>
      <c r="N136" s="19"/>
      <c r="O136" s="19"/>
      <c r="P136" s="19"/>
      <c r="Q136" s="19"/>
      <c r="R136" s="19"/>
      <c r="S136" s="19"/>
      <c r="T136" s="19"/>
      <c r="U136" s="19"/>
      <c r="V136" s="19"/>
      <c r="W136" s="3">
        <f>W123</f>
        <v>0.15213594567873995</v>
      </c>
      <c r="X136" s="3">
        <f>X123</f>
        <v>0.17602279632989112</v>
      </c>
      <c r="Y136" s="19"/>
      <c r="Z136" s="19"/>
      <c r="AA136" s="19"/>
      <c r="AB136" s="19"/>
      <c r="AC136" s="19"/>
      <c r="AD136" s="17"/>
      <c r="AE136" s="17"/>
      <c r="AF136" s="17"/>
      <c r="AG136" s="17"/>
      <c r="AH136" s="17"/>
      <c r="AI136" s="17"/>
      <c r="AJ136" s="17"/>
      <c r="AK136" s="17"/>
      <c r="AL136" s="17"/>
      <c r="AM136" s="17"/>
      <c r="AN136" s="17"/>
      <c r="AO136" s="17"/>
      <c r="AP136" s="17"/>
      <c r="AQ136" s="17"/>
      <c r="AR136" s="17"/>
      <c r="AS136" s="17"/>
      <c r="AT136" s="17"/>
      <c r="AU136" s="17"/>
    </row>
    <row r="137" spans="1:47" x14ac:dyDescent="0.3">
      <c r="A137" s="17"/>
      <c r="B137" s="17"/>
      <c r="C137" s="19"/>
      <c r="D137" s="19"/>
      <c r="E137" s="19"/>
      <c r="F137" s="19"/>
      <c r="G137" s="19"/>
      <c r="H137" s="19"/>
      <c r="I137" s="19"/>
      <c r="J137" s="19"/>
      <c r="K137" s="19"/>
      <c r="L137" s="19"/>
      <c r="M137" s="19"/>
      <c r="N137" s="19"/>
      <c r="O137" s="19"/>
      <c r="P137" s="19"/>
      <c r="Q137" s="19"/>
      <c r="R137" s="19"/>
      <c r="S137" s="19"/>
      <c r="T137" s="19"/>
      <c r="U137" s="19"/>
      <c r="V137" s="19"/>
      <c r="W137" s="3">
        <f>W132</f>
        <v>0.47410315860533686</v>
      </c>
      <c r="X137" s="3">
        <f>X132</f>
        <v>2.0240788930396696E-2</v>
      </c>
      <c r="Y137" s="19"/>
      <c r="Z137" s="19"/>
      <c r="AA137" s="19"/>
      <c r="AB137" s="19"/>
      <c r="AC137" s="19"/>
      <c r="AD137" s="17"/>
      <c r="AE137" s="17"/>
      <c r="AF137" s="17"/>
      <c r="AG137" s="17"/>
      <c r="AH137" s="17"/>
      <c r="AI137" s="17"/>
      <c r="AJ137" s="17"/>
      <c r="AK137" s="17"/>
      <c r="AL137" s="17"/>
      <c r="AM137" s="17"/>
      <c r="AN137" s="17"/>
      <c r="AO137" s="17"/>
      <c r="AP137" s="17"/>
      <c r="AQ137" s="17"/>
      <c r="AR137" s="17"/>
      <c r="AS137" s="17"/>
      <c r="AT137" s="17"/>
      <c r="AU137" s="17"/>
    </row>
    <row r="138" spans="1:47" x14ac:dyDescent="0.3">
      <c r="A138" s="17"/>
      <c r="B138" s="17"/>
      <c r="C138" s="19"/>
      <c r="D138" s="19"/>
      <c r="E138" s="19"/>
      <c r="F138" s="19"/>
      <c r="G138" s="19"/>
      <c r="H138" s="19"/>
      <c r="I138" s="19"/>
      <c r="J138" s="19"/>
      <c r="K138" s="19"/>
      <c r="L138" s="19"/>
      <c r="M138" s="19"/>
      <c r="N138" s="19"/>
      <c r="O138" s="19"/>
      <c r="P138" s="19"/>
      <c r="Q138" s="19"/>
      <c r="R138" s="19"/>
      <c r="S138" s="19"/>
      <c r="T138" s="19"/>
      <c r="U138" s="19"/>
      <c r="V138" s="19"/>
      <c r="W138" s="3">
        <f>J116</f>
        <v>0.30029970029970027</v>
      </c>
      <c r="X138" s="3">
        <f>K116</f>
        <v>9.9900099900099903E-2</v>
      </c>
      <c r="Y138" s="19"/>
      <c r="Z138" s="19"/>
      <c r="AA138" s="19"/>
      <c r="AB138" s="19"/>
      <c r="AC138" s="19"/>
      <c r="AD138" s="17"/>
      <c r="AE138" s="17"/>
      <c r="AF138" s="17"/>
      <c r="AG138" s="17"/>
      <c r="AH138" s="17"/>
      <c r="AI138" s="17"/>
      <c r="AJ138" s="17"/>
      <c r="AK138" s="17"/>
      <c r="AL138" s="17"/>
      <c r="AM138" s="17"/>
      <c r="AN138" s="17"/>
      <c r="AO138" s="17"/>
      <c r="AP138" s="17"/>
      <c r="AQ138" s="17"/>
      <c r="AR138" s="17"/>
      <c r="AS138" s="17"/>
      <c r="AT138" s="17"/>
      <c r="AU138" s="17"/>
    </row>
    <row r="139" spans="1:47" x14ac:dyDescent="0.3">
      <c r="A139" s="17"/>
      <c r="B139" s="17"/>
      <c r="C139" s="19"/>
      <c r="D139" s="19"/>
      <c r="E139" s="19"/>
      <c r="F139" s="19"/>
      <c r="G139" s="19"/>
      <c r="H139" s="19"/>
      <c r="I139" s="19"/>
      <c r="J139" s="19"/>
      <c r="K139" s="19"/>
      <c r="L139" s="19"/>
      <c r="M139" s="19"/>
      <c r="N139" s="19"/>
      <c r="O139" s="19"/>
      <c r="P139" s="19"/>
      <c r="Q139" s="19"/>
      <c r="R139" s="19"/>
      <c r="S139" s="19"/>
      <c r="T139" s="19"/>
      <c r="U139" s="19"/>
      <c r="V139" s="19"/>
      <c r="W139" s="19"/>
      <c r="X139" s="19"/>
      <c r="Y139" s="19"/>
      <c r="Z139" s="19"/>
      <c r="AA139" s="19"/>
      <c r="AB139" s="19"/>
      <c r="AC139" s="19"/>
      <c r="AD139" s="17"/>
      <c r="AE139" s="17"/>
      <c r="AF139" s="17"/>
      <c r="AG139" s="17"/>
      <c r="AH139" s="17"/>
      <c r="AI139" s="17"/>
      <c r="AJ139" s="17"/>
      <c r="AK139" s="17"/>
      <c r="AL139" s="17"/>
      <c r="AM139" s="17"/>
      <c r="AN139" s="17"/>
      <c r="AO139" s="17"/>
      <c r="AP139" s="17"/>
      <c r="AQ139" s="17"/>
      <c r="AR139" s="17"/>
      <c r="AS139" s="17"/>
      <c r="AT139" s="17"/>
      <c r="AU139" s="17"/>
    </row>
    <row r="140" spans="1:47" x14ac:dyDescent="0.3">
      <c r="A140" s="17"/>
      <c r="B140" s="17"/>
      <c r="C140" s="19"/>
      <c r="D140" s="19"/>
      <c r="E140" s="19"/>
      <c r="F140" s="19"/>
      <c r="G140" s="19"/>
      <c r="H140" s="19"/>
      <c r="I140" s="19"/>
      <c r="J140" s="19"/>
      <c r="K140" s="19"/>
      <c r="L140" s="19"/>
      <c r="M140" s="19"/>
      <c r="N140" s="19"/>
      <c r="O140" s="19"/>
      <c r="P140" s="19"/>
      <c r="Q140" s="19"/>
      <c r="R140" s="19"/>
      <c r="S140" s="19"/>
      <c r="T140" s="19"/>
      <c r="U140" s="19"/>
      <c r="V140" s="19"/>
      <c r="W140" s="19"/>
      <c r="X140" s="19"/>
      <c r="Y140" s="19"/>
      <c r="Z140" s="19"/>
      <c r="AA140" s="19"/>
      <c r="AB140" s="19"/>
      <c r="AC140" s="19"/>
      <c r="AD140" s="17"/>
      <c r="AE140" s="17"/>
      <c r="AF140" s="17"/>
      <c r="AG140" s="17"/>
      <c r="AH140" s="17"/>
      <c r="AI140" s="17"/>
      <c r="AJ140" s="17"/>
      <c r="AK140" s="17"/>
      <c r="AL140" s="17"/>
      <c r="AM140" s="17"/>
      <c r="AN140" s="17"/>
      <c r="AO140" s="17"/>
      <c r="AP140" s="17"/>
      <c r="AQ140" s="17"/>
      <c r="AR140" s="17"/>
      <c r="AS140" s="17"/>
      <c r="AT140" s="17"/>
      <c r="AU140" s="17"/>
    </row>
    <row r="141" spans="1:47" x14ac:dyDescent="0.3">
      <c r="A141" s="17"/>
      <c r="B141" s="17"/>
      <c r="C141" s="19"/>
      <c r="D141" s="19"/>
      <c r="E141" s="19"/>
      <c r="F141" s="19"/>
      <c r="G141" s="19"/>
      <c r="H141" s="19"/>
      <c r="I141" s="19"/>
      <c r="J141" s="19"/>
      <c r="K141" s="19"/>
      <c r="L141" s="19"/>
      <c r="M141" s="19"/>
      <c r="N141" s="19"/>
      <c r="O141" s="19"/>
      <c r="P141" s="19"/>
      <c r="Q141" s="19"/>
      <c r="R141" s="19"/>
      <c r="S141" s="19"/>
      <c r="T141" s="19"/>
      <c r="U141" s="19"/>
      <c r="V141" s="19"/>
      <c r="W141" s="19"/>
      <c r="X141" s="19"/>
      <c r="Y141" s="19"/>
      <c r="Z141" s="19"/>
      <c r="AA141" s="19"/>
      <c r="AB141" s="19"/>
      <c r="AC141" s="19"/>
      <c r="AD141" s="17"/>
      <c r="AE141" s="17"/>
      <c r="AF141" s="17"/>
      <c r="AG141" s="17"/>
      <c r="AH141" s="17"/>
      <c r="AI141" s="17"/>
      <c r="AJ141" s="17"/>
      <c r="AK141" s="17"/>
      <c r="AL141" s="17"/>
      <c r="AM141" s="17"/>
      <c r="AN141" s="17"/>
      <c r="AO141" s="17"/>
      <c r="AP141" s="17"/>
      <c r="AQ141" s="17"/>
      <c r="AR141" s="17"/>
      <c r="AS141" s="17"/>
      <c r="AT141" s="17"/>
      <c r="AU141" s="17"/>
    </row>
    <row r="142" spans="1:47" x14ac:dyDescent="0.3">
      <c r="A142" s="17"/>
      <c r="B142" s="17"/>
      <c r="C142" s="299"/>
      <c r="D142" s="299"/>
      <c r="E142" s="299"/>
      <c r="F142" s="194"/>
      <c r="G142" s="194"/>
      <c r="H142" s="194"/>
      <c r="I142" s="19"/>
      <c r="J142" s="299"/>
      <c r="K142" s="299"/>
      <c r="L142" s="19"/>
      <c r="M142" s="19"/>
      <c r="N142" s="19"/>
      <c r="O142" s="19"/>
      <c r="P142" s="19"/>
      <c r="Q142" s="19"/>
      <c r="R142" s="19"/>
      <c r="S142" s="19"/>
      <c r="T142" s="19"/>
      <c r="U142" s="19"/>
      <c r="V142" s="19"/>
      <c r="W142" s="19"/>
      <c r="X142" s="19"/>
      <c r="Y142" s="19"/>
      <c r="Z142" s="19"/>
      <c r="AA142" s="19"/>
      <c r="AB142" s="19"/>
      <c r="AC142" s="19"/>
      <c r="AD142" s="17"/>
      <c r="AE142" s="17"/>
      <c r="AF142" s="17"/>
      <c r="AG142" s="17"/>
      <c r="AH142" s="17"/>
      <c r="AI142" s="17"/>
      <c r="AJ142" s="17"/>
      <c r="AK142" s="17"/>
      <c r="AL142" s="17"/>
      <c r="AM142" s="17"/>
      <c r="AN142" s="17"/>
      <c r="AO142" s="17"/>
      <c r="AP142" s="17"/>
      <c r="AQ142" s="17"/>
      <c r="AR142" s="17"/>
      <c r="AS142" s="17"/>
      <c r="AT142" s="17"/>
      <c r="AU142" s="17"/>
    </row>
    <row r="143" spans="1:47" x14ac:dyDescent="0.3">
      <c r="A143" s="17"/>
      <c r="B143" s="17"/>
      <c r="C143" s="19"/>
      <c r="D143" s="19"/>
      <c r="E143" s="19"/>
      <c r="F143" s="19"/>
      <c r="G143" s="19"/>
      <c r="H143" s="19"/>
      <c r="I143" s="19"/>
      <c r="J143" s="19"/>
      <c r="K143" s="19"/>
      <c r="L143" s="19"/>
      <c r="M143" s="19"/>
      <c r="N143" s="19"/>
      <c r="O143" s="19"/>
      <c r="P143" s="19"/>
      <c r="Q143" s="19"/>
      <c r="R143" s="19"/>
      <c r="S143" s="19"/>
      <c r="T143" s="19"/>
      <c r="U143" s="19"/>
      <c r="V143" s="19"/>
      <c r="W143" s="19"/>
      <c r="X143" s="19"/>
      <c r="Y143" s="19"/>
      <c r="Z143" s="19"/>
      <c r="AA143" s="19"/>
      <c r="AB143" s="19"/>
      <c r="AC143" s="19"/>
      <c r="AD143" s="17"/>
      <c r="AE143" s="17"/>
      <c r="AF143" s="17"/>
      <c r="AG143" s="17"/>
      <c r="AH143" s="17"/>
      <c r="AI143" s="17"/>
      <c r="AJ143" s="17"/>
      <c r="AK143" s="17"/>
      <c r="AL143" s="17"/>
      <c r="AM143" s="17"/>
      <c r="AN143" s="17"/>
      <c r="AO143" s="17"/>
      <c r="AP143" s="17"/>
      <c r="AQ143" s="17"/>
      <c r="AR143" s="17"/>
      <c r="AS143" s="17"/>
      <c r="AT143" s="17"/>
      <c r="AU143" s="17"/>
    </row>
    <row r="144" spans="1:47" x14ac:dyDescent="0.3">
      <c r="A144" s="17"/>
      <c r="B144" s="17"/>
      <c r="C144" s="19"/>
      <c r="D144" s="19"/>
      <c r="E144" s="19"/>
      <c r="F144" s="19"/>
      <c r="G144" s="19"/>
      <c r="H144" s="19"/>
      <c r="I144" s="19"/>
      <c r="J144" s="205"/>
      <c r="K144" s="205"/>
      <c r="L144" s="205"/>
      <c r="M144" s="19"/>
      <c r="N144" s="19"/>
      <c r="O144" s="19"/>
      <c r="P144" s="19"/>
      <c r="Q144" s="19"/>
      <c r="R144" s="19"/>
      <c r="S144" s="19"/>
      <c r="T144" s="19"/>
      <c r="U144" s="19"/>
      <c r="V144" s="19"/>
      <c r="W144" s="19"/>
      <c r="X144" s="19"/>
      <c r="Y144" s="19"/>
      <c r="Z144" s="19"/>
      <c r="AA144" s="19"/>
      <c r="AB144" s="19"/>
      <c r="AC144" s="19"/>
      <c r="AD144" s="17"/>
      <c r="AE144" s="17"/>
      <c r="AF144" s="17"/>
      <c r="AG144" s="17"/>
      <c r="AH144" s="17"/>
      <c r="AI144" s="17"/>
      <c r="AJ144" s="17"/>
      <c r="AK144" s="17"/>
      <c r="AL144" s="17"/>
      <c r="AM144" s="17"/>
      <c r="AN144" s="17"/>
      <c r="AO144" s="17"/>
      <c r="AP144" s="17"/>
      <c r="AQ144" s="17"/>
      <c r="AR144" s="17"/>
      <c r="AS144" s="17"/>
      <c r="AT144" s="17"/>
      <c r="AU144" s="17"/>
    </row>
    <row r="145" spans="1:47" x14ac:dyDescent="0.3">
      <c r="A145" s="17"/>
      <c r="B145" s="17"/>
      <c r="C145" s="19"/>
      <c r="D145" s="19"/>
      <c r="E145" s="19"/>
      <c r="F145" s="19"/>
      <c r="G145" s="19"/>
      <c r="H145" s="19"/>
      <c r="I145" s="19"/>
      <c r="J145" s="205"/>
      <c r="K145" s="205"/>
      <c r="L145" s="205"/>
      <c r="M145" s="19"/>
      <c r="N145" s="19"/>
      <c r="O145" s="19"/>
      <c r="P145" s="19"/>
      <c r="Q145" s="19"/>
      <c r="R145" s="19"/>
      <c r="S145" s="19"/>
      <c r="T145" s="19"/>
      <c r="U145" s="19"/>
      <c r="V145" s="19"/>
      <c r="W145" s="19"/>
      <c r="X145" s="19"/>
      <c r="Y145" s="19"/>
      <c r="Z145" s="19"/>
      <c r="AA145" s="19"/>
      <c r="AB145" s="19"/>
      <c r="AC145" s="19"/>
      <c r="AD145" s="17"/>
      <c r="AE145" s="17"/>
      <c r="AF145" s="17"/>
      <c r="AG145" s="17"/>
      <c r="AH145" s="17"/>
      <c r="AI145" s="17"/>
      <c r="AJ145" s="17"/>
      <c r="AK145" s="17"/>
      <c r="AL145" s="17"/>
      <c r="AM145" s="17"/>
      <c r="AN145" s="17"/>
      <c r="AO145" s="17"/>
      <c r="AP145" s="17"/>
      <c r="AQ145" s="17"/>
      <c r="AR145" s="17"/>
      <c r="AS145" s="17"/>
      <c r="AT145" s="17"/>
      <c r="AU145" s="17"/>
    </row>
    <row r="146" spans="1:47" x14ac:dyDescent="0.3">
      <c r="A146" s="17"/>
      <c r="B146" s="17"/>
      <c r="C146" s="19"/>
      <c r="D146" s="19"/>
      <c r="E146" s="19"/>
      <c r="F146" s="19"/>
      <c r="G146" s="19"/>
      <c r="H146" s="19"/>
      <c r="I146" s="19"/>
      <c r="J146" s="205"/>
      <c r="K146" s="205"/>
      <c r="L146" s="205"/>
      <c r="M146" s="19"/>
      <c r="N146" s="19"/>
      <c r="O146" s="19"/>
      <c r="P146" s="19"/>
      <c r="Q146" s="19"/>
      <c r="R146" s="19"/>
      <c r="S146" s="19"/>
      <c r="T146" s="19"/>
      <c r="U146" s="19"/>
      <c r="V146" s="19"/>
      <c r="W146" s="19"/>
      <c r="X146" s="19"/>
      <c r="Y146" s="19"/>
      <c r="Z146" s="19"/>
      <c r="AA146" s="19"/>
      <c r="AB146" s="19"/>
      <c r="AC146" s="19"/>
      <c r="AD146" s="17"/>
      <c r="AE146" s="17"/>
      <c r="AF146" s="17"/>
      <c r="AG146" s="17"/>
      <c r="AH146" s="17"/>
      <c r="AI146" s="17"/>
      <c r="AJ146" s="17"/>
      <c r="AK146" s="17"/>
      <c r="AL146" s="17"/>
      <c r="AM146" s="17"/>
      <c r="AN146" s="17"/>
      <c r="AO146" s="17"/>
      <c r="AP146" s="17"/>
      <c r="AQ146" s="17"/>
      <c r="AR146" s="17"/>
      <c r="AS146" s="17"/>
      <c r="AT146" s="17"/>
      <c r="AU146" s="17"/>
    </row>
    <row r="147" spans="1:47" x14ac:dyDescent="0.3">
      <c r="A147" s="17"/>
      <c r="B147" s="17"/>
      <c r="C147" s="19"/>
      <c r="D147" s="19"/>
      <c r="E147" s="19"/>
      <c r="F147" s="19"/>
      <c r="G147" s="19"/>
      <c r="H147" s="19"/>
      <c r="I147" s="19"/>
      <c r="J147" s="205"/>
      <c r="K147" s="205"/>
      <c r="L147" s="205"/>
      <c r="M147" s="19"/>
      <c r="N147" s="19"/>
      <c r="O147" s="19"/>
      <c r="P147" s="19"/>
      <c r="Q147" s="19"/>
      <c r="R147" s="19"/>
      <c r="S147" s="19"/>
      <c r="T147" s="19"/>
      <c r="U147" s="19"/>
      <c r="V147" s="19"/>
      <c r="W147" s="19"/>
      <c r="X147" s="19"/>
      <c r="Y147" s="19"/>
      <c r="Z147" s="19"/>
      <c r="AA147" s="19"/>
      <c r="AB147" s="19"/>
      <c r="AC147" s="19"/>
      <c r="AD147" s="17"/>
      <c r="AE147" s="17"/>
      <c r="AF147" s="17"/>
      <c r="AG147" s="17"/>
      <c r="AH147" s="17"/>
      <c r="AI147" s="17"/>
      <c r="AJ147" s="17"/>
      <c r="AK147" s="17"/>
      <c r="AL147" s="17"/>
      <c r="AM147" s="17"/>
      <c r="AN147" s="17"/>
      <c r="AO147" s="17"/>
      <c r="AP147" s="17"/>
      <c r="AQ147" s="17"/>
      <c r="AR147" s="17"/>
      <c r="AS147" s="17"/>
      <c r="AT147" s="17"/>
      <c r="AU147" s="17"/>
    </row>
    <row r="148" spans="1:47" x14ac:dyDescent="0.3">
      <c r="A148" s="17"/>
      <c r="B148" s="17"/>
      <c r="C148" s="19"/>
      <c r="D148" s="19"/>
      <c r="E148" s="19"/>
      <c r="F148" s="19"/>
      <c r="G148" s="19"/>
      <c r="H148" s="19"/>
      <c r="I148" s="19"/>
      <c r="J148" s="19"/>
      <c r="K148" s="19"/>
      <c r="L148" s="19"/>
      <c r="M148" s="19"/>
      <c r="N148" s="19"/>
      <c r="O148" s="19"/>
      <c r="P148" s="19"/>
      <c r="Q148" s="19"/>
      <c r="R148" s="19"/>
      <c r="S148" s="19"/>
      <c r="T148" s="19"/>
      <c r="U148" s="19"/>
      <c r="V148" s="19"/>
      <c r="W148" s="19"/>
      <c r="X148" s="19"/>
      <c r="Y148" s="19"/>
      <c r="Z148" s="19"/>
      <c r="AA148" s="19"/>
      <c r="AB148" s="19"/>
      <c r="AC148" s="19"/>
      <c r="AD148" s="17"/>
      <c r="AE148" s="17"/>
      <c r="AF148" s="17"/>
      <c r="AG148" s="17"/>
      <c r="AH148" s="17"/>
      <c r="AI148" s="17"/>
      <c r="AJ148" s="17"/>
      <c r="AK148" s="17"/>
      <c r="AL148" s="17"/>
      <c r="AM148" s="17"/>
      <c r="AN148" s="17"/>
      <c r="AO148" s="17"/>
      <c r="AP148" s="17"/>
      <c r="AQ148" s="17"/>
      <c r="AR148" s="17"/>
      <c r="AS148" s="17"/>
      <c r="AT148" s="17"/>
      <c r="AU148" s="17"/>
    </row>
    <row r="149" spans="1:47" x14ac:dyDescent="0.3">
      <c r="A149" s="17"/>
      <c r="B149" s="17"/>
      <c r="C149" s="19"/>
      <c r="D149" s="19"/>
      <c r="E149" s="19"/>
      <c r="F149" s="19"/>
      <c r="G149" s="19"/>
      <c r="H149" s="19"/>
      <c r="I149" s="19"/>
      <c r="J149" s="19"/>
      <c r="K149" s="19"/>
      <c r="L149" s="19"/>
      <c r="M149" s="19"/>
      <c r="N149" s="19"/>
      <c r="O149" s="19"/>
      <c r="P149" s="19"/>
      <c r="Q149" s="19"/>
      <c r="R149" s="19"/>
      <c r="S149" s="19"/>
      <c r="T149" s="19"/>
      <c r="U149" s="19"/>
      <c r="V149" s="206"/>
      <c r="W149" s="206"/>
      <c r="X149" s="206"/>
      <c r="Y149" s="206"/>
      <c r="Z149" s="19"/>
      <c r="AA149" s="19"/>
      <c r="AB149" s="19"/>
      <c r="AC149" s="19"/>
      <c r="AD149" s="17"/>
      <c r="AE149" s="17"/>
      <c r="AF149" s="17"/>
      <c r="AG149" s="17"/>
      <c r="AH149" s="17"/>
      <c r="AI149" s="17"/>
      <c r="AJ149" s="17"/>
      <c r="AK149" s="17"/>
      <c r="AL149" s="17"/>
      <c r="AM149" s="17"/>
      <c r="AN149" s="17"/>
      <c r="AO149" s="17"/>
      <c r="AP149" s="17"/>
      <c r="AQ149" s="17"/>
      <c r="AR149" s="17"/>
      <c r="AS149" s="17"/>
      <c r="AT149" s="17"/>
      <c r="AU149" s="17"/>
    </row>
    <row r="150" spans="1:47" x14ac:dyDescent="0.3">
      <c r="A150" s="17"/>
      <c r="B150" s="17"/>
      <c r="C150" s="19"/>
      <c r="D150" s="19"/>
      <c r="E150" s="19"/>
      <c r="F150" s="19"/>
      <c r="G150" s="19"/>
      <c r="H150" s="19"/>
      <c r="I150" s="19"/>
      <c r="J150" s="19"/>
      <c r="K150" s="19"/>
      <c r="L150" s="19"/>
      <c r="M150" s="19"/>
      <c r="N150" s="19"/>
      <c r="O150" s="19"/>
      <c r="P150" s="19"/>
      <c r="Q150" s="19"/>
      <c r="R150" s="19"/>
      <c r="S150" s="19"/>
      <c r="T150" s="19"/>
      <c r="U150" s="19"/>
      <c r="V150" s="19"/>
      <c r="W150" s="19"/>
      <c r="X150" s="19"/>
      <c r="Y150" s="19"/>
      <c r="Z150" s="19"/>
      <c r="AA150" s="19"/>
      <c r="AB150" s="19"/>
      <c r="AC150" s="19"/>
      <c r="AD150" s="17"/>
      <c r="AE150" s="17"/>
      <c r="AF150" s="17"/>
      <c r="AG150" s="17"/>
      <c r="AH150" s="17"/>
      <c r="AI150" s="17"/>
      <c r="AJ150" s="17"/>
      <c r="AK150" s="17"/>
      <c r="AL150" s="17"/>
      <c r="AM150" s="17"/>
      <c r="AN150" s="17"/>
      <c r="AO150" s="17"/>
      <c r="AP150" s="17"/>
      <c r="AQ150" s="17"/>
      <c r="AR150" s="17"/>
      <c r="AS150" s="17"/>
      <c r="AT150" s="17"/>
      <c r="AU150" s="17"/>
    </row>
    <row r="151" spans="1:47" x14ac:dyDescent="0.3">
      <c r="A151" s="17"/>
      <c r="B151" s="17"/>
      <c r="C151" s="19"/>
      <c r="D151" s="19"/>
      <c r="E151" s="19"/>
      <c r="F151" s="19"/>
      <c r="G151" s="19"/>
      <c r="H151" s="19"/>
      <c r="I151" s="19"/>
      <c r="J151" s="19"/>
      <c r="K151" s="19"/>
      <c r="L151" s="19"/>
      <c r="M151" s="19"/>
      <c r="N151" s="19"/>
      <c r="O151" s="19"/>
      <c r="P151" s="19"/>
      <c r="Q151" s="19"/>
      <c r="R151" s="19"/>
      <c r="S151" s="19"/>
      <c r="T151" s="19"/>
      <c r="U151" s="19"/>
      <c r="V151" s="19"/>
      <c r="W151" s="205"/>
      <c r="X151" s="205"/>
      <c r="Y151" s="205"/>
      <c r="Z151" s="19"/>
      <c r="AA151" s="19"/>
      <c r="AB151" s="19"/>
      <c r="AC151" s="19"/>
      <c r="AD151" s="21"/>
      <c r="AE151" s="17"/>
      <c r="AF151" s="17"/>
      <c r="AG151" s="17"/>
      <c r="AH151" s="17"/>
      <c r="AI151" s="17"/>
      <c r="AJ151" s="17"/>
      <c r="AK151" s="17"/>
      <c r="AL151" s="17"/>
      <c r="AM151" s="17"/>
      <c r="AN151" s="17"/>
      <c r="AO151" s="17"/>
      <c r="AP151" s="17"/>
      <c r="AQ151" s="17"/>
      <c r="AR151" s="17"/>
      <c r="AS151" s="17"/>
      <c r="AT151" s="17"/>
      <c r="AU151" s="17"/>
    </row>
    <row r="152" spans="1:47" x14ac:dyDescent="0.3">
      <c r="A152" s="17"/>
      <c r="B152" s="17"/>
      <c r="C152" s="19"/>
      <c r="D152" s="19"/>
      <c r="E152" s="19"/>
      <c r="F152" s="19"/>
      <c r="G152" s="19"/>
      <c r="H152" s="19"/>
      <c r="I152" s="19"/>
      <c r="J152" s="19"/>
      <c r="K152" s="19"/>
      <c r="L152" s="19"/>
      <c r="M152" s="19"/>
      <c r="N152" s="19"/>
      <c r="O152" s="19"/>
      <c r="P152" s="19"/>
      <c r="Q152" s="19"/>
      <c r="R152" s="19"/>
      <c r="S152" s="19"/>
      <c r="T152" s="19"/>
      <c r="U152" s="19"/>
      <c r="V152" s="19"/>
      <c r="W152" s="205"/>
      <c r="X152" s="205"/>
      <c r="Y152" s="205"/>
      <c r="Z152" s="19"/>
      <c r="AA152" s="19"/>
      <c r="AB152" s="19"/>
      <c r="AC152" s="19"/>
      <c r="AD152" s="21"/>
      <c r="AE152" s="17"/>
      <c r="AF152" s="17"/>
      <c r="AG152" s="17"/>
      <c r="AH152" s="17"/>
      <c r="AI152" s="17"/>
      <c r="AJ152" s="17"/>
      <c r="AK152" s="17"/>
      <c r="AL152" s="17"/>
      <c r="AM152" s="17"/>
      <c r="AN152" s="17"/>
      <c r="AO152" s="17"/>
      <c r="AP152" s="17"/>
      <c r="AQ152" s="17"/>
      <c r="AR152" s="17"/>
      <c r="AS152" s="17"/>
      <c r="AT152" s="17"/>
      <c r="AU152" s="17"/>
    </row>
    <row r="153" spans="1:47" x14ac:dyDescent="0.3">
      <c r="A153" s="17"/>
      <c r="B153" s="17"/>
      <c r="C153" s="19"/>
      <c r="D153" s="19"/>
      <c r="E153" s="19"/>
      <c r="F153" s="19"/>
      <c r="G153" s="19"/>
      <c r="H153" s="19"/>
      <c r="I153" s="19"/>
      <c r="J153" s="19"/>
      <c r="K153" s="19"/>
      <c r="L153" s="19"/>
      <c r="M153" s="19"/>
      <c r="N153" s="19"/>
      <c r="O153" s="19"/>
      <c r="P153" s="19"/>
      <c r="Q153" s="19"/>
      <c r="R153" s="19"/>
      <c r="S153" s="19"/>
      <c r="T153" s="19"/>
      <c r="U153" s="19"/>
      <c r="V153" s="19"/>
      <c r="W153" s="205"/>
      <c r="X153" s="205"/>
      <c r="Y153" s="205"/>
      <c r="Z153" s="19"/>
      <c r="AA153" s="19"/>
      <c r="AB153" s="19"/>
      <c r="AC153" s="19"/>
      <c r="AD153" s="21"/>
      <c r="AE153" s="17"/>
      <c r="AF153" s="17"/>
      <c r="AG153" s="17"/>
      <c r="AH153" s="17"/>
      <c r="AI153" s="17"/>
      <c r="AJ153" s="17"/>
      <c r="AK153" s="17"/>
      <c r="AL153" s="17"/>
      <c r="AM153" s="17"/>
      <c r="AN153" s="17"/>
      <c r="AO153" s="17"/>
      <c r="AP153" s="17"/>
      <c r="AQ153" s="17"/>
      <c r="AR153" s="17"/>
      <c r="AS153" s="17"/>
      <c r="AT153" s="17"/>
      <c r="AU153" s="17"/>
    </row>
    <row r="154" spans="1:47" x14ac:dyDescent="0.3">
      <c r="A154" s="17"/>
      <c r="B154" s="17"/>
      <c r="C154" s="19"/>
      <c r="D154" s="19"/>
      <c r="E154" s="19"/>
      <c r="F154" s="19"/>
      <c r="G154" s="19"/>
      <c r="H154" s="19"/>
      <c r="I154" s="19"/>
      <c r="J154" s="19"/>
      <c r="K154" s="19"/>
      <c r="L154" s="19"/>
      <c r="M154" s="19"/>
      <c r="N154" s="19"/>
      <c r="O154" s="19"/>
      <c r="P154" s="19"/>
      <c r="Q154" s="19"/>
      <c r="R154" s="19"/>
      <c r="S154" s="205"/>
      <c r="T154" s="19"/>
      <c r="U154" s="19"/>
      <c r="V154" s="19"/>
      <c r="W154" s="205"/>
      <c r="X154" s="205"/>
      <c r="Y154" s="205"/>
      <c r="Z154" s="19"/>
      <c r="AA154" s="19"/>
      <c r="AB154" s="19"/>
      <c r="AC154" s="19"/>
      <c r="AD154" s="17"/>
      <c r="AE154" s="17"/>
      <c r="AF154" s="17"/>
      <c r="AG154" s="17"/>
      <c r="AH154" s="17"/>
      <c r="AI154" s="17"/>
      <c r="AJ154" s="17"/>
      <c r="AK154" s="17"/>
      <c r="AL154" s="17"/>
      <c r="AM154" s="17"/>
      <c r="AN154" s="17"/>
      <c r="AO154" s="17"/>
      <c r="AP154" s="17"/>
      <c r="AQ154" s="17"/>
      <c r="AR154" s="17"/>
      <c r="AS154" s="17"/>
      <c r="AT154" s="17"/>
      <c r="AU154" s="17"/>
    </row>
    <row r="155" spans="1:47" x14ac:dyDescent="0.3">
      <c r="A155" s="17"/>
      <c r="B155" s="17"/>
      <c r="C155" s="19"/>
      <c r="D155" s="19"/>
      <c r="E155" s="19"/>
      <c r="F155" s="19"/>
      <c r="G155" s="19"/>
      <c r="H155" s="19"/>
      <c r="I155" s="19"/>
      <c r="J155" s="19"/>
      <c r="K155" s="19"/>
      <c r="L155" s="19"/>
      <c r="M155" s="19"/>
      <c r="N155" s="19"/>
      <c r="O155" s="19"/>
      <c r="P155" s="19"/>
      <c r="Q155" s="19"/>
      <c r="R155" s="19"/>
      <c r="S155" s="19"/>
      <c r="T155" s="19"/>
      <c r="U155" s="19"/>
      <c r="V155" s="19"/>
      <c r="W155" s="205"/>
      <c r="X155" s="205"/>
      <c r="Y155" s="205"/>
      <c r="Z155" s="19"/>
      <c r="AA155" s="19"/>
      <c r="AB155" s="19"/>
      <c r="AC155" s="19"/>
      <c r="AD155" s="17"/>
      <c r="AE155" s="17"/>
      <c r="AF155" s="17"/>
      <c r="AG155" s="17"/>
      <c r="AH155" s="17"/>
      <c r="AI155" s="17"/>
      <c r="AJ155" s="17"/>
      <c r="AK155" s="17"/>
      <c r="AL155" s="17"/>
      <c r="AM155" s="17"/>
      <c r="AN155" s="17"/>
      <c r="AO155" s="17"/>
      <c r="AP155" s="17"/>
      <c r="AQ155" s="17"/>
      <c r="AR155" s="17"/>
      <c r="AS155" s="17"/>
      <c r="AT155" s="17"/>
      <c r="AU155" s="17"/>
    </row>
    <row r="156" spans="1:47" x14ac:dyDescent="0.3">
      <c r="A156" s="17"/>
      <c r="B156" s="17"/>
      <c r="C156" s="19"/>
      <c r="D156" s="19"/>
      <c r="E156" s="19"/>
      <c r="F156" s="19"/>
      <c r="G156" s="19"/>
      <c r="H156" s="19"/>
      <c r="I156" s="19"/>
      <c r="J156" s="19"/>
      <c r="K156" s="19"/>
      <c r="L156" s="19"/>
      <c r="M156" s="19"/>
      <c r="N156" s="19"/>
      <c r="O156" s="19"/>
      <c r="P156" s="19"/>
      <c r="Q156" s="19"/>
      <c r="R156" s="19"/>
      <c r="S156" s="19"/>
      <c r="T156" s="19"/>
      <c r="U156" s="19"/>
      <c r="V156" s="19"/>
      <c r="W156" s="19"/>
      <c r="X156" s="19"/>
      <c r="Y156" s="19"/>
      <c r="Z156" s="19"/>
      <c r="AA156" s="19"/>
      <c r="AB156" s="19"/>
      <c r="AC156" s="19"/>
      <c r="AD156" s="17"/>
      <c r="AE156" s="17"/>
      <c r="AF156" s="17"/>
      <c r="AG156" s="17"/>
      <c r="AH156" s="21"/>
      <c r="AI156" s="21"/>
      <c r="AJ156" s="17"/>
      <c r="AK156" s="17"/>
      <c r="AL156" s="17"/>
      <c r="AM156" s="17"/>
      <c r="AN156" s="17"/>
      <c r="AO156" s="17"/>
      <c r="AP156" s="17"/>
      <c r="AQ156" s="17"/>
      <c r="AR156" s="17"/>
      <c r="AS156" s="17"/>
      <c r="AT156" s="17"/>
      <c r="AU156" s="17"/>
    </row>
    <row r="157" spans="1:47" x14ac:dyDescent="0.3">
      <c r="A157" s="17"/>
      <c r="B157" s="17"/>
      <c r="C157" s="19"/>
      <c r="D157" s="19"/>
      <c r="E157" s="19"/>
      <c r="F157" s="19"/>
      <c r="G157" s="19"/>
      <c r="H157" s="19"/>
      <c r="I157" s="19"/>
      <c r="J157" s="19"/>
      <c r="K157" s="19"/>
      <c r="L157" s="19"/>
      <c r="M157" s="19"/>
      <c r="N157" s="19"/>
      <c r="O157" s="19"/>
      <c r="P157" s="19"/>
      <c r="Q157" s="19"/>
      <c r="R157" s="19"/>
      <c r="S157" s="19"/>
      <c r="T157" s="19"/>
      <c r="U157" s="19"/>
      <c r="V157" s="19"/>
      <c r="W157" s="19"/>
      <c r="X157" s="19"/>
      <c r="Y157" s="19"/>
      <c r="Z157" s="19"/>
      <c r="AA157" s="19"/>
      <c r="AB157" s="19"/>
      <c r="AC157" s="19"/>
      <c r="AD157" s="17"/>
      <c r="AE157" s="17"/>
      <c r="AF157" s="17"/>
      <c r="AG157" s="17"/>
      <c r="AH157" s="21"/>
      <c r="AI157" s="21"/>
      <c r="AJ157" s="17"/>
      <c r="AK157" s="17"/>
      <c r="AL157" s="17"/>
      <c r="AM157" s="17"/>
      <c r="AN157" s="17"/>
      <c r="AO157" s="17"/>
      <c r="AP157" s="17"/>
      <c r="AQ157" s="17"/>
      <c r="AR157" s="17"/>
      <c r="AS157" s="17"/>
      <c r="AT157" s="17"/>
      <c r="AU157" s="17"/>
    </row>
    <row r="158" spans="1:47" x14ac:dyDescent="0.3">
      <c r="A158" s="17"/>
      <c r="B158" s="17"/>
      <c r="C158" s="19"/>
      <c r="D158" s="19"/>
      <c r="E158" s="19"/>
      <c r="F158" s="19"/>
      <c r="G158" s="19"/>
      <c r="H158" s="19"/>
      <c r="I158" s="19"/>
      <c r="J158" s="19"/>
      <c r="K158" s="19"/>
      <c r="L158" s="19"/>
      <c r="M158" s="19"/>
      <c r="N158" s="19"/>
      <c r="O158" s="19"/>
      <c r="P158" s="19"/>
      <c r="Q158" s="19"/>
      <c r="R158" s="19"/>
      <c r="S158" s="19"/>
      <c r="T158" s="19"/>
      <c r="U158" s="19"/>
      <c r="V158" s="299"/>
      <c r="W158" s="299"/>
      <c r="X158" s="299"/>
      <c r="Y158" s="299"/>
      <c r="Z158" s="19"/>
      <c r="AA158" s="19"/>
      <c r="AB158" s="19"/>
      <c r="AC158" s="19"/>
      <c r="AD158" s="17"/>
      <c r="AE158" s="17"/>
      <c r="AF158" s="17"/>
      <c r="AG158" s="17"/>
      <c r="AH158" s="21"/>
      <c r="AI158" s="21"/>
      <c r="AJ158" s="17"/>
      <c r="AK158" s="17"/>
      <c r="AL158" s="17"/>
      <c r="AM158" s="17"/>
      <c r="AN158" s="17"/>
      <c r="AO158" s="17"/>
      <c r="AP158" s="17"/>
      <c r="AQ158" s="17"/>
      <c r="AR158" s="17"/>
      <c r="AS158" s="17"/>
      <c r="AT158" s="17"/>
      <c r="AU158" s="17"/>
    </row>
    <row r="159" spans="1:47" x14ac:dyDescent="0.3">
      <c r="A159" s="17"/>
      <c r="B159" s="17"/>
      <c r="C159" s="19"/>
      <c r="D159" s="19"/>
      <c r="E159" s="19"/>
      <c r="F159" s="19"/>
      <c r="G159" s="19"/>
      <c r="H159" s="19"/>
      <c r="I159" s="19"/>
      <c r="J159" s="19"/>
      <c r="K159" s="19"/>
      <c r="L159" s="19"/>
      <c r="M159" s="19"/>
      <c r="N159" s="19"/>
      <c r="O159" s="19"/>
      <c r="P159" s="19"/>
      <c r="Q159" s="19"/>
      <c r="R159" s="19"/>
      <c r="S159" s="19"/>
      <c r="T159" s="19"/>
      <c r="U159" s="19"/>
      <c r="V159" s="19"/>
      <c r="W159" s="19"/>
      <c r="X159" s="19"/>
      <c r="Y159" s="19"/>
      <c r="Z159" s="19"/>
      <c r="AA159" s="19"/>
      <c r="AB159" s="19"/>
      <c r="AC159" s="19"/>
      <c r="AD159" s="17"/>
      <c r="AE159" s="17"/>
      <c r="AF159" s="17"/>
      <c r="AG159" s="17"/>
      <c r="AH159" s="21"/>
      <c r="AI159" s="21"/>
      <c r="AJ159" s="17"/>
      <c r="AK159" s="17"/>
      <c r="AL159" s="17"/>
      <c r="AM159" s="17"/>
      <c r="AN159" s="17"/>
      <c r="AO159" s="17"/>
      <c r="AP159" s="17"/>
      <c r="AQ159" s="17"/>
      <c r="AR159" s="17"/>
      <c r="AS159" s="17"/>
      <c r="AT159" s="17"/>
      <c r="AU159" s="17"/>
    </row>
    <row r="160" spans="1:47" x14ac:dyDescent="0.3">
      <c r="A160" s="17"/>
      <c r="B160" s="17"/>
      <c r="C160" s="19"/>
      <c r="D160" s="19"/>
      <c r="E160" s="19"/>
      <c r="F160" s="19"/>
      <c r="G160" s="19"/>
      <c r="H160" s="19"/>
      <c r="I160" s="19"/>
      <c r="J160" s="19"/>
      <c r="K160" s="19"/>
      <c r="L160" s="19"/>
      <c r="M160" s="19"/>
      <c r="N160" s="19"/>
      <c r="O160" s="19"/>
      <c r="P160" s="19"/>
      <c r="Q160" s="19"/>
      <c r="R160" s="19"/>
      <c r="S160" s="19"/>
      <c r="T160" s="19"/>
      <c r="U160" s="19"/>
      <c r="V160" s="19"/>
      <c r="W160" s="205"/>
      <c r="X160" s="205"/>
      <c r="Y160" s="205"/>
      <c r="Z160" s="19"/>
      <c r="AA160" s="19"/>
      <c r="AB160" s="19"/>
      <c r="AC160" s="19"/>
      <c r="AD160" s="17"/>
      <c r="AE160" s="17"/>
      <c r="AF160" s="17"/>
      <c r="AG160" s="17"/>
      <c r="AH160" s="21"/>
      <c r="AI160" s="21"/>
      <c r="AJ160" s="17"/>
      <c r="AK160" s="17"/>
      <c r="AL160" s="17"/>
      <c r="AM160" s="17"/>
      <c r="AN160" s="17"/>
      <c r="AO160" s="17"/>
      <c r="AP160" s="17"/>
      <c r="AQ160" s="17"/>
      <c r="AR160" s="17"/>
      <c r="AS160" s="17"/>
      <c r="AT160" s="17"/>
      <c r="AU160" s="17"/>
    </row>
    <row r="161" spans="1:47" x14ac:dyDescent="0.3">
      <c r="A161" s="17"/>
      <c r="B161" s="17"/>
      <c r="C161" s="19"/>
      <c r="D161" s="19"/>
      <c r="E161" s="19"/>
      <c r="F161" s="19"/>
      <c r="G161" s="19"/>
      <c r="H161" s="19"/>
      <c r="I161" s="19"/>
      <c r="J161" s="19"/>
      <c r="K161" s="19"/>
      <c r="L161" s="19"/>
      <c r="M161" s="19"/>
      <c r="N161" s="19"/>
      <c r="O161" s="19"/>
      <c r="P161" s="19"/>
      <c r="Q161" s="19"/>
      <c r="R161" s="19"/>
      <c r="S161" s="19"/>
      <c r="T161" s="19"/>
      <c r="U161" s="19"/>
      <c r="V161" s="19"/>
      <c r="W161" s="205"/>
      <c r="X161" s="205"/>
      <c r="Y161" s="205"/>
      <c r="Z161" s="19"/>
      <c r="AA161" s="19"/>
      <c r="AB161" s="19"/>
      <c r="AC161" s="19"/>
      <c r="AD161" s="17"/>
      <c r="AE161" s="17"/>
      <c r="AF161" s="17"/>
      <c r="AG161" s="17"/>
      <c r="AH161" s="21"/>
      <c r="AI161" s="21"/>
      <c r="AJ161" s="17"/>
      <c r="AK161" s="17"/>
      <c r="AL161" s="17"/>
      <c r="AM161" s="17"/>
      <c r="AN161" s="17"/>
      <c r="AO161" s="17"/>
      <c r="AP161" s="17"/>
      <c r="AQ161" s="17"/>
      <c r="AR161" s="17"/>
      <c r="AS161" s="17"/>
      <c r="AT161" s="17"/>
      <c r="AU161" s="17"/>
    </row>
    <row r="162" spans="1:47" x14ac:dyDescent="0.3">
      <c r="A162" s="17"/>
      <c r="B162" s="17"/>
      <c r="C162" s="19"/>
      <c r="D162" s="19"/>
      <c r="E162" s="19"/>
      <c r="F162" s="19"/>
      <c r="G162" s="19"/>
      <c r="H162" s="19"/>
      <c r="I162" s="19"/>
      <c r="J162" s="19"/>
      <c r="K162" s="19"/>
      <c r="L162" s="19"/>
      <c r="M162" s="19"/>
      <c r="N162" s="19"/>
      <c r="O162" s="19"/>
      <c r="P162" s="19"/>
      <c r="Q162" s="19"/>
      <c r="R162" s="19"/>
      <c r="S162" s="19"/>
      <c r="T162" s="19"/>
      <c r="U162" s="19"/>
      <c r="V162" s="19"/>
      <c r="W162" s="205"/>
      <c r="X162" s="205"/>
      <c r="Y162" s="205"/>
      <c r="Z162" s="19"/>
      <c r="AA162" s="19"/>
      <c r="AB162" s="19"/>
      <c r="AC162" s="19"/>
      <c r="AD162" s="17"/>
      <c r="AE162" s="17"/>
      <c r="AF162" s="17"/>
      <c r="AG162" s="17"/>
      <c r="AH162" s="21"/>
      <c r="AI162" s="21"/>
      <c r="AJ162" s="17"/>
      <c r="AK162" s="17"/>
      <c r="AL162" s="17"/>
      <c r="AM162" s="17"/>
      <c r="AN162" s="17"/>
      <c r="AO162" s="17"/>
      <c r="AP162" s="17"/>
      <c r="AQ162" s="17"/>
      <c r="AR162" s="17"/>
      <c r="AS162" s="17"/>
      <c r="AT162" s="17"/>
      <c r="AU162" s="17"/>
    </row>
    <row r="163" spans="1:47" x14ac:dyDescent="0.3">
      <c r="A163" s="17"/>
      <c r="B163" s="17"/>
      <c r="C163" s="19"/>
      <c r="D163" s="19"/>
      <c r="E163" s="19"/>
      <c r="F163" s="19"/>
      <c r="G163" s="19"/>
      <c r="H163" s="19"/>
      <c r="I163" s="19"/>
      <c r="J163" s="19"/>
      <c r="K163" s="19"/>
      <c r="L163" s="19"/>
      <c r="M163" s="19"/>
      <c r="N163" s="19"/>
      <c r="O163" s="19"/>
      <c r="P163" s="19"/>
      <c r="Q163" s="19"/>
      <c r="R163" s="19"/>
      <c r="S163" s="205"/>
      <c r="T163" s="19"/>
      <c r="U163" s="19"/>
      <c r="V163" s="19"/>
      <c r="W163" s="205"/>
      <c r="X163" s="205"/>
      <c r="Y163" s="205"/>
      <c r="Z163" s="19"/>
      <c r="AA163" s="19"/>
      <c r="AB163" s="19"/>
      <c r="AC163" s="19"/>
      <c r="AD163" s="17"/>
      <c r="AE163" s="17"/>
      <c r="AF163" s="17"/>
      <c r="AG163" s="17"/>
      <c r="AH163" s="21"/>
      <c r="AI163" s="21"/>
      <c r="AJ163" s="17"/>
      <c r="AK163" s="17"/>
      <c r="AL163" s="17"/>
      <c r="AM163" s="17"/>
      <c r="AN163" s="17"/>
      <c r="AO163" s="17"/>
      <c r="AP163" s="17"/>
      <c r="AQ163" s="17"/>
      <c r="AR163" s="17"/>
      <c r="AS163" s="17"/>
      <c r="AT163" s="17"/>
      <c r="AU163" s="17"/>
    </row>
    <row r="164" spans="1:47" x14ac:dyDescent="0.3">
      <c r="A164" s="17"/>
      <c r="B164" s="17"/>
      <c r="C164" s="19"/>
      <c r="D164" s="19"/>
      <c r="E164" s="19"/>
      <c r="F164" s="19"/>
      <c r="G164" s="19"/>
      <c r="H164" s="19"/>
      <c r="I164" s="19"/>
      <c r="J164" s="19"/>
      <c r="K164" s="19"/>
      <c r="L164" s="19"/>
      <c r="M164" s="19"/>
      <c r="N164" s="19"/>
      <c r="O164" s="19"/>
      <c r="P164" s="19"/>
      <c r="Q164" s="19"/>
      <c r="R164" s="19"/>
      <c r="S164" s="19"/>
      <c r="T164" s="19"/>
      <c r="U164" s="19"/>
      <c r="V164" s="19"/>
      <c r="W164" s="205"/>
      <c r="X164" s="205"/>
      <c r="Y164" s="205"/>
      <c r="Z164" s="19"/>
      <c r="AA164" s="19"/>
      <c r="AB164" s="19"/>
      <c r="AC164" s="19"/>
      <c r="AD164" s="17"/>
      <c r="AE164" s="17"/>
      <c r="AF164" s="17"/>
      <c r="AG164" s="17"/>
      <c r="AH164" s="17"/>
      <c r="AI164" s="17"/>
      <c r="AJ164" s="17"/>
      <c r="AK164" s="17"/>
      <c r="AL164" s="17"/>
      <c r="AM164" s="17"/>
      <c r="AN164" s="17"/>
      <c r="AO164" s="17"/>
      <c r="AP164" s="17"/>
      <c r="AQ164" s="17"/>
      <c r="AR164" s="17"/>
      <c r="AS164" s="17"/>
      <c r="AT164" s="17"/>
      <c r="AU164" s="17"/>
    </row>
    <row r="165" spans="1:47" x14ac:dyDescent="0.3">
      <c r="A165" s="17"/>
      <c r="B165" s="17"/>
      <c r="C165" s="19"/>
      <c r="D165" s="19"/>
      <c r="E165" s="19"/>
      <c r="F165" s="19"/>
      <c r="G165" s="19"/>
      <c r="H165" s="19"/>
      <c r="I165" s="19"/>
      <c r="J165" s="19"/>
      <c r="K165" s="19"/>
      <c r="L165" s="19"/>
      <c r="M165" s="19"/>
      <c r="N165" s="19"/>
      <c r="O165" s="19"/>
      <c r="P165" s="19"/>
      <c r="Q165" s="19"/>
      <c r="R165" s="19"/>
      <c r="S165" s="19"/>
      <c r="T165" s="19"/>
      <c r="U165" s="19"/>
      <c r="V165" s="19"/>
      <c r="W165" s="19"/>
      <c r="X165" s="19"/>
      <c r="Y165" s="19"/>
      <c r="Z165" s="19"/>
      <c r="AA165" s="19"/>
      <c r="AB165" s="19"/>
      <c r="AC165" s="19"/>
      <c r="AD165" s="17"/>
      <c r="AE165" s="17"/>
      <c r="AF165" s="17"/>
      <c r="AG165" s="17"/>
      <c r="AH165" s="17"/>
      <c r="AI165" s="17"/>
      <c r="AJ165" s="17"/>
      <c r="AK165" s="17"/>
      <c r="AL165" s="17"/>
      <c r="AM165" s="17"/>
      <c r="AN165" s="17"/>
      <c r="AO165" s="17"/>
      <c r="AP165" s="17"/>
      <c r="AQ165" s="17"/>
      <c r="AR165" s="17"/>
      <c r="AS165" s="17"/>
      <c r="AT165" s="17"/>
      <c r="AU165" s="17"/>
    </row>
    <row r="166" spans="1:47" x14ac:dyDescent="0.3">
      <c r="A166" s="17"/>
      <c r="B166" s="17"/>
      <c r="C166" s="19"/>
      <c r="D166" s="19"/>
      <c r="E166" s="19"/>
      <c r="F166" s="19"/>
      <c r="G166" s="19"/>
      <c r="H166" s="19"/>
      <c r="I166" s="19"/>
      <c r="J166" s="19"/>
      <c r="K166" s="19"/>
      <c r="L166" s="19"/>
      <c r="M166" s="19"/>
      <c r="N166" s="19"/>
      <c r="O166" s="19"/>
      <c r="P166" s="19"/>
      <c r="Q166" s="19"/>
      <c r="R166" s="19"/>
      <c r="S166" s="19"/>
      <c r="T166" s="19"/>
      <c r="U166" s="19"/>
      <c r="V166" s="19"/>
      <c r="W166" s="19"/>
      <c r="X166" s="19"/>
      <c r="Y166" s="19"/>
      <c r="Z166" s="19"/>
      <c r="AA166" s="19"/>
      <c r="AB166" s="19"/>
      <c r="AC166" s="19"/>
      <c r="AD166" s="17"/>
      <c r="AE166" s="17"/>
      <c r="AF166" s="17"/>
      <c r="AG166" s="17"/>
      <c r="AH166" s="17"/>
      <c r="AI166" s="17"/>
      <c r="AJ166" s="17"/>
      <c r="AK166" s="17"/>
      <c r="AL166" s="17"/>
      <c r="AM166" s="17"/>
      <c r="AN166" s="17"/>
      <c r="AO166" s="17"/>
      <c r="AP166" s="17"/>
      <c r="AQ166" s="17"/>
      <c r="AR166" s="17"/>
      <c r="AS166" s="17"/>
      <c r="AT166" s="17"/>
      <c r="AU166" s="17"/>
    </row>
    <row r="167" spans="1:47" x14ac:dyDescent="0.3">
      <c r="A167" s="17"/>
      <c r="B167" s="17"/>
      <c r="C167" s="19"/>
      <c r="D167" s="19"/>
      <c r="E167" s="19"/>
      <c r="F167" s="19"/>
      <c r="G167" s="19"/>
      <c r="H167" s="19"/>
      <c r="I167" s="19"/>
      <c r="J167" s="19"/>
      <c r="K167" s="19"/>
      <c r="L167" s="19"/>
      <c r="M167" s="19"/>
      <c r="N167" s="19"/>
      <c r="O167" s="19"/>
      <c r="P167" s="19"/>
      <c r="Q167" s="19"/>
      <c r="R167" s="19"/>
      <c r="S167" s="19"/>
      <c r="T167" s="19"/>
      <c r="U167" s="19"/>
      <c r="V167" s="19"/>
      <c r="W167" s="19"/>
      <c r="X167" s="19"/>
      <c r="Y167" s="19"/>
      <c r="Z167" s="19"/>
      <c r="AA167" s="19"/>
      <c r="AB167" s="19"/>
      <c r="AC167" s="19"/>
      <c r="AD167" s="17"/>
      <c r="AE167" s="17"/>
      <c r="AF167" s="17"/>
      <c r="AG167" s="17"/>
      <c r="AH167" s="17"/>
      <c r="AI167" s="17"/>
      <c r="AJ167" s="17"/>
      <c r="AK167" s="17"/>
      <c r="AL167" s="17"/>
      <c r="AM167" s="17"/>
      <c r="AN167" s="17"/>
      <c r="AO167" s="17"/>
      <c r="AP167" s="17"/>
      <c r="AQ167" s="17"/>
      <c r="AR167" s="17"/>
      <c r="AS167" s="17"/>
      <c r="AT167" s="17"/>
      <c r="AU167" s="17"/>
    </row>
    <row r="168" spans="1:47" x14ac:dyDescent="0.3">
      <c r="A168" s="17"/>
      <c r="B168" s="17"/>
      <c r="C168" s="19"/>
      <c r="D168" s="19"/>
      <c r="E168" s="19"/>
      <c r="F168" s="19"/>
      <c r="G168" s="19"/>
      <c r="H168" s="19"/>
      <c r="I168" s="19"/>
      <c r="J168" s="19"/>
      <c r="K168" s="19"/>
      <c r="L168" s="19"/>
      <c r="M168" s="19"/>
      <c r="N168" s="19"/>
      <c r="O168" s="19"/>
      <c r="P168" s="19"/>
      <c r="Q168" s="19"/>
      <c r="R168" s="19"/>
      <c r="S168" s="19"/>
      <c r="T168" s="19"/>
      <c r="U168" s="19"/>
      <c r="V168" s="19"/>
      <c r="W168" s="19"/>
      <c r="X168" s="19"/>
      <c r="Y168" s="19"/>
      <c r="Z168" s="19"/>
      <c r="AA168" s="19"/>
      <c r="AB168" s="19"/>
      <c r="AC168" s="19"/>
      <c r="AD168" s="17"/>
      <c r="AE168" s="17"/>
      <c r="AF168" s="17"/>
      <c r="AG168" s="17"/>
      <c r="AH168" s="17"/>
      <c r="AI168" s="17"/>
      <c r="AJ168" s="17"/>
      <c r="AK168" s="17"/>
      <c r="AL168" s="17"/>
      <c r="AM168" s="17"/>
      <c r="AN168" s="17"/>
      <c r="AO168" s="17"/>
      <c r="AP168" s="17"/>
      <c r="AQ168" s="17"/>
      <c r="AR168" s="17"/>
      <c r="AS168" s="17"/>
      <c r="AT168" s="17"/>
      <c r="AU168" s="17"/>
    </row>
    <row r="169" spans="1:47" x14ac:dyDescent="0.3">
      <c r="A169" s="17"/>
      <c r="B169" s="17"/>
      <c r="C169" s="299"/>
      <c r="D169" s="299"/>
      <c r="E169" s="299"/>
      <c r="F169" s="194"/>
      <c r="G169" s="194"/>
      <c r="H169" s="194"/>
      <c r="I169" s="19"/>
      <c r="J169" s="299"/>
      <c r="K169" s="299"/>
      <c r="L169" s="19"/>
      <c r="M169" s="19"/>
      <c r="N169" s="19"/>
      <c r="O169" s="19"/>
      <c r="P169" s="19"/>
      <c r="Q169" s="19"/>
      <c r="R169" s="19"/>
      <c r="S169" s="19"/>
      <c r="T169" s="19"/>
      <c r="U169" s="19"/>
      <c r="V169" s="19"/>
      <c r="W169" s="19"/>
      <c r="X169" s="19"/>
      <c r="Y169" s="19"/>
      <c r="Z169" s="19"/>
      <c r="AA169" s="19"/>
      <c r="AB169" s="19"/>
      <c r="AC169" s="19"/>
      <c r="AD169" s="17"/>
      <c r="AE169" s="17"/>
      <c r="AF169" s="17"/>
      <c r="AG169" s="17"/>
      <c r="AH169" s="17"/>
      <c r="AI169" s="17"/>
      <c r="AJ169" s="17"/>
      <c r="AK169" s="17"/>
      <c r="AL169" s="17"/>
      <c r="AM169" s="17"/>
      <c r="AN169" s="17"/>
      <c r="AO169" s="17"/>
      <c r="AP169" s="17"/>
      <c r="AQ169" s="17"/>
      <c r="AR169" s="17"/>
      <c r="AS169" s="17"/>
      <c r="AT169" s="17"/>
      <c r="AU169" s="17"/>
    </row>
    <row r="170" spans="1:47" x14ac:dyDescent="0.3">
      <c r="A170" s="17"/>
      <c r="B170" s="17"/>
      <c r="C170" s="19"/>
      <c r="D170" s="19"/>
      <c r="E170" s="19"/>
      <c r="F170" s="19"/>
      <c r="G170" s="19"/>
      <c r="H170" s="19"/>
      <c r="I170" s="19"/>
      <c r="J170" s="19"/>
      <c r="K170" s="19"/>
      <c r="L170" s="19"/>
      <c r="M170" s="19"/>
      <c r="N170" s="19"/>
      <c r="O170" s="19"/>
      <c r="P170" s="19"/>
      <c r="Q170" s="19"/>
      <c r="R170" s="19"/>
      <c r="S170" s="19"/>
      <c r="T170" s="19"/>
      <c r="U170" s="19"/>
      <c r="V170" s="19"/>
      <c r="W170" s="19"/>
      <c r="X170" s="19"/>
      <c r="Y170" s="19"/>
      <c r="Z170" s="19"/>
      <c r="AA170" s="19"/>
      <c r="AB170" s="19"/>
      <c r="AC170" s="19"/>
      <c r="AD170" s="17"/>
      <c r="AE170" s="17"/>
      <c r="AF170" s="17"/>
      <c r="AG170" s="17"/>
      <c r="AH170" s="17"/>
      <c r="AI170" s="17"/>
      <c r="AJ170" s="17"/>
      <c r="AK170" s="17"/>
      <c r="AL170" s="17"/>
      <c r="AM170" s="17"/>
      <c r="AN170" s="17"/>
      <c r="AO170" s="17"/>
      <c r="AP170" s="17"/>
      <c r="AQ170" s="17"/>
      <c r="AR170" s="17"/>
      <c r="AS170" s="17"/>
      <c r="AT170" s="17"/>
      <c r="AU170" s="17"/>
    </row>
    <row r="171" spans="1:47" x14ac:dyDescent="0.3">
      <c r="A171" s="17"/>
      <c r="B171" s="17"/>
      <c r="C171" s="19"/>
      <c r="D171" s="19"/>
      <c r="E171" s="19"/>
      <c r="F171" s="19"/>
      <c r="G171" s="19"/>
      <c r="H171" s="19"/>
      <c r="I171" s="19"/>
      <c r="J171" s="205"/>
      <c r="K171" s="205"/>
      <c r="L171" s="205"/>
      <c r="M171" s="19"/>
      <c r="N171" s="19"/>
      <c r="O171" s="19"/>
      <c r="P171" s="19"/>
      <c r="Q171" s="19"/>
      <c r="R171" s="19"/>
      <c r="S171" s="19"/>
      <c r="T171" s="19"/>
      <c r="U171" s="19"/>
      <c r="V171" s="19"/>
      <c r="W171" s="19"/>
      <c r="X171" s="19"/>
      <c r="Y171" s="19"/>
      <c r="Z171" s="19"/>
      <c r="AA171" s="19"/>
      <c r="AB171" s="19"/>
      <c r="AC171" s="19"/>
      <c r="AD171" s="17"/>
      <c r="AE171" s="17"/>
      <c r="AF171" s="17"/>
      <c r="AG171" s="17"/>
      <c r="AH171" s="17"/>
      <c r="AI171" s="17"/>
      <c r="AJ171" s="17"/>
      <c r="AK171" s="17"/>
      <c r="AL171" s="17"/>
      <c r="AM171" s="17"/>
      <c r="AN171" s="17"/>
      <c r="AO171" s="17"/>
      <c r="AP171" s="17"/>
      <c r="AQ171" s="17"/>
      <c r="AR171" s="17"/>
      <c r="AS171" s="17"/>
      <c r="AT171" s="17"/>
      <c r="AU171" s="17"/>
    </row>
    <row r="172" spans="1:47" x14ac:dyDescent="0.3">
      <c r="A172" s="17"/>
      <c r="B172" s="17"/>
      <c r="C172" s="19"/>
      <c r="D172" s="19"/>
      <c r="E172" s="19"/>
      <c r="F172" s="19"/>
      <c r="G172" s="19"/>
      <c r="H172" s="19"/>
      <c r="I172" s="19"/>
      <c r="J172" s="205"/>
      <c r="K172" s="205"/>
      <c r="L172" s="205"/>
      <c r="M172" s="19"/>
      <c r="N172" s="19"/>
      <c r="O172" s="19"/>
      <c r="P172" s="19"/>
      <c r="Q172" s="19"/>
      <c r="R172" s="19"/>
      <c r="S172" s="19"/>
      <c r="T172" s="19"/>
      <c r="U172" s="19"/>
      <c r="V172" s="19"/>
      <c r="W172" s="19"/>
      <c r="X172" s="19"/>
      <c r="Y172" s="19"/>
      <c r="Z172" s="19"/>
      <c r="AA172" s="19"/>
      <c r="AB172" s="19"/>
      <c r="AC172" s="19"/>
      <c r="AD172" s="17"/>
      <c r="AE172" s="17"/>
      <c r="AF172" s="17"/>
      <c r="AG172" s="17"/>
      <c r="AH172" s="17"/>
      <c r="AI172" s="17"/>
      <c r="AJ172" s="17"/>
      <c r="AK172" s="17"/>
      <c r="AL172" s="17"/>
      <c r="AM172" s="17"/>
      <c r="AN172" s="17"/>
      <c r="AO172" s="17"/>
      <c r="AP172" s="17"/>
      <c r="AQ172" s="17"/>
      <c r="AR172" s="17"/>
      <c r="AS172" s="17"/>
      <c r="AT172" s="17"/>
      <c r="AU172" s="17"/>
    </row>
    <row r="173" spans="1:47" x14ac:dyDescent="0.3">
      <c r="A173" s="17"/>
      <c r="B173" s="17"/>
      <c r="C173" s="19"/>
      <c r="D173" s="19"/>
      <c r="E173" s="19"/>
      <c r="F173" s="19"/>
      <c r="G173" s="19"/>
      <c r="H173" s="19"/>
      <c r="I173" s="19"/>
      <c r="J173" s="205"/>
      <c r="K173" s="205"/>
      <c r="L173" s="205"/>
      <c r="M173" s="19"/>
      <c r="N173" s="19"/>
      <c r="O173" s="19"/>
      <c r="P173" s="19"/>
      <c r="Q173" s="19"/>
      <c r="R173" s="19"/>
      <c r="S173" s="19"/>
      <c r="T173" s="19"/>
      <c r="U173" s="19"/>
      <c r="V173" s="19"/>
      <c r="W173" s="19"/>
      <c r="X173" s="19"/>
      <c r="Y173" s="19"/>
      <c r="Z173" s="19"/>
      <c r="AA173" s="19"/>
      <c r="AB173" s="19"/>
      <c r="AC173" s="19"/>
      <c r="AD173" s="17"/>
      <c r="AE173" s="17"/>
      <c r="AF173" s="17"/>
      <c r="AG173" s="17"/>
      <c r="AH173" s="17"/>
      <c r="AI173" s="17"/>
      <c r="AJ173" s="17"/>
      <c r="AK173" s="17"/>
      <c r="AL173" s="17"/>
      <c r="AM173" s="17"/>
      <c r="AN173" s="17"/>
      <c r="AO173" s="17"/>
      <c r="AP173" s="17"/>
      <c r="AQ173" s="17"/>
      <c r="AR173" s="17"/>
      <c r="AS173" s="17"/>
      <c r="AT173" s="17"/>
      <c r="AU173" s="17"/>
    </row>
    <row r="174" spans="1:47" x14ac:dyDescent="0.3">
      <c r="A174" s="17"/>
      <c r="B174" s="17"/>
      <c r="C174" s="19"/>
      <c r="D174" s="19"/>
      <c r="E174" s="19"/>
      <c r="F174" s="19"/>
      <c r="G174" s="19"/>
      <c r="H174" s="19"/>
      <c r="I174" s="19"/>
      <c r="J174" s="205"/>
      <c r="K174" s="205"/>
      <c r="L174" s="205"/>
      <c r="M174" s="19"/>
      <c r="N174" s="19"/>
      <c r="O174" s="19"/>
      <c r="P174" s="19"/>
      <c r="Q174" s="19"/>
      <c r="R174" s="19"/>
      <c r="S174" s="19"/>
      <c r="T174" s="19"/>
      <c r="U174" s="19"/>
      <c r="V174" s="19"/>
      <c r="W174" s="19"/>
      <c r="X174" s="19"/>
      <c r="Y174" s="19"/>
      <c r="Z174" s="19"/>
      <c r="AA174" s="19"/>
      <c r="AB174" s="19"/>
      <c r="AC174" s="19"/>
      <c r="AD174" s="17"/>
      <c r="AE174" s="17"/>
      <c r="AF174" s="17"/>
      <c r="AG174" s="17"/>
      <c r="AH174" s="17"/>
      <c r="AI174" s="17"/>
      <c r="AJ174" s="17"/>
      <c r="AK174" s="17"/>
      <c r="AL174" s="17"/>
      <c r="AM174" s="17"/>
      <c r="AN174" s="17"/>
      <c r="AO174" s="17"/>
      <c r="AP174" s="17"/>
      <c r="AQ174" s="17"/>
      <c r="AR174" s="17"/>
      <c r="AS174" s="17"/>
      <c r="AT174" s="17"/>
      <c r="AU174" s="17"/>
    </row>
    <row r="175" spans="1:47" x14ac:dyDescent="0.3">
      <c r="A175" s="17"/>
      <c r="B175" s="17"/>
      <c r="C175" s="19"/>
      <c r="D175" s="19"/>
      <c r="E175" s="19"/>
      <c r="F175" s="19"/>
      <c r="G175" s="19"/>
      <c r="H175" s="19"/>
      <c r="I175" s="19"/>
      <c r="J175" s="19"/>
      <c r="K175" s="19"/>
      <c r="L175" s="19"/>
      <c r="M175" s="19"/>
      <c r="N175" s="19"/>
      <c r="O175" s="19"/>
      <c r="P175" s="19"/>
      <c r="Q175" s="19"/>
      <c r="R175" s="19"/>
      <c r="S175" s="19"/>
      <c r="T175" s="19"/>
      <c r="U175" s="19"/>
      <c r="V175" s="19"/>
      <c r="W175" s="19"/>
      <c r="X175" s="19"/>
      <c r="Y175" s="19"/>
      <c r="Z175" s="19"/>
      <c r="AA175" s="19"/>
      <c r="AB175" s="19"/>
      <c r="AC175" s="19"/>
      <c r="AD175" s="17"/>
      <c r="AE175" s="17"/>
      <c r="AF175" s="17"/>
      <c r="AG175" s="17"/>
      <c r="AH175" s="17"/>
      <c r="AI175" s="17"/>
      <c r="AJ175" s="17"/>
      <c r="AK175" s="17"/>
      <c r="AL175" s="17"/>
      <c r="AM175" s="17"/>
      <c r="AN175" s="17"/>
      <c r="AO175" s="17"/>
      <c r="AP175" s="17"/>
      <c r="AQ175" s="17"/>
      <c r="AR175" s="17"/>
      <c r="AS175" s="17"/>
      <c r="AT175" s="17"/>
      <c r="AU175" s="17"/>
    </row>
    <row r="176" spans="1:47" x14ac:dyDescent="0.3">
      <c r="A176" s="17"/>
      <c r="B176" s="17"/>
      <c r="C176" s="19"/>
      <c r="D176" s="19"/>
      <c r="E176" s="19"/>
      <c r="F176" s="19"/>
      <c r="G176" s="19"/>
      <c r="H176" s="19"/>
      <c r="I176" s="19"/>
      <c r="J176" s="19"/>
      <c r="K176" s="19"/>
      <c r="L176" s="19"/>
      <c r="M176" s="19"/>
      <c r="N176" s="19"/>
      <c r="O176" s="19"/>
      <c r="P176" s="19"/>
      <c r="Q176" s="19"/>
      <c r="R176" s="19"/>
      <c r="S176" s="19"/>
      <c r="T176" s="19"/>
      <c r="U176" s="19"/>
      <c r="V176" s="206"/>
      <c r="W176" s="206"/>
      <c r="X176" s="206"/>
      <c r="Y176" s="206"/>
      <c r="Z176" s="19"/>
      <c r="AA176" s="19"/>
      <c r="AB176" s="19"/>
      <c r="AC176" s="19"/>
      <c r="AD176" s="17"/>
      <c r="AE176" s="17"/>
      <c r="AF176" s="17"/>
      <c r="AG176" s="17"/>
      <c r="AH176" s="17"/>
      <c r="AI176" s="17"/>
      <c r="AJ176" s="17"/>
      <c r="AK176" s="17"/>
      <c r="AL176" s="17"/>
      <c r="AM176" s="17"/>
      <c r="AN176" s="17"/>
      <c r="AO176" s="17"/>
      <c r="AP176" s="17"/>
      <c r="AQ176" s="17"/>
      <c r="AR176" s="17"/>
      <c r="AS176" s="17"/>
      <c r="AT176" s="17"/>
      <c r="AU176" s="17"/>
    </row>
    <row r="177" spans="1:47" x14ac:dyDescent="0.3">
      <c r="A177" s="17"/>
      <c r="B177" s="17"/>
      <c r="C177" s="19"/>
      <c r="D177" s="19"/>
      <c r="E177" s="19"/>
      <c r="F177" s="19"/>
      <c r="G177" s="19"/>
      <c r="H177" s="19"/>
      <c r="I177" s="19"/>
      <c r="J177" s="19"/>
      <c r="K177" s="19"/>
      <c r="L177" s="19"/>
      <c r="M177" s="19"/>
      <c r="N177" s="19"/>
      <c r="O177" s="19"/>
      <c r="P177" s="19"/>
      <c r="Q177" s="19"/>
      <c r="R177" s="19"/>
      <c r="S177" s="19"/>
      <c r="T177" s="19"/>
      <c r="U177" s="19"/>
      <c r="V177" s="19"/>
      <c r="W177" s="19"/>
      <c r="X177" s="19"/>
      <c r="Y177" s="19"/>
      <c r="Z177" s="19"/>
      <c r="AA177" s="19"/>
      <c r="AB177" s="19"/>
      <c r="AC177" s="19"/>
      <c r="AD177" s="17"/>
      <c r="AE177" s="17"/>
      <c r="AF177" s="17"/>
      <c r="AG177" s="17"/>
      <c r="AH177" s="17"/>
      <c r="AI177" s="17"/>
      <c r="AJ177" s="17"/>
      <c r="AK177" s="17"/>
      <c r="AL177" s="17"/>
      <c r="AM177" s="17"/>
      <c r="AN177" s="17"/>
      <c r="AO177" s="17"/>
      <c r="AP177" s="17"/>
      <c r="AQ177" s="17"/>
      <c r="AR177" s="17"/>
      <c r="AS177" s="17"/>
      <c r="AT177" s="17"/>
      <c r="AU177" s="17"/>
    </row>
    <row r="178" spans="1:47" x14ac:dyDescent="0.3">
      <c r="A178" s="17"/>
      <c r="B178" s="17"/>
      <c r="C178" s="19"/>
      <c r="D178" s="19"/>
      <c r="E178" s="19"/>
      <c r="F178" s="19"/>
      <c r="G178" s="19"/>
      <c r="H178" s="19"/>
      <c r="I178" s="19"/>
      <c r="J178" s="19"/>
      <c r="K178" s="19"/>
      <c r="L178" s="19"/>
      <c r="M178" s="19"/>
      <c r="N178" s="19"/>
      <c r="O178" s="19"/>
      <c r="P178" s="19"/>
      <c r="Q178" s="19"/>
      <c r="R178" s="19"/>
      <c r="S178" s="19"/>
      <c r="T178" s="19"/>
      <c r="U178" s="19"/>
      <c r="V178" s="19"/>
      <c r="W178" s="205"/>
      <c r="X178" s="205"/>
      <c r="Y178" s="205"/>
      <c r="Z178" s="19"/>
      <c r="AA178" s="19"/>
      <c r="AB178" s="19"/>
      <c r="AC178" s="19"/>
      <c r="AD178" s="17"/>
      <c r="AE178" s="17"/>
      <c r="AF178" s="17"/>
      <c r="AG178" s="17"/>
      <c r="AH178" s="17"/>
      <c r="AI178" s="17"/>
      <c r="AJ178" s="17"/>
      <c r="AK178" s="17"/>
      <c r="AL178" s="17"/>
      <c r="AM178" s="17"/>
      <c r="AN178" s="17"/>
      <c r="AO178" s="17"/>
      <c r="AP178" s="17"/>
      <c r="AQ178" s="17"/>
      <c r="AR178" s="17"/>
      <c r="AS178" s="17"/>
      <c r="AT178" s="17"/>
      <c r="AU178" s="17"/>
    </row>
    <row r="179" spans="1:47" x14ac:dyDescent="0.3">
      <c r="A179" s="17"/>
      <c r="B179" s="17"/>
      <c r="C179" s="19"/>
      <c r="D179" s="19"/>
      <c r="E179" s="19"/>
      <c r="F179" s="19"/>
      <c r="G179" s="19"/>
      <c r="H179" s="19"/>
      <c r="I179" s="19"/>
      <c r="J179" s="19"/>
      <c r="K179" s="19"/>
      <c r="L179" s="19"/>
      <c r="M179" s="19"/>
      <c r="N179" s="19"/>
      <c r="O179" s="19"/>
      <c r="P179" s="19"/>
      <c r="Q179" s="19"/>
      <c r="R179" s="19"/>
      <c r="S179" s="19"/>
      <c r="T179" s="19"/>
      <c r="U179" s="19"/>
      <c r="V179" s="19"/>
      <c r="W179" s="205"/>
      <c r="X179" s="205"/>
      <c r="Y179" s="205"/>
      <c r="Z179" s="19"/>
      <c r="AA179" s="19"/>
      <c r="AB179" s="19"/>
      <c r="AC179" s="19"/>
      <c r="AD179" s="17"/>
      <c r="AE179" s="17"/>
      <c r="AF179" s="17"/>
      <c r="AG179" s="17"/>
      <c r="AH179" s="17"/>
      <c r="AI179" s="17"/>
      <c r="AJ179" s="17"/>
      <c r="AK179" s="17"/>
      <c r="AL179" s="17"/>
      <c r="AM179" s="17"/>
      <c r="AN179" s="17"/>
      <c r="AO179" s="17"/>
      <c r="AP179" s="17"/>
      <c r="AQ179" s="17"/>
      <c r="AR179" s="17"/>
      <c r="AS179" s="17"/>
      <c r="AT179" s="17"/>
      <c r="AU179" s="17"/>
    </row>
    <row r="180" spans="1:47" x14ac:dyDescent="0.3">
      <c r="A180" s="17"/>
      <c r="B180" s="17"/>
      <c r="C180" s="19"/>
      <c r="D180" s="19"/>
      <c r="E180" s="19"/>
      <c r="F180" s="19"/>
      <c r="G180" s="19"/>
      <c r="H180" s="19"/>
      <c r="I180" s="19"/>
      <c r="J180" s="19"/>
      <c r="K180" s="19"/>
      <c r="L180" s="19"/>
      <c r="M180" s="19"/>
      <c r="N180" s="19"/>
      <c r="O180" s="19"/>
      <c r="P180" s="19"/>
      <c r="Q180" s="19"/>
      <c r="R180" s="19"/>
      <c r="S180" s="19"/>
      <c r="T180" s="19"/>
      <c r="U180" s="19"/>
      <c r="V180" s="19"/>
      <c r="W180" s="205"/>
      <c r="X180" s="205"/>
      <c r="Y180" s="205"/>
      <c r="Z180" s="19"/>
      <c r="AA180" s="19"/>
      <c r="AB180" s="19"/>
      <c r="AC180" s="19"/>
      <c r="AD180" s="21"/>
      <c r="AE180" s="17"/>
      <c r="AF180" s="17"/>
      <c r="AG180" s="17"/>
      <c r="AH180" s="17"/>
      <c r="AI180" s="17"/>
      <c r="AJ180" s="17"/>
      <c r="AK180" s="17"/>
      <c r="AL180" s="17"/>
      <c r="AM180" s="17"/>
      <c r="AN180" s="17"/>
      <c r="AO180" s="17"/>
      <c r="AP180" s="17"/>
      <c r="AQ180" s="17"/>
      <c r="AR180" s="17"/>
      <c r="AS180" s="17"/>
      <c r="AT180" s="17"/>
      <c r="AU180" s="17"/>
    </row>
    <row r="181" spans="1:47" x14ac:dyDescent="0.3">
      <c r="A181" s="17"/>
      <c r="B181" s="17"/>
      <c r="C181" s="19"/>
      <c r="D181" s="19"/>
      <c r="E181" s="19"/>
      <c r="F181" s="19"/>
      <c r="G181" s="19"/>
      <c r="H181" s="19"/>
      <c r="I181" s="19"/>
      <c r="J181" s="19"/>
      <c r="K181" s="19"/>
      <c r="L181" s="19"/>
      <c r="M181" s="19"/>
      <c r="N181" s="19"/>
      <c r="O181" s="19"/>
      <c r="P181" s="19"/>
      <c r="Q181" s="19"/>
      <c r="R181" s="19"/>
      <c r="S181" s="205"/>
      <c r="T181" s="19"/>
      <c r="U181" s="19"/>
      <c r="V181" s="19"/>
      <c r="W181" s="205"/>
      <c r="X181" s="205"/>
      <c r="Y181" s="205"/>
      <c r="Z181" s="19"/>
      <c r="AA181" s="19"/>
      <c r="AB181" s="19"/>
      <c r="AC181" s="19"/>
      <c r="AD181" s="21"/>
      <c r="AE181" s="17"/>
      <c r="AF181" s="17"/>
      <c r="AG181" s="17"/>
      <c r="AH181" s="17"/>
      <c r="AI181" s="17"/>
      <c r="AJ181" s="17"/>
      <c r="AK181" s="17"/>
      <c r="AL181" s="17"/>
      <c r="AM181" s="17"/>
      <c r="AN181" s="17"/>
      <c r="AO181" s="17"/>
      <c r="AP181" s="17"/>
      <c r="AQ181" s="17"/>
      <c r="AR181" s="17"/>
      <c r="AS181" s="17"/>
      <c r="AT181" s="17"/>
      <c r="AU181" s="17"/>
    </row>
    <row r="182" spans="1:47" x14ac:dyDescent="0.3">
      <c r="A182" s="17"/>
      <c r="B182" s="17"/>
      <c r="C182" s="19"/>
      <c r="D182" s="19"/>
      <c r="E182" s="19"/>
      <c r="F182" s="19"/>
      <c r="G182" s="19"/>
      <c r="H182" s="19"/>
      <c r="I182" s="19"/>
      <c r="J182" s="19"/>
      <c r="K182" s="19"/>
      <c r="L182" s="19"/>
      <c r="M182" s="19"/>
      <c r="N182" s="19"/>
      <c r="O182" s="19"/>
      <c r="P182" s="19"/>
      <c r="Q182" s="19"/>
      <c r="R182" s="19"/>
      <c r="S182" s="19"/>
      <c r="T182" s="19"/>
      <c r="U182" s="19"/>
      <c r="V182" s="19"/>
      <c r="W182" s="205"/>
      <c r="X182" s="205"/>
      <c r="Y182" s="205"/>
      <c r="Z182" s="19"/>
      <c r="AA182" s="19"/>
      <c r="AB182" s="19"/>
      <c r="AC182" s="19"/>
      <c r="AD182" s="21"/>
      <c r="AE182" s="17"/>
      <c r="AF182" s="17"/>
      <c r="AG182" s="17"/>
      <c r="AH182" s="17"/>
      <c r="AI182" s="17"/>
      <c r="AJ182" s="17"/>
      <c r="AK182" s="17"/>
      <c r="AL182" s="17"/>
      <c r="AM182" s="17"/>
      <c r="AN182" s="17"/>
      <c r="AO182" s="17"/>
      <c r="AP182" s="17"/>
      <c r="AQ182" s="17"/>
      <c r="AR182" s="17"/>
      <c r="AS182" s="17"/>
      <c r="AT182" s="17"/>
      <c r="AU182" s="17"/>
    </row>
    <row r="183" spans="1:47" x14ac:dyDescent="0.3">
      <c r="A183" s="17"/>
      <c r="B183" s="17"/>
      <c r="C183" s="19"/>
      <c r="D183" s="19"/>
      <c r="E183" s="19"/>
      <c r="F183" s="19"/>
      <c r="G183" s="19"/>
      <c r="H183" s="19"/>
      <c r="I183" s="19"/>
      <c r="J183" s="19"/>
      <c r="K183" s="19"/>
      <c r="L183" s="19"/>
      <c r="M183" s="19"/>
      <c r="N183" s="19"/>
      <c r="O183" s="19"/>
      <c r="P183" s="19"/>
      <c r="Q183" s="19"/>
      <c r="R183" s="19"/>
      <c r="S183" s="19"/>
      <c r="T183" s="19"/>
      <c r="U183" s="19"/>
      <c r="V183" s="19"/>
      <c r="W183" s="19"/>
      <c r="X183" s="19"/>
      <c r="Y183" s="19"/>
      <c r="Z183" s="19"/>
      <c r="AA183" s="19"/>
      <c r="AB183" s="19"/>
      <c r="AC183" s="19"/>
      <c r="AD183" s="17"/>
      <c r="AE183" s="17"/>
      <c r="AF183" s="17"/>
      <c r="AG183" s="17"/>
      <c r="AH183" s="17"/>
      <c r="AI183" s="17"/>
      <c r="AJ183" s="17"/>
      <c r="AK183" s="17"/>
      <c r="AL183" s="17"/>
      <c r="AM183" s="17"/>
      <c r="AN183" s="17"/>
      <c r="AO183" s="17"/>
      <c r="AP183" s="17"/>
      <c r="AQ183" s="17"/>
      <c r="AR183" s="17"/>
      <c r="AS183" s="17"/>
      <c r="AT183" s="17"/>
      <c r="AU183" s="17"/>
    </row>
    <row r="184" spans="1:47" x14ac:dyDescent="0.3">
      <c r="A184" s="17"/>
      <c r="B184" s="17"/>
      <c r="C184" s="19"/>
      <c r="D184" s="19"/>
      <c r="E184" s="19"/>
      <c r="F184" s="19"/>
      <c r="G184" s="19"/>
      <c r="H184" s="19"/>
      <c r="I184" s="19"/>
      <c r="J184" s="19"/>
      <c r="K184" s="19"/>
      <c r="L184" s="19"/>
      <c r="M184" s="19"/>
      <c r="N184" s="19"/>
      <c r="O184" s="19"/>
      <c r="P184" s="19"/>
      <c r="Q184" s="19"/>
      <c r="R184" s="19"/>
      <c r="S184" s="19"/>
      <c r="T184" s="19"/>
      <c r="U184" s="19"/>
      <c r="V184" s="19"/>
      <c r="W184" s="19"/>
      <c r="X184" s="19"/>
      <c r="Y184" s="19"/>
      <c r="Z184" s="19"/>
      <c r="AA184" s="19"/>
      <c r="AB184" s="19"/>
      <c r="AC184" s="19"/>
      <c r="AD184" s="17"/>
      <c r="AE184" s="17"/>
      <c r="AF184" s="17"/>
      <c r="AG184" s="17"/>
      <c r="AH184" s="17"/>
      <c r="AI184" s="17"/>
      <c r="AJ184" s="17"/>
      <c r="AK184" s="17"/>
      <c r="AL184" s="17"/>
      <c r="AM184" s="17"/>
      <c r="AN184" s="17"/>
      <c r="AO184" s="17"/>
      <c r="AP184" s="17"/>
      <c r="AQ184" s="17"/>
      <c r="AR184" s="17"/>
      <c r="AS184" s="17"/>
      <c r="AT184" s="17"/>
      <c r="AU184" s="17"/>
    </row>
    <row r="185" spans="1:47" x14ac:dyDescent="0.3">
      <c r="A185" s="17"/>
      <c r="B185" s="17"/>
      <c r="C185" s="19"/>
      <c r="D185" s="19"/>
      <c r="E185" s="19"/>
      <c r="F185" s="19"/>
      <c r="G185" s="19"/>
      <c r="H185" s="19"/>
      <c r="I185" s="19"/>
      <c r="J185" s="19"/>
      <c r="K185" s="19"/>
      <c r="L185" s="19"/>
      <c r="M185" s="19"/>
      <c r="N185" s="19"/>
      <c r="O185" s="19"/>
      <c r="P185" s="19"/>
      <c r="Q185" s="19"/>
      <c r="R185" s="19"/>
      <c r="S185" s="19"/>
      <c r="T185" s="19"/>
      <c r="U185" s="19"/>
      <c r="V185" s="299"/>
      <c r="W185" s="299"/>
      <c r="X185" s="299"/>
      <c r="Y185" s="299"/>
      <c r="Z185" s="19"/>
      <c r="AA185" s="19"/>
      <c r="AB185" s="19"/>
      <c r="AC185" s="19"/>
      <c r="AD185" s="17"/>
      <c r="AE185" s="17"/>
      <c r="AF185" s="17"/>
      <c r="AG185" s="17"/>
      <c r="AH185" s="17"/>
      <c r="AI185" s="17"/>
      <c r="AJ185" s="17"/>
      <c r="AK185" s="17"/>
      <c r="AL185" s="17"/>
      <c r="AM185" s="17"/>
      <c r="AN185" s="17"/>
      <c r="AO185" s="17"/>
      <c r="AP185" s="17"/>
      <c r="AQ185" s="17"/>
      <c r="AR185" s="17"/>
      <c r="AS185" s="17"/>
      <c r="AT185" s="17"/>
      <c r="AU185" s="17"/>
    </row>
    <row r="186" spans="1:47" x14ac:dyDescent="0.3">
      <c r="A186" s="17"/>
      <c r="B186" s="17"/>
      <c r="C186" s="19"/>
      <c r="D186" s="19"/>
      <c r="E186" s="19"/>
      <c r="F186" s="19"/>
      <c r="G186" s="19"/>
      <c r="H186" s="19"/>
      <c r="I186" s="19"/>
      <c r="J186" s="19"/>
      <c r="K186" s="19"/>
      <c r="L186" s="19"/>
      <c r="M186" s="19"/>
      <c r="N186" s="19"/>
      <c r="O186" s="19"/>
      <c r="P186" s="19"/>
      <c r="Q186" s="19"/>
      <c r="R186" s="19"/>
      <c r="S186" s="19"/>
      <c r="T186" s="19"/>
      <c r="U186" s="19"/>
      <c r="V186" s="19"/>
      <c r="W186" s="19"/>
      <c r="X186" s="19"/>
      <c r="Y186" s="19"/>
      <c r="Z186" s="19"/>
      <c r="AA186" s="19"/>
      <c r="AB186" s="19"/>
      <c r="AC186" s="19"/>
      <c r="AD186" s="17"/>
      <c r="AE186" s="17"/>
      <c r="AF186" s="17"/>
      <c r="AG186" s="17"/>
      <c r="AH186" s="17"/>
      <c r="AI186" s="17"/>
      <c r="AJ186" s="17"/>
      <c r="AK186" s="17"/>
      <c r="AL186" s="17"/>
      <c r="AM186" s="17"/>
      <c r="AN186" s="17"/>
      <c r="AO186" s="17"/>
      <c r="AP186" s="17"/>
      <c r="AQ186" s="17"/>
      <c r="AR186" s="17"/>
      <c r="AS186" s="17"/>
      <c r="AT186" s="17"/>
      <c r="AU186" s="17"/>
    </row>
    <row r="187" spans="1:47" x14ac:dyDescent="0.3">
      <c r="A187" s="17"/>
      <c r="B187" s="17"/>
      <c r="C187" s="19"/>
      <c r="D187" s="19"/>
      <c r="E187" s="19"/>
      <c r="F187" s="19"/>
      <c r="G187" s="19"/>
      <c r="H187" s="19"/>
      <c r="I187" s="19"/>
      <c r="J187" s="19"/>
      <c r="K187" s="19"/>
      <c r="L187" s="19"/>
      <c r="M187" s="19"/>
      <c r="N187" s="19"/>
      <c r="O187" s="19"/>
      <c r="P187" s="19"/>
      <c r="Q187" s="19"/>
      <c r="R187" s="19"/>
      <c r="S187" s="19"/>
      <c r="T187" s="19"/>
      <c r="U187" s="19"/>
      <c r="V187" s="19"/>
      <c r="W187" s="205"/>
      <c r="X187" s="205"/>
      <c r="Y187" s="205"/>
      <c r="Z187" s="19"/>
      <c r="AA187" s="19"/>
      <c r="AB187" s="19"/>
      <c r="AC187" s="19"/>
      <c r="AD187" s="17"/>
      <c r="AE187" s="17"/>
      <c r="AF187" s="17"/>
      <c r="AG187" s="17"/>
      <c r="AH187" s="17"/>
      <c r="AI187" s="17"/>
      <c r="AJ187" s="17"/>
      <c r="AK187" s="17"/>
      <c r="AL187" s="17"/>
      <c r="AM187" s="17"/>
      <c r="AN187" s="17"/>
      <c r="AO187" s="17"/>
      <c r="AP187" s="17"/>
      <c r="AQ187" s="17"/>
      <c r="AR187" s="17"/>
      <c r="AS187" s="17"/>
      <c r="AT187" s="17"/>
      <c r="AU187" s="17"/>
    </row>
    <row r="188" spans="1:47" x14ac:dyDescent="0.3">
      <c r="A188" s="17"/>
      <c r="B188" s="17"/>
      <c r="C188" s="19"/>
      <c r="D188" s="19"/>
      <c r="E188" s="19"/>
      <c r="F188" s="19"/>
      <c r="G188" s="19"/>
      <c r="H188" s="19"/>
      <c r="I188" s="19"/>
      <c r="J188" s="19"/>
      <c r="K188" s="19"/>
      <c r="L188" s="19"/>
      <c r="M188" s="19"/>
      <c r="N188" s="19"/>
      <c r="O188" s="19"/>
      <c r="P188" s="19"/>
      <c r="Q188" s="19"/>
      <c r="R188" s="19"/>
      <c r="S188" s="19"/>
      <c r="T188" s="19"/>
      <c r="U188" s="19"/>
      <c r="V188" s="19"/>
      <c r="W188" s="205"/>
      <c r="X188" s="205"/>
      <c r="Y188" s="205"/>
      <c r="Z188" s="19"/>
      <c r="AA188" s="19"/>
      <c r="AB188" s="19"/>
      <c r="AC188" s="19"/>
      <c r="AD188" s="17"/>
      <c r="AE188" s="17"/>
      <c r="AF188" s="17"/>
      <c r="AG188" s="17"/>
      <c r="AH188" s="17"/>
      <c r="AI188" s="17"/>
      <c r="AJ188" s="17"/>
      <c r="AK188" s="17"/>
      <c r="AL188" s="17"/>
      <c r="AM188" s="17"/>
      <c r="AN188" s="17"/>
      <c r="AO188" s="17"/>
      <c r="AP188" s="17"/>
      <c r="AQ188" s="17"/>
      <c r="AR188" s="17"/>
      <c r="AS188" s="17"/>
      <c r="AT188" s="17"/>
      <c r="AU188" s="17"/>
    </row>
    <row r="189" spans="1:47" x14ac:dyDescent="0.3">
      <c r="A189" s="17"/>
      <c r="B189" s="17"/>
      <c r="C189" s="19"/>
      <c r="D189" s="19"/>
      <c r="E189" s="19"/>
      <c r="F189" s="19"/>
      <c r="G189" s="19"/>
      <c r="H189" s="19"/>
      <c r="I189" s="19"/>
      <c r="J189" s="19"/>
      <c r="K189" s="19"/>
      <c r="L189" s="19"/>
      <c r="M189" s="19"/>
      <c r="N189" s="19"/>
      <c r="O189" s="19"/>
      <c r="P189" s="19"/>
      <c r="Q189" s="19"/>
      <c r="R189" s="19"/>
      <c r="S189" s="19"/>
      <c r="T189" s="19"/>
      <c r="U189" s="19"/>
      <c r="V189" s="19"/>
      <c r="W189" s="205"/>
      <c r="X189" s="205"/>
      <c r="Y189" s="205"/>
      <c r="Z189" s="19"/>
      <c r="AA189" s="19"/>
      <c r="AB189" s="19"/>
      <c r="AC189" s="19"/>
      <c r="AD189" s="17"/>
      <c r="AE189" s="17"/>
      <c r="AF189" s="17"/>
      <c r="AG189" s="17"/>
      <c r="AH189" s="17"/>
      <c r="AI189" s="17"/>
      <c r="AJ189" s="17"/>
      <c r="AK189" s="17"/>
      <c r="AL189" s="17"/>
      <c r="AM189" s="17"/>
      <c r="AN189" s="17"/>
      <c r="AO189" s="17"/>
      <c r="AP189" s="17"/>
      <c r="AQ189" s="17"/>
      <c r="AR189" s="17"/>
      <c r="AS189" s="17"/>
      <c r="AT189" s="17"/>
      <c r="AU189" s="17"/>
    </row>
    <row r="190" spans="1:47" x14ac:dyDescent="0.3">
      <c r="A190" s="17"/>
      <c r="B190" s="17"/>
      <c r="C190" s="19"/>
      <c r="D190" s="19"/>
      <c r="E190" s="19"/>
      <c r="F190" s="19"/>
      <c r="G190" s="19"/>
      <c r="H190" s="19"/>
      <c r="I190" s="19"/>
      <c r="J190" s="19"/>
      <c r="K190" s="19"/>
      <c r="L190" s="19"/>
      <c r="M190" s="19"/>
      <c r="N190" s="19"/>
      <c r="O190" s="19"/>
      <c r="P190" s="19"/>
      <c r="Q190" s="19"/>
      <c r="R190" s="19"/>
      <c r="S190" s="205"/>
      <c r="T190" s="19"/>
      <c r="U190" s="19"/>
      <c r="V190" s="19"/>
      <c r="W190" s="205"/>
      <c r="X190" s="205"/>
      <c r="Y190" s="205"/>
      <c r="Z190" s="19"/>
      <c r="AA190" s="19"/>
      <c r="AB190" s="19"/>
      <c r="AC190" s="19"/>
      <c r="AD190" s="17"/>
      <c r="AE190" s="17"/>
      <c r="AF190" s="17"/>
      <c r="AG190" s="17"/>
      <c r="AH190" s="17"/>
      <c r="AI190" s="17"/>
      <c r="AJ190" s="17"/>
      <c r="AK190" s="17"/>
      <c r="AL190" s="17"/>
      <c r="AM190" s="17"/>
      <c r="AN190" s="17"/>
      <c r="AO190" s="17"/>
      <c r="AP190" s="17"/>
      <c r="AQ190" s="17"/>
      <c r="AR190" s="17"/>
      <c r="AS190" s="17"/>
      <c r="AT190" s="17"/>
      <c r="AU190" s="17"/>
    </row>
    <row r="191" spans="1:47" x14ac:dyDescent="0.3">
      <c r="A191" s="17"/>
      <c r="B191" s="17"/>
      <c r="C191" s="19"/>
      <c r="D191" s="19"/>
      <c r="E191" s="19"/>
      <c r="F191" s="19"/>
      <c r="G191" s="19"/>
      <c r="H191" s="19"/>
      <c r="I191" s="19"/>
      <c r="J191" s="19"/>
      <c r="K191" s="19"/>
      <c r="L191" s="19"/>
      <c r="M191" s="19"/>
      <c r="N191" s="19"/>
      <c r="O191" s="19"/>
      <c r="P191" s="19"/>
      <c r="Q191" s="19"/>
      <c r="R191" s="19"/>
      <c r="S191" s="19"/>
      <c r="T191" s="19"/>
      <c r="U191" s="19"/>
      <c r="V191" s="19"/>
      <c r="W191" s="205"/>
      <c r="X191" s="205"/>
      <c r="Y191" s="205"/>
      <c r="Z191" s="19"/>
      <c r="AA191" s="19"/>
      <c r="AB191" s="19"/>
      <c r="AC191" s="19"/>
      <c r="AD191" s="17"/>
      <c r="AE191" s="17"/>
      <c r="AF191" s="17"/>
      <c r="AG191" s="17"/>
      <c r="AH191" s="17"/>
      <c r="AI191" s="17"/>
      <c r="AJ191" s="17"/>
      <c r="AK191" s="17"/>
      <c r="AL191" s="17"/>
      <c r="AM191" s="17"/>
      <c r="AN191" s="17"/>
      <c r="AO191" s="17"/>
      <c r="AP191" s="17"/>
      <c r="AQ191" s="17"/>
      <c r="AR191" s="17"/>
      <c r="AS191" s="17"/>
      <c r="AT191" s="17"/>
      <c r="AU191" s="17"/>
    </row>
    <row r="192" spans="1:47" x14ac:dyDescent="0.3">
      <c r="A192" s="17"/>
      <c r="B192" s="17"/>
      <c r="C192" s="19"/>
      <c r="D192" s="19"/>
      <c r="E192" s="19"/>
      <c r="F192" s="19"/>
      <c r="G192" s="19"/>
      <c r="H192" s="19"/>
      <c r="I192" s="19"/>
      <c r="J192" s="19"/>
      <c r="K192" s="19"/>
      <c r="L192" s="19"/>
      <c r="M192" s="19"/>
      <c r="N192" s="19"/>
      <c r="O192" s="19"/>
      <c r="P192" s="19"/>
      <c r="Q192" s="19"/>
      <c r="R192" s="19"/>
      <c r="S192" s="19"/>
      <c r="T192" s="19"/>
      <c r="U192" s="19"/>
      <c r="V192" s="19"/>
      <c r="W192" s="19"/>
      <c r="X192" s="19"/>
      <c r="Y192" s="19"/>
      <c r="Z192" s="19"/>
      <c r="AA192" s="19"/>
      <c r="AB192" s="19"/>
      <c r="AC192" s="19"/>
      <c r="AD192" s="17"/>
      <c r="AE192" s="17"/>
      <c r="AF192" s="17"/>
      <c r="AG192" s="17"/>
      <c r="AH192" s="17"/>
      <c r="AI192" s="17"/>
      <c r="AJ192" s="17"/>
      <c r="AK192" s="17"/>
      <c r="AL192" s="17"/>
      <c r="AM192" s="17"/>
      <c r="AN192" s="17"/>
      <c r="AO192" s="17"/>
      <c r="AP192" s="17"/>
      <c r="AQ192" s="17"/>
      <c r="AR192" s="17"/>
      <c r="AS192" s="17"/>
      <c r="AT192" s="17"/>
      <c r="AU192" s="17"/>
    </row>
    <row r="193" spans="1:47" x14ac:dyDescent="0.3">
      <c r="A193" s="17"/>
      <c r="B193" s="17"/>
      <c r="C193" s="19"/>
      <c r="D193" s="19"/>
      <c r="E193" s="19"/>
      <c r="F193" s="19"/>
      <c r="G193" s="19"/>
      <c r="H193" s="19"/>
      <c r="I193" s="19"/>
      <c r="J193" s="19"/>
      <c r="K193" s="19"/>
      <c r="L193" s="19"/>
      <c r="M193" s="19"/>
      <c r="N193" s="19"/>
      <c r="O193" s="19"/>
      <c r="P193" s="19"/>
      <c r="Q193" s="19"/>
      <c r="R193" s="19"/>
      <c r="S193" s="19"/>
      <c r="T193" s="19"/>
      <c r="U193" s="19"/>
      <c r="V193" s="19"/>
      <c r="W193" s="19"/>
      <c r="X193" s="19"/>
      <c r="Y193" s="19"/>
      <c r="Z193" s="19"/>
      <c r="AA193" s="19"/>
      <c r="AB193" s="19"/>
      <c r="AC193" s="19"/>
      <c r="AD193" s="17"/>
      <c r="AE193" s="17"/>
      <c r="AF193" s="17"/>
      <c r="AG193" s="17"/>
      <c r="AH193" s="17"/>
      <c r="AI193" s="17"/>
      <c r="AJ193" s="17"/>
      <c r="AK193" s="17"/>
      <c r="AL193" s="17"/>
      <c r="AM193" s="17"/>
      <c r="AN193" s="17"/>
      <c r="AO193" s="17"/>
      <c r="AP193" s="17"/>
      <c r="AQ193" s="17"/>
      <c r="AR193" s="17"/>
      <c r="AS193" s="17"/>
      <c r="AT193" s="17"/>
      <c r="AU193" s="17"/>
    </row>
    <row r="194" spans="1:47" x14ac:dyDescent="0.3">
      <c r="A194" s="17"/>
      <c r="B194" s="17"/>
      <c r="C194" s="17"/>
      <c r="D194" s="17"/>
      <c r="E194" s="17"/>
      <c r="F194" s="17"/>
      <c r="G194" s="17"/>
      <c r="H194" s="17"/>
      <c r="I194" s="17"/>
      <c r="J194" s="17"/>
      <c r="K194" s="17"/>
      <c r="L194" s="17"/>
      <c r="M194" s="17"/>
      <c r="N194" s="17"/>
      <c r="O194" s="17"/>
      <c r="P194" s="17"/>
      <c r="Q194" s="17"/>
      <c r="R194" s="17"/>
      <c r="S194" s="17"/>
      <c r="T194" s="17"/>
      <c r="U194" s="17"/>
      <c r="V194" s="17"/>
      <c r="W194" s="17"/>
      <c r="X194" s="17"/>
      <c r="Y194" s="17"/>
      <c r="Z194" s="17"/>
      <c r="AA194" s="17"/>
      <c r="AB194" s="17"/>
      <c r="AC194" s="17"/>
      <c r="AD194" s="17"/>
      <c r="AE194" s="17"/>
      <c r="AF194" s="17"/>
      <c r="AG194" s="17"/>
      <c r="AH194" s="17"/>
      <c r="AI194" s="17"/>
      <c r="AJ194" s="17"/>
      <c r="AK194" s="17"/>
      <c r="AL194" s="17"/>
      <c r="AM194" s="17"/>
      <c r="AN194" s="17"/>
      <c r="AO194" s="17"/>
      <c r="AP194" s="17"/>
      <c r="AQ194" s="17"/>
      <c r="AR194" s="17"/>
      <c r="AS194" s="17"/>
      <c r="AT194" s="17"/>
      <c r="AU194" s="17"/>
    </row>
    <row r="195" spans="1:47" x14ac:dyDescent="0.3">
      <c r="A195" s="17"/>
      <c r="B195" s="17"/>
      <c r="C195" s="17"/>
      <c r="D195" s="17"/>
      <c r="E195" s="17"/>
      <c r="F195" s="17"/>
      <c r="G195" s="17"/>
      <c r="H195" s="17"/>
      <c r="I195" s="17"/>
      <c r="J195" s="17"/>
      <c r="K195" s="17"/>
      <c r="L195" s="17"/>
      <c r="M195" s="17"/>
      <c r="N195" s="17"/>
      <c r="O195" s="17"/>
      <c r="P195" s="17"/>
      <c r="Q195" s="17"/>
      <c r="R195" s="17"/>
      <c r="S195" s="17"/>
      <c r="T195" s="17"/>
      <c r="U195" s="17"/>
      <c r="V195" s="17"/>
      <c r="W195" s="17"/>
      <c r="X195" s="17"/>
      <c r="Y195" s="17"/>
      <c r="Z195" s="17"/>
      <c r="AA195" s="17"/>
      <c r="AB195" s="17"/>
      <c r="AC195" s="17"/>
      <c r="AD195" s="17"/>
      <c r="AE195" s="17"/>
      <c r="AF195" s="17"/>
      <c r="AG195" s="17"/>
      <c r="AH195" s="17"/>
      <c r="AI195" s="17"/>
      <c r="AJ195" s="17"/>
      <c r="AK195" s="17"/>
      <c r="AL195" s="17"/>
      <c r="AM195" s="17"/>
      <c r="AN195" s="17"/>
      <c r="AO195" s="17"/>
      <c r="AP195" s="17"/>
      <c r="AQ195" s="17"/>
      <c r="AR195" s="17"/>
      <c r="AS195" s="17"/>
      <c r="AT195" s="17"/>
      <c r="AU195" s="17"/>
    </row>
    <row r="196" spans="1:47" x14ac:dyDescent="0.3">
      <c r="A196" s="17"/>
      <c r="B196" s="17"/>
      <c r="C196" s="17"/>
      <c r="D196" s="17"/>
      <c r="E196" s="17"/>
      <c r="F196" s="17"/>
      <c r="G196" s="17"/>
      <c r="H196" s="17"/>
      <c r="I196" s="17"/>
      <c r="J196" s="17"/>
      <c r="K196" s="17"/>
      <c r="L196" s="17"/>
      <c r="M196" s="17"/>
      <c r="N196" s="17"/>
      <c r="O196" s="17"/>
      <c r="P196" s="17"/>
      <c r="Q196" s="17"/>
      <c r="R196" s="17"/>
      <c r="S196" s="17"/>
      <c r="T196" s="17"/>
      <c r="U196" s="17"/>
      <c r="V196" s="17"/>
      <c r="W196" s="17"/>
      <c r="X196" s="17"/>
      <c r="Y196" s="17"/>
      <c r="Z196" s="17"/>
      <c r="AA196" s="17"/>
      <c r="AB196" s="17"/>
      <c r="AC196" s="17"/>
      <c r="AD196" s="17"/>
      <c r="AE196" s="17"/>
      <c r="AF196" s="17"/>
      <c r="AG196" s="17"/>
      <c r="AH196" s="17"/>
      <c r="AI196" s="17"/>
      <c r="AJ196" s="17"/>
      <c r="AK196" s="17"/>
      <c r="AL196" s="17"/>
      <c r="AM196" s="17"/>
      <c r="AN196" s="17"/>
      <c r="AO196" s="17"/>
      <c r="AP196" s="17"/>
      <c r="AQ196" s="17"/>
      <c r="AR196" s="17"/>
      <c r="AS196" s="17"/>
      <c r="AT196" s="17"/>
      <c r="AU196" s="17"/>
    </row>
    <row r="197" spans="1:47" x14ac:dyDescent="0.3">
      <c r="A197" s="17"/>
      <c r="B197" s="17"/>
      <c r="C197" s="17"/>
      <c r="D197" s="17"/>
      <c r="E197" s="17"/>
      <c r="F197" s="17"/>
      <c r="G197" s="17"/>
      <c r="H197" s="17"/>
      <c r="I197" s="17"/>
      <c r="J197" s="17"/>
      <c r="K197" s="17"/>
      <c r="L197" s="17"/>
      <c r="M197" s="17"/>
      <c r="N197" s="17"/>
      <c r="O197" s="17"/>
      <c r="P197" s="17"/>
      <c r="Q197" s="17"/>
      <c r="R197" s="17"/>
      <c r="S197" s="17"/>
      <c r="T197" s="17"/>
      <c r="U197" s="17"/>
      <c r="V197" s="17"/>
      <c r="W197" s="17"/>
      <c r="X197" s="17"/>
      <c r="Y197" s="17"/>
      <c r="Z197" s="17"/>
      <c r="AA197" s="17"/>
      <c r="AB197" s="17"/>
      <c r="AC197" s="17"/>
      <c r="AD197" s="17"/>
      <c r="AE197" s="17"/>
      <c r="AF197" s="17"/>
      <c r="AG197" s="17"/>
      <c r="AH197" s="17"/>
      <c r="AI197" s="17"/>
      <c r="AJ197" s="17"/>
      <c r="AK197" s="17"/>
      <c r="AL197" s="17"/>
      <c r="AM197" s="17"/>
      <c r="AN197" s="17"/>
      <c r="AO197" s="17"/>
      <c r="AP197" s="17"/>
      <c r="AQ197" s="17"/>
      <c r="AR197" s="17"/>
      <c r="AS197" s="17"/>
      <c r="AT197" s="17"/>
      <c r="AU197" s="17"/>
    </row>
    <row r="198" spans="1:47" x14ac:dyDescent="0.3">
      <c r="A198" s="17"/>
      <c r="B198" s="17"/>
      <c r="C198" s="17"/>
      <c r="D198" s="17"/>
      <c r="E198" s="17"/>
      <c r="F198" s="17"/>
      <c r="G198" s="17"/>
      <c r="H198" s="17"/>
      <c r="I198" s="17"/>
      <c r="J198" s="17"/>
      <c r="K198" s="17"/>
      <c r="L198" s="17"/>
      <c r="M198" s="17"/>
      <c r="N198" s="17"/>
      <c r="O198" s="17"/>
      <c r="P198" s="17"/>
      <c r="Q198" s="17"/>
      <c r="R198" s="17"/>
      <c r="S198" s="17"/>
      <c r="T198" s="17"/>
      <c r="U198" s="17"/>
      <c r="V198" s="17"/>
      <c r="W198" s="17"/>
      <c r="X198" s="17"/>
      <c r="Y198" s="17"/>
      <c r="Z198" s="17"/>
      <c r="AA198" s="17"/>
      <c r="AB198" s="17"/>
      <c r="AC198" s="17"/>
      <c r="AD198" s="17"/>
      <c r="AE198" s="17"/>
      <c r="AF198" s="17"/>
      <c r="AG198" s="17"/>
      <c r="AH198" s="17"/>
      <c r="AI198" s="17"/>
      <c r="AJ198" s="17"/>
      <c r="AK198" s="17"/>
      <c r="AL198" s="17"/>
      <c r="AM198" s="17"/>
      <c r="AN198" s="17"/>
      <c r="AO198" s="17"/>
      <c r="AP198" s="17"/>
      <c r="AQ198" s="17"/>
      <c r="AR198" s="17"/>
      <c r="AS198" s="17"/>
      <c r="AT198" s="17"/>
      <c r="AU198" s="17"/>
    </row>
    <row r="199" spans="1:47" x14ac:dyDescent="0.3">
      <c r="A199" s="17"/>
      <c r="B199" s="17"/>
      <c r="C199" s="298"/>
      <c r="D199" s="298"/>
      <c r="E199" s="298"/>
      <c r="F199" s="18"/>
      <c r="G199" s="18"/>
      <c r="H199" s="18"/>
      <c r="I199" s="17"/>
      <c r="J199" s="298"/>
      <c r="K199" s="298"/>
      <c r="L199" s="17"/>
      <c r="M199" s="17"/>
      <c r="N199" s="17"/>
      <c r="O199" s="17"/>
      <c r="P199" s="17"/>
      <c r="Q199" s="17"/>
      <c r="R199" s="17"/>
      <c r="S199" s="17"/>
      <c r="T199" s="17"/>
      <c r="U199" s="17"/>
      <c r="V199" s="17"/>
      <c r="W199" s="17"/>
      <c r="X199" s="17"/>
      <c r="Y199" s="17"/>
      <c r="Z199" s="17"/>
      <c r="AA199" s="17"/>
      <c r="AB199" s="17"/>
      <c r="AC199" s="17"/>
      <c r="AD199" s="17"/>
      <c r="AE199" s="17"/>
      <c r="AF199" s="17"/>
      <c r="AG199" s="17"/>
      <c r="AH199" s="17"/>
      <c r="AI199" s="17"/>
      <c r="AJ199" s="17"/>
      <c r="AK199" s="17"/>
      <c r="AL199" s="17"/>
      <c r="AM199" s="17"/>
      <c r="AN199" s="17"/>
      <c r="AO199" s="17"/>
      <c r="AP199" s="17"/>
      <c r="AQ199" s="17"/>
      <c r="AR199" s="17"/>
      <c r="AS199" s="17"/>
      <c r="AT199" s="17"/>
      <c r="AU199" s="17"/>
    </row>
    <row r="200" spans="1:47" x14ac:dyDescent="0.3">
      <c r="A200" s="17"/>
      <c r="B200" s="17"/>
      <c r="C200" s="17"/>
      <c r="D200" s="17"/>
      <c r="E200" s="17"/>
      <c r="F200" s="17"/>
      <c r="G200" s="17"/>
      <c r="H200" s="17"/>
      <c r="I200" s="17"/>
      <c r="J200" s="17"/>
      <c r="K200" s="17"/>
      <c r="L200" s="17"/>
      <c r="M200" s="17"/>
      <c r="N200" s="17"/>
      <c r="O200" s="17"/>
      <c r="P200" s="17"/>
      <c r="Q200" s="17"/>
      <c r="R200" s="17"/>
      <c r="S200" s="17"/>
      <c r="T200" s="17"/>
      <c r="U200" s="17"/>
      <c r="V200" s="17"/>
      <c r="W200" s="17"/>
      <c r="X200" s="17"/>
      <c r="Y200" s="17"/>
      <c r="Z200" s="17"/>
      <c r="AA200" s="17"/>
      <c r="AB200" s="17"/>
      <c r="AC200" s="17"/>
      <c r="AD200" s="17"/>
      <c r="AE200" s="17"/>
      <c r="AF200" s="17"/>
      <c r="AG200" s="17"/>
      <c r="AH200" s="17"/>
      <c r="AI200" s="17"/>
      <c r="AJ200" s="17"/>
      <c r="AK200" s="17"/>
      <c r="AL200" s="17"/>
      <c r="AM200" s="17"/>
      <c r="AN200" s="17"/>
      <c r="AO200" s="17"/>
      <c r="AP200" s="17"/>
      <c r="AQ200" s="17"/>
      <c r="AR200" s="17"/>
      <c r="AS200" s="17"/>
      <c r="AT200" s="17"/>
      <c r="AU200" s="17"/>
    </row>
    <row r="201" spans="1:47" x14ac:dyDescent="0.3">
      <c r="A201" s="17"/>
      <c r="B201" s="17"/>
      <c r="C201" s="19"/>
      <c r="D201" s="19"/>
      <c r="E201" s="19"/>
      <c r="F201" s="17"/>
      <c r="G201" s="19"/>
      <c r="H201" s="19"/>
      <c r="I201" s="19"/>
      <c r="J201" s="20"/>
      <c r="K201" s="20"/>
      <c r="L201" s="20"/>
      <c r="M201" s="17"/>
      <c r="N201" s="17"/>
      <c r="O201" s="17"/>
      <c r="P201" s="17"/>
      <c r="Q201" s="17"/>
      <c r="R201" s="17"/>
      <c r="S201" s="17"/>
      <c r="T201" s="17"/>
      <c r="U201" s="17"/>
      <c r="V201" s="17"/>
      <c r="W201" s="17"/>
      <c r="X201" s="17"/>
      <c r="Y201" s="17"/>
      <c r="Z201" s="17"/>
      <c r="AA201" s="17"/>
      <c r="AB201" s="17"/>
      <c r="AC201" s="17"/>
      <c r="AD201" s="17"/>
      <c r="AE201" s="17"/>
      <c r="AF201" s="17"/>
      <c r="AG201" s="17"/>
      <c r="AH201" s="17"/>
      <c r="AI201" s="17"/>
      <c r="AJ201" s="17"/>
      <c r="AK201" s="17"/>
      <c r="AL201" s="17"/>
      <c r="AM201" s="17"/>
      <c r="AN201" s="17"/>
      <c r="AO201" s="17"/>
      <c r="AP201" s="17"/>
      <c r="AQ201" s="17"/>
      <c r="AR201" s="17"/>
      <c r="AS201" s="17"/>
      <c r="AT201" s="17"/>
      <c r="AU201" s="17"/>
    </row>
    <row r="202" spans="1:47" x14ac:dyDescent="0.3">
      <c r="A202" s="17"/>
      <c r="B202" s="17"/>
      <c r="C202" s="19"/>
      <c r="D202" s="19"/>
      <c r="E202" s="19"/>
      <c r="F202" s="17"/>
      <c r="G202" s="19"/>
      <c r="H202" s="19"/>
      <c r="I202" s="19"/>
      <c r="J202" s="20"/>
      <c r="K202" s="20"/>
      <c r="L202" s="20"/>
      <c r="M202" s="17"/>
      <c r="N202" s="17"/>
      <c r="O202" s="17"/>
      <c r="P202" s="17"/>
      <c r="Q202" s="17"/>
      <c r="R202" s="17"/>
      <c r="S202" s="17"/>
      <c r="T202" s="17"/>
      <c r="U202" s="17"/>
      <c r="V202" s="17"/>
      <c r="W202" s="17"/>
      <c r="X202" s="17"/>
      <c r="Y202" s="17"/>
      <c r="Z202" s="17"/>
      <c r="AA202" s="17"/>
      <c r="AB202" s="17"/>
      <c r="AC202" s="17"/>
      <c r="AD202" s="17"/>
      <c r="AE202" s="17"/>
      <c r="AF202" s="17"/>
      <c r="AG202" s="17"/>
      <c r="AH202" s="17"/>
      <c r="AI202" s="17"/>
      <c r="AJ202" s="17"/>
      <c r="AK202" s="17"/>
      <c r="AL202" s="17"/>
      <c r="AM202" s="17"/>
      <c r="AN202" s="17"/>
      <c r="AO202" s="17"/>
      <c r="AP202" s="17"/>
      <c r="AQ202" s="17"/>
      <c r="AR202" s="17"/>
      <c r="AS202" s="17"/>
      <c r="AT202" s="17"/>
      <c r="AU202" s="17"/>
    </row>
    <row r="203" spans="1:47" x14ac:dyDescent="0.3">
      <c r="A203" s="17"/>
      <c r="B203" s="17"/>
      <c r="C203" s="19"/>
      <c r="D203" s="19"/>
      <c r="E203" s="19"/>
      <c r="F203" s="17"/>
      <c r="G203" s="19"/>
      <c r="H203" s="19"/>
      <c r="I203" s="19"/>
      <c r="J203" s="20"/>
      <c r="K203" s="20"/>
      <c r="L203" s="20"/>
      <c r="M203" s="17"/>
      <c r="N203" s="17"/>
      <c r="O203" s="17"/>
      <c r="P203" s="17"/>
      <c r="Q203" s="17"/>
      <c r="R203" s="17"/>
      <c r="S203" s="17"/>
      <c r="T203" s="17"/>
      <c r="U203" s="17"/>
      <c r="V203" s="17"/>
      <c r="W203" s="17"/>
      <c r="X203" s="17"/>
      <c r="Y203" s="17"/>
      <c r="Z203" s="17"/>
      <c r="AA203" s="17"/>
      <c r="AB203" s="17"/>
      <c r="AC203" s="17"/>
      <c r="AD203" s="17"/>
      <c r="AE203" s="17"/>
      <c r="AF203" s="17"/>
      <c r="AG203" s="17"/>
      <c r="AH203" s="17"/>
      <c r="AI203" s="17"/>
      <c r="AJ203" s="17"/>
      <c r="AK203" s="17"/>
      <c r="AL203" s="17"/>
      <c r="AM203" s="17"/>
      <c r="AN203" s="17"/>
      <c r="AO203" s="17"/>
      <c r="AP203" s="17"/>
      <c r="AQ203" s="17"/>
      <c r="AR203" s="17"/>
      <c r="AS203" s="17"/>
      <c r="AT203" s="17"/>
      <c r="AU203" s="17"/>
    </row>
    <row r="204" spans="1:47" x14ac:dyDescent="0.3">
      <c r="A204" s="17"/>
      <c r="B204" s="17"/>
      <c r="C204" s="19"/>
      <c r="D204" s="19"/>
      <c r="E204" s="19"/>
      <c r="F204" s="19"/>
      <c r="G204" s="19"/>
      <c r="H204" s="19"/>
      <c r="I204" s="19"/>
      <c r="J204" s="20"/>
      <c r="K204" s="20"/>
      <c r="L204" s="20"/>
      <c r="M204" s="17"/>
      <c r="N204" s="17"/>
      <c r="O204" s="17"/>
      <c r="P204" s="17"/>
      <c r="Q204" s="17"/>
      <c r="R204" s="17"/>
      <c r="S204" s="17"/>
      <c r="T204" s="17"/>
      <c r="U204" s="17"/>
      <c r="V204" s="17"/>
      <c r="W204" s="17"/>
      <c r="X204" s="17"/>
      <c r="Y204" s="17"/>
      <c r="Z204" s="17"/>
      <c r="AA204" s="17"/>
      <c r="AB204" s="17"/>
      <c r="AC204" s="17"/>
      <c r="AD204" s="17"/>
      <c r="AE204" s="17"/>
      <c r="AF204" s="17"/>
      <c r="AG204" s="17"/>
      <c r="AH204" s="17"/>
      <c r="AI204" s="17"/>
      <c r="AJ204" s="17"/>
      <c r="AK204" s="17"/>
      <c r="AL204" s="17"/>
      <c r="AM204" s="17"/>
      <c r="AN204" s="17"/>
      <c r="AO204" s="17"/>
      <c r="AP204" s="17"/>
      <c r="AQ204" s="17"/>
      <c r="AR204" s="17"/>
      <c r="AS204" s="17"/>
      <c r="AT204" s="17"/>
      <c r="AU204" s="17"/>
    </row>
    <row r="205" spans="1:47" x14ac:dyDescent="0.3">
      <c r="A205" s="17"/>
      <c r="B205" s="17"/>
      <c r="C205" s="19"/>
      <c r="D205" s="19"/>
      <c r="E205" s="19"/>
      <c r="F205" s="19"/>
      <c r="G205" s="19"/>
      <c r="H205" s="19"/>
      <c r="I205" s="19"/>
      <c r="J205" s="19"/>
      <c r="K205" s="19"/>
      <c r="L205" s="19"/>
      <c r="M205" s="17"/>
      <c r="N205" s="17"/>
      <c r="O205" s="17"/>
      <c r="P205" s="17"/>
      <c r="Q205" s="17"/>
      <c r="R205" s="17"/>
      <c r="S205" s="17"/>
      <c r="T205" s="17"/>
      <c r="U205" s="17"/>
      <c r="V205" s="17"/>
      <c r="W205" s="17"/>
      <c r="X205" s="17"/>
      <c r="Y205" s="17"/>
      <c r="Z205" s="17"/>
      <c r="AA205" s="17"/>
      <c r="AB205" s="17"/>
      <c r="AC205" s="17"/>
      <c r="AD205" s="17"/>
      <c r="AE205" s="17"/>
      <c r="AF205" s="17"/>
      <c r="AG205" s="17"/>
      <c r="AH205" s="17"/>
      <c r="AI205" s="17"/>
      <c r="AJ205" s="17"/>
      <c r="AK205" s="17"/>
      <c r="AL205" s="17"/>
      <c r="AM205" s="17"/>
      <c r="AN205" s="17"/>
      <c r="AO205" s="17"/>
      <c r="AP205" s="17"/>
      <c r="AQ205" s="17"/>
      <c r="AR205" s="17"/>
      <c r="AS205" s="17"/>
      <c r="AT205" s="17"/>
      <c r="AU205" s="17"/>
    </row>
    <row r="206" spans="1:47" x14ac:dyDescent="0.3">
      <c r="A206" s="17"/>
      <c r="B206" s="17"/>
      <c r="C206" s="17"/>
      <c r="D206" s="17"/>
      <c r="E206" s="17"/>
      <c r="F206" s="17"/>
      <c r="G206" s="17"/>
      <c r="H206" s="17"/>
      <c r="I206" s="17"/>
      <c r="J206" s="17"/>
      <c r="K206" s="17"/>
      <c r="L206" s="17"/>
      <c r="M206" s="17"/>
      <c r="N206" s="17"/>
      <c r="O206" s="17"/>
      <c r="P206" s="17"/>
      <c r="Q206" s="17"/>
      <c r="R206" s="17"/>
      <c r="S206" s="17"/>
      <c r="T206" s="17"/>
      <c r="U206" s="17"/>
      <c r="V206" s="22"/>
      <c r="W206" s="22"/>
      <c r="X206" s="22"/>
      <c r="Y206" s="22"/>
      <c r="Z206" s="17"/>
      <c r="AA206" s="17"/>
      <c r="AB206" s="17"/>
      <c r="AC206" s="17"/>
      <c r="AD206" s="17"/>
      <c r="AE206" s="17"/>
      <c r="AF206" s="17"/>
      <c r="AG206" s="17"/>
      <c r="AH206" s="17"/>
      <c r="AI206" s="17"/>
      <c r="AJ206" s="17"/>
      <c r="AK206" s="17"/>
      <c r="AL206" s="17"/>
      <c r="AM206" s="17"/>
      <c r="AN206" s="17"/>
      <c r="AO206" s="17"/>
      <c r="AP206" s="17"/>
      <c r="AQ206" s="17"/>
      <c r="AR206" s="17"/>
      <c r="AS206" s="17"/>
      <c r="AT206" s="17"/>
      <c r="AU206" s="17"/>
    </row>
    <row r="207" spans="1:47" x14ac:dyDescent="0.3">
      <c r="A207" s="17"/>
      <c r="B207" s="17"/>
      <c r="C207" s="17"/>
      <c r="D207" s="17"/>
      <c r="E207" s="17"/>
      <c r="F207" s="17"/>
      <c r="G207" s="17"/>
      <c r="H207" s="17"/>
      <c r="I207" s="17"/>
      <c r="J207" s="17"/>
      <c r="K207" s="17"/>
      <c r="L207" s="17"/>
      <c r="M207" s="17"/>
      <c r="N207" s="17"/>
      <c r="O207" s="17"/>
      <c r="P207" s="17"/>
      <c r="Q207" s="17"/>
      <c r="R207" s="17"/>
      <c r="S207" s="17"/>
      <c r="T207" s="17"/>
      <c r="U207" s="17"/>
      <c r="V207" s="17"/>
      <c r="W207" s="17"/>
      <c r="X207" s="17"/>
      <c r="Y207" s="17"/>
      <c r="Z207" s="17"/>
      <c r="AA207" s="17"/>
      <c r="AB207" s="17"/>
      <c r="AC207" s="17"/>
      <c r="AD207" s="17"/>
      <c r="AE207" s="17"/>
      <c r="AF207" s="17"/>
      <c r="AG207" s="17"/>
      <c r="AH207" s="17"/>
      <c r="AI207" s="17"/>
      <c r="AJ207" s="17"/>
      <c r="AK207" s="17"/>
      <c r="AL207" s="17"/>
      <c r="AM207" s="17"/>
      <c r="AN207" s="17"/>
      <c r="AO207" s="17"/>
      <c r="AP207" s="17"/>
      <c r="AQ207" s="17"/>
      <c r="AR207" s="17"/>
      <c r="AS207" s="17"/>
      <c r="AT207" s="17"/>
      <c r="AU207" s="17"/>
    </row>
    <row r="208" spans="1:47" x14ac:dyDescent="0.3">
      <c r="A208" s="17"/>
      <c r="B208" s="17"/>
      <c r="C208" s="19"/>
      <c r="D208" s="19"/>
      <c r="E208" s="19"/>
      <c r="F208" s="19"/>
      <c r="G208" s="19"/>
      <c r="H208" s="19"/>
      <c r="I208" s="19"/>
      <c r="J208" s="17"/>
      <c r="K208" s="17"/>
      <c r="L208" s="17"/>
      <c r="M208" s="17"/>
      <c r="N208" s="17"/>
      <c r="O208" s="17"/>
      <c r="P208" s="11"/>
      <c r="Q208" s="23"/>
      <c r="R208" s="17"/>
      <c r="S208" s="17"/>
      <c r="T208" s="17"/>
      <c r="U208" s="17"/>
      <c r="V208" s="19"/>
      <c r="W208" s="20"/>
      <c r="X208" s="20"/>
      <c r="Y208" s="20"/>
      <c r="Z208" s="17"/>
      <c r="AA208" s="17"/>
      <c r="AB208" s="17"/>
      <c r="AC208" s="17"/>
      <c r="AD208" s="17"/>
      <c r="AE208" s="17"/>
      <c r="AF208" s="17"/>
      <c r="AG208" s="17"/>
      <c r="AH208" s="17"/>
      <c r="AI208" s="17"/>
      <c r="AJ208" s="17"/>
      <c r="AK208" s="17"/>
      <c r="AL208" s="17"/>
      <c r="AM208" s="17"/>
      <c r="AN208" s="17"/>
      <c r="AO208" s="17"/>
      <c r="AP208" s="17"/>
      <c r="AQ208" s="17"/>
      <c r="AR208" s="17"/>
      <c r="AS208" s="17"/>
      <c r="AT208" s="17"/>
      <c r="AU208" s="17"/>
    </row>
    <row r="209" spans="1:47" x14ac:dyDescent="0.3">
      <c r="A209" s="17"/>
      <c r="B209" s="17"/>
      <c r="C209" s="19"/>
      <c r="D209" s="19"/>
      <c r="E209" s="19"/>
      <c r="F209" s="19"/>
      <c r="G209" s="19"/>
      <c r="H209" s="19"/>
      <c r="I209" s="19"/>
      <c r="J209" s="17"/>
      <c r="K209" s="17"/>
      <c r="L209" s="17"/>
      <c r="M209" s="17"/>
      <c r="N209" s="17"/>
      <c r="O209" s="17"/>
      <c r="P209" s="11"/>
      <c r="Q209" s="23"/>
      <c r="R209" s="17"/>
      <c r="S209" s="17"/>
      <c r="T209" s="17"/>
      <c r="U209" s="17"/>
      <c r="V209" s="19"/>
      <c r="W209" s="20"/>
      <c r="X209" s="20"/>
      <c r="Y209" s="20"/>
      <c r="Z209" s="17"/>
      <c r="AA209" s="17"/>
      <c r="AB209" s="17"/>
      <c r="AC209" s="17"/>
      <c r="AD209" s="17"/>
      <c r="AE209" s="17"/>
      <c r="AF209" s="17"/>
      <c r="AG209" s="17"/>
      <c r="AH209" s="17"/>
      <c r="AI209" s="17"/>
      <c r="AJ209" s="17"/>
      <c r="AK209" s="17"/>
      <c r="AL209" s="17"/>
      <c r="AM209" s="17"/>
      <c r="AN209" s="17"/>
      <c r="AO209" s="17"/>
      <c r="AP209" s="17"/>
      <c r="AQ209" s="17"/>
      <c r="AR209" s="17"/>
      <c r="AS209" s="17"/>
      <c r="AT209" s="17"/>
      <c r="AU209" s="17"/>
    </row>
    <row r="210" spans="1:47" x14ac:dyDescent="0.3">
      <c r="A210" s="17"/>
      <c r="B210" s="17"/>
      <c r="C210" s="19"/>
      <c r="D210" s="19"/>
      <c r="E210" s="19"/>
      <c r="F210" s="19"/>
      <c r="G210" s="19"/>
      <c r="H210" s="19"/>
      <c r="I210" s="19"/>
      <c r="J210" s="17"/>
      <c r="K210" s="17"/>
      <c r="L210" s="17"/>
      <c r="M210" s="17"/>
      <c r="N210" s="17"/>
      <c r="O210" s="17"/>
      <c r="P210" s="11"/>
      <c r="Q210" s="23"/>
      <c r="R210" s="17"/>
      <c r="S210" s="17"/>
      <c r="T210" s="17"/>
      <c r="U210" s="17"/>
      <c r="V210" s="19"/>
      <c r="W210" s="20"/>
      <c r="X210" s="20"/>
      <c r="Y210" s="20"/>
      <c r="Z210" s="17"/>
      <c r="AA210" s="17"/>
      <c r="AB210" s="21"/>
      <c r="AC210" s="21"/>
      <c r="AD210" s="21"/>
      <c r="AE210" s="17"/>
      <c r="AF210" s="17"/>
      <c r="AG210" s="17"/>
      <c r="AH210" s="17"/>
      <c r="AI210" s="17"/>
      <c r="AJ210" s="17"/>
      <c r="AK210" s="17"/>
      <c r="AL210" s="17"/>
      <c r="AM210" s="17"/>
      <c r="AN210" s="17"/>
      <c r="AO210" s="17"/>
      <c r="AP210" s="17"/>
      <c r="AQ210" s="17"/>
      <c r="AR210" s="17"/>
      <c r="AS210" s="17"/>
      <c r="AT210" s="17"/>
      <c r="AU210" s="17"/>
    </row>
    <row r="211" spans="1:47" x14ac:dyDescent="0.3">
      <c r="A211" s="17"/>
      <c r="B211" s="17"/>
      <c r="C211" s="19"/>
      <c r="D211" s="19"/>
      <c r="E211" s="19"/>
      <c r="F211" s="19"/>
      <c r="G211" s="19"/>
      <c r="H211" s="19"/>
      <c r="I211" s="19"/>
      <c r="J211" s="17"/>
      <c r="K211" s="17"/>
      <c r="L211" s="17"/>
      <c r="M211" s="19"/>
      <c r="N211" s="19"/>
      <c r="O211" s="19"/>
      <c r="P211" s="11"/>
      <c r="Q211" s="11"/>
      <c r="R211" s="11"/>
      <c r="S211" s="24"/>
      <c r="T211" s="17"/>
      <c r="U211" s="17"/>
      <c r="V211" s="19"/>
      <c r="W211" s="20"/>
      <c r="X211" s="20"/>
      <c r="Y211" s="20"/>
      <c r="Z211" s="17"/>
      <c r="AA211" s="17"/>
      <c r="AB211" s="21"/>
      <c r="AC211" s="21"/>
      <c r="AD211" s="21"/>
      <c r="AE211" s="17"/>
      <c r="AF211" s="17"/>
      <c r="AG211" s="17"/>
      <c r="AH211" s="17"/>
      <c r="AI211" s="17"/>
      <c r="AJ211" s="17"/>
      <c r="AK211" s="17"/>
      <c r="AL211" s="17"/>
      <c r="AM211" s="17"/>
      <c r="AN211" s="17"/>
      <c r="AO211" s="17"/>
      <c r="AP211" s="17"/>
      <c r="AQ211" s="17"/>
      <c r="AR211" s="17"/>
      <c r="AS211" s="17"/>
      <c r="AT211" s="17"/>
      <c r="AU211" s="17"/>
    </row>
    <row r="212" spans="1:47" x14ac:dyDescent="0.3">
      <c r="A212" s="17"/>
      <c r="B212" s="17"/>
      <c r="C212" s="19"/>
      <c r="D212" s="19"/>
      <c r="E212" s="19"/>
      <c r="F212" s="19"/>
      <c r="G212" s="19"/>
      <c r="H212" s="19"/>
      <c r="I212" s="19"/>
      <c r="J212" s="17"/>
      <c r="K212" s="17"/>
      <c r="L212" s="17"/>
      <c r="M212" s="19"/>
      <c r="N212" s="19"/>
      <c r="O212" s="19"/>
      <c r="P212" s="11"/>
      <c r="Q212" s="11"/>
      <c r="R212" s="11"/>
      <c r="S212" s="11"/>
      <c r="T212" s="17"/>
      <c r="U212" s="17"/>
      <c r="V212" s="19"/>
      <c r="W212" s="25"/>
      <c r="X212" s="25"/>
      <c r="Y212" s="25"/>
      <c r="Z212" s="17"/>
      <c r="AA212" s="17"/>
      <c r="AB212" s="21"/>
      <c r="AC212" s="21"/>
      <c r="AD212" s="21"/>
      <c r="AE212" s="17"/>
      <c r="AF212" s="17"/>
      <c r="AG212" s="17"/>
      <c r="AH212" s="17"/>
      <c r="AI212" s="17"/>
      <c r="AJ212" s="17"/>
      <c r="AK212" s="17"/>
      <c r="AL212" s="17"/>
      <c r="AM212" s="17"/>
      <c r="AN212" s="17"/>
      <c r="AO212" s="17"/>
      <c r="AP212" s="17"/>
      <c r="AQ212" s="17"/>
      <c r="AR212" s="17"/>
      <c r="AS212" s="17"/>
      <c r="AT212" s="17"/>
      <c r="AU212" s="17"/>
    </row>
    <row r="213" spans="1:47" x14ac:dyDescent="0.3">
      <c r="A213" s="17"/>
      <c r="B213" s="17"/>
      <c r="C213" s="19"/>
      <c r="D213" s="19"/>
      <c r="E213" s="19"/>
      <c r="F213" s="19"/>
      <c r="G213" s="19"/>
      <c r="H213" s="19"/>
      <c r="I213" s="19"/>
      <c r="J213" s="17"/>
      <c r="K213" s="17"/>
      <c r="L213" s="17"/>
      <c r="M213" s="17"/>
      <c r="N213" s="17"/>
      <c r="O213" s="17"/>
      <c r="P213" s="11"/>
      <c r="Q213" s="17"/>
      <c r="R213" s="17"/>
      <c r="S213" s="17"/>
      <c r="T213" s="17"/>
      <c r="U213" s="17"/>
      <c r="V213" s="17"/>
      <c r="W213" s="17"/>
      <c r="X213" s="17"/>
      <c r="Y213" s="17"/>
      <c r="Z213" s="17"/>
      <c r="AA213" s="17"/>
      <c r="AB213" s="17"/>
      <c r="AC213" s="17"/>
      <c r="AD213" s="17"/>
      <c r="AE213" s="17"/>
      <c r="AF213" s="17"/>
      <c r="AG213" s="17"/>
      <c r="AH213" s="17"/>
      <c r="AI213" s="17"/>
      <c r="AJ213" s="17"/>
      <c r="AK213" s="17"/>
      <c r="AL213" s="17"/>
      <c r="AM213" s="17"/>
      <c r="AN213" s="17"/>
      <c r="AO213" s="17"/>
      <c r="AP213" s="17"/>
      <c r="AQ213" s="17"/>
      <c r="AR213" s="17"/>
      <c r="AS213" s="17"/>
      <c r="AT213" s="17"/>
      <c r="AU213" s="17"/>
    </row>
    <row r="214" spans="1:47" x14ac:dyDescent="0.3">
      <c r="A214" s="17"/>
      <c r="B214" s="17"/>
      <c r="C214" s="19"/>
      <c r="D214" s="19"/>
      <c r="E214" s="19"/>
      <c r="F214" s="19"/>
      <c r="G214" s="19"/>
      <c r="H214" s="19"/>
      <c r="I214" s="19"/>
      <c r="J214" s="17"/>
      <c r="K214" s="17"/>
      <c r="L214" s="17"/>
      <c r="M214" s="17"/>
      <c r="N214" s="17"/>
      <c r="O214" s="17"/>
      <c r="P214" s="11"/>
      <c r="Q214" s="17"/>
      <c r="R214" s="17"/>
      <c r="S214" s="17"/>
      <c r="T214" s="17"/>
      <c r="U214" s="17"/>
      <c r="V214" s="17"/>
      <c r="W214" s="17"/>
      <c r="X214" s="17"/>
      <c r="Y214" s="17"/>
      <c r="Z214" s="17"/>
      <c r="AA214" s="17"/>
      <c r="AB214" s="17"/>
      <c r="AC214" s="17"/>
      <c r="AD214" s="17"/>
      <c r="AE214" s="17"/>
      <c r="AF214" s="17"/>
      <c r="AG214" s="17"/>
      <c r="AH214" s="17"/>
      <c r="AI214" s="17"/>
      <c r="AJ214" s="17"/>
      <c r="AK214" s="17"/>
      <c r="AL214" s="17"/>
      <c r="AM214" s="17"/>
      <c r="AN214" s="17"/>
      <c r="AO214" s="17"/>
      <c r="AP214" s="17"/>
      <c r="AQ214" s="17"/>
      <c r="AR214" s="17"/>
      <c r="AS214" s="17"/>
      <c r="AT214" s="17"/>
      <c r="AU214" s="17"/>
    </row>
    <row r="215" spans="1:47" x14ac:dyDescent="0.3">
      <c r="A215" s="17"/>
      <c r="B215" s="17"/>
      <c r="C215" s="19"/>
      <c r="D215" s="19"/>
      <c r="E215" s="19"/>
      <c r="F215" s="19"/>
      <c r="G215" s="19"/>
      <c r="H215" s="19"/>
      <c r="I215" s="19"/>
      <c r="J215" s="17"/>
      <c r="K215" s="17"/>
      <c r="L215" s="17"/>
      <c r="M215" s="17"/>
      <c r="N215" s="17"/>
      <c r="O215" s="17"/>
      <c r="P215" s="11"/>
      <c r="Q215" s="17"/>
      <c r="R215" s="17"/>
      <c r="S215" s="17"/>
      <c r="T215" s="17"/>
      <c r="U215" s="17"/>
      <c r="V215" s="298"/>
      <c r="W215" s="298"/>
      <c r="X215" s="298"/>
      <c r="Y215" s="298"/>
      <c r="Z215" s="17"/>
      <c r="AA215" s="17"/>
      <c r="AB215" s="17"/>
      <c r="AC215" s="17"/>
      <c r="AD215" s="17"/>
      <c r="AE215" s="17"/>
      <c r="AF215" s="17"/>
      <c r="AG215" s="17"/>
      <c r="AH215" s="17"/>
      <c r="AI215" s="17"/>
      <c r="AJ215" s="17"/>
      <c r="AK215" s="17"/>
      <c r="AL215" s="17"/>
      <c r="AM215" s="17"/>
      <c r="AN215" s="17"/>
      <c r="AO215" s="17"/>
      <c r="AP215" s="17"/>
      <c r="AQ215" s="17"/>
      <c r="AR215" s="17"/>
      <c r="AS215" s="17"/>
      <c r="AT215" s="17"/>
      <c r="AU215" s="17"/>
    </row>
    <row r="216" spans="1:47" x14ac:dyDescent="0.3">
      <c r="A216" s="17"/>
      <c r="B216" s="17"/>
      <c r="C216" s="19"/>
      <c r="D216" s="17"/>
      <c r="E216" s="19"/>
      <c r="F216" s="19"/>
      <c r="G216" s="19"/>
      <c r="H216" s="19"/>
      <c r="I216" s="19"/>
      <c r="J216" s="17"/>
      <c r="K216" s="17"/>
      <c r="L216" s="17"/>
      <c r="M216" s="17"/>
      <c r="N216" s="17"/>
      <c r="O216" s="17"/>
      <c r="P216" s="17"/>
      <c r="Q216" s="17"/>
      <c r="R216" s="17"/>
      <c r="S216" s="17"/>
      <c r="T216" s="17"/>
      <c r="U216" s="17"/>
      <c r="V216" s="17"/>
      <c r="W216" s="17"/>
      <c r="X216" s="17"/>
      <c r="Y216" s="17"/>
      <c r="Z216" s="17"/>
      <c r="AA216" s="17"/>
      <c r="AB216" s="17"/>
      <c r="AC216" s="17"/>
      <c r="AD216" s="17"/>
      <c r="AE216" s="17"/>
      <c r="AF216" s="17"/>
      <c r="AG216" s="17"/>
      <c r="AH216" s="17"/>
      <c r="AI216" s="17"/>
      <c r="AJ216" s="17"/>
      <c r="AK216" s="17"/>
      <c r="AL216" s="17"/>
      <c r="AM216" s="17"/>
      <c r="AN216" s="17"/>
      <c r="AO216" s="17"/>
      <c r="AP216" s="17"/>
      <c r="AQ216" s="17"/>
      <c r="AR216" s="17"/>
      <c r="AS216" s="17"/>
      <c r="AT216" s="17"/>
      <c r="AU216" s="17"/>
    </row>
    <row r="217" spans="1:47" x14ac:dyDescent="0.3">
      <c r="A217" s="17"/>
      <c r="B217" s="17"/>
      <c r="C217" s="19"/>
      <c r="D217" s="19"/>
      <c r="E217" s="19"/>
      <c r="F217" s="19"/>
      <c r="G217" s="19"/>
      <c r="H217" s="19"/>
      <c r="I217" s="19"/>
      <c r="J217" s="17"/>
      <c r="K217" s="17"/>
      <c r="L217" s="17"/>
      <c r="M217" s="17"/>
      <c r="N217" s="17"/>
      <c r="O217" s="17"/>
      <c r="P217" s="11"/>
      <c r="Q217" s="23"/>
      <c r="R217" s="17"/>
      <c r="S217" s="17"/>
      <c r="T217" s="17"/>
      <c r="U217" s="17"/>
      <c r="V217" s="19"/>
      <c r="W217" s="20"/>
      <c r="X217" s="20"/>
      <c r="Y217" s="20"/>
      <c r="Z217" s="17"/>
      <c r="AA217" s="17"/>
      <c r="AB217" s="17"/>
      <c r="AC217" s="17"/>
      <c r="AD217" s="17"/>
      <c r="AE217" s="17"/>
      <c r="AF217" s="17"/>
      <c r="AG217" s="17"/>
      <c r="AH217" s="17"/>
      <c r="AI217" s="17"/>
      <c r="AJ217" s="17"/>
      <c r="AK217" s="17"/>
      <c r="AL217" s="17"/>
      <c r="AM217" s="17"/>
      <c r="AN217" s="17"/>
      <c r="AO217" s="17"/>
      <c r="AP217" s="17"/>
      <c r="AQ217" s="17"/>
      <c r="AR217" s="17"/>
      <c r="AS217" s="17"/>
      <c r="AT217" s="17"/>
      <c r="AU217" s="17"/>
    </row>
    <row r="218" spans="1:47" x14ac:dyDescent="0.3">
      <c r="A218" s="17"/>
      <c r="B218" s="17"/>
      <c r="C218" s="19"/>
      <c r="D218" s="19"/>
      <c r="E218" s="19"/>
      <c r="F218" s="19"/>
      <c r="G218" s="19"/>
      <c r="H218" s="19"/>
      <c r="I218" s="19"/>
      <c r="J218" s="17"/>
      <c r="K218" s="17"/>
      <c r="L218" s="17"/>
      <c r="M218" s="17"/>
      <c r="N218" s="17"/>
      <c r="O218" s="17"/>
      <c r="P218" s="11"/>
      <c r="Q218" s="23"/>
      <c r="R218" s="17"/>
      <c r="S218" s="17"/>
      <c r="T218" s="17"/>
      <c r="U218" s="17"/>
      <c r="V218" s="19"/>
      <c r="W218" s="20"/>
      <c r="X218" s="20"/>
      <c r="Y218" s="20"/>
      <c r="Z218" s="17"/>
      <c r="AA218" s="17"/>
      <c r="AB218" s="17"/>
      <c r="AC218" s="17"/>
      <c r="AD218" s="17"/>
      <c r="AE218" s="17"/>
      <c r="AF218" s="17"/>
      <c r="AG218" s="17"/>
      <c r="AH218" s="17"/>
      <c r="AI218" s="17"/>
      <c r="AJ218" s="17"/>
      <c r="AK218" s="17"/>
      <c r="AL218" s="17"/>
      <c r="AM218" s="17"/>
      <c r="AN218" s="17"/>
      <c r="AO218" s="17"/>
      <c r="AP218" s="17"/>
      <c r="AQ218" s="17"/>
      <c r="AR218" s="17"/>
      <c r="AS218" s="17"/>
      <c r="AT218" s="17"/>
      <c r="AU218" s="17"/>
    </row>
    <row r="219" spans="1:47" x14ac:dyDescent="0.3">
      <c r="A219" s="17"/>
      <c r="B219" s="17"/>
      <c r="C219" s="19"/>
      <c r="D219" s="19"/>
      <c r="E219" s="19"/>
      <c r="F219" s="19"/>
      <c r="G219" s="19"/>
      <c r="H219" s="19"/>
      <c r="I219" s="19"/>
      <c r="J219" s="17"/>
      <c r="K219" s="17"/>
      <c r="L219" s="17"/>
      <c r="M219" s="17"/>
      <c r="N219" s="17"/>
      <c r="O219" s="17"/>
      <c r="P219" s="11"/>
      <c r="Q219" s="23"/>
      <c r="R219" s="17"/>
      <c r="S219" s="17"/>
      <c r="T219" s="17"/>
      <c r="U219" s="17"/>
      <c r="V219" s="19"/>
      <c r="W219" s="20"/>
      <c r="X219" s="20"/>
      <c r="Y219" s="20"/>
      <c r="Z219" s="17"/>
      <c r="AA219" s="17"/>
      <c r="AB219" s="17"/>
      <c r="AC219" s="17"/>
      <c r="AD219" s="17"/>
      <c r="AE219" s="17"/>
      <c r="AF219" s="17"/>
      <c r="AG219" s="17"/>
      <c r="AH219" s="17"/>
      <c r="AI219" s="17"/>
      <c r="AJ219" s="17"/>
      <c r="AK219" s="17"/>
      <c r="AL219" s="17"/>
      <c r="AM219" s="17"/>
      <c r="AN219" s="17"/>
      <c r="AO219" s="17"/>
      <c r="AP219" s="17"/>
      <c r="AQ219" s="17"/>
      <c r="AR219" s="17"/>
      <c r="AS219" s="17"/>
      <c r="AT219" s="17"/>
      <c r="AU219" s="17"/>
    </row>
    <row r="220" spans="1:47" x14ac:dyDescent="0.3">
      <c r="A220" s="17"/>
      <c r="B220" s="17"/>
      <c r="C220" s="19"/>
      <c r="D220" s="19"/>
      <c r="E220" s="19"/>
      <c r="F220" s="19"/>
      <c r="G220" s="19"/>
      <c r="H220" s="19"/>
      <c r="I220" s="19"/>
      <c r="J220" s="17"/>
      <c r="K220" s="17"/>
      <c r="L220" s="17"/>
      <c r="M220" s="19"/>
      <c r="N220" s="19"/>
      <c r="O220" s="19"/>
      <c r="P220" s="11"/>
      <c r="Q220" s="11"/>
      <c r="R220" s="11"/>
      <c r="S220" s="24"/>
      <c r="T220" s="17"/>
      <c r="U220" s="17"/>
      <c r="V220" s="19"/>
      <c r="W220" s="20"/>
      <c r="X220" s="20"/>
      <c r="Y220" s="20"/>
      <c r="Z220" s="17"/>
      <c r="AA220" s="17"/>
      <c r="AB220" s="17"/>
      <c r="AC220" s="17"/>
      <c r="AD220" s="17"/>
      <c r="AE220" s="17"/>
      <c r="AF220" s="17"/>
      <c r="AG220" s="17"/>
      <c r="AH220" s="17"/>
      <c r="AI220" s="17"/>
      <c r="AJ220" s="17"/>
      <c r="AK220" s="17"/>
      <c r="AL220" s="17"/>
      <c r="AM220" s="17"/>
      <c r="AN220" s="17"/>
      <c r="AO220" s="17"/>
      <c r="AP220" s="17"/>
      <c r="AQ220" s="17"/>
      <c r="AR220" s="17"/>
      <c r="AS220" s="17"/>
      <c r="AT220" s="17"/>
      <c r="AU220" s="17"/>
    </row>
    <row r="221" spans="1:47" x14ac:dyDescent="0.3">
      <c r="A221" s="17"/>
      <c r="B221" s="17"/>
      <c r="C221" s="19"/>
      <c r="D221" s="19"/>
      <c r="E221" s="19"/>
      <c r="F221" s="19"/>
      <c r="G221" s="19"/>
      <c r="H221" s="19"/>
      <c r="I221" s="19"/>
      <c r="J221" s="17"/>
      <c r="K221" s="17"/>
      <c r="L221" s="17"/>
      <c r="M221" s="19"/>
      <c r="N221" s="19"/>
      <c r="O221" s="19"/>
      <c r="P221" s="19"/>
      <c r="Q221" s="19"/>
      <c r="R221" s="19"/>
      <c r="S221" s="11"/>
      <c r="T221" s="17"/>
      <c r="U221" s="17"/>
      <c r="V221" s="19"/>
      <c r="W221" s="25"/>
      <c r="X221" s="25"/>
      <c r="Y221" s="25"/>
      <c r="Z221" s="17"/>
      <c r="AA221" s="17"/>
      <c r="AB221" s="17"/>
      <c r="AC221" s="17"/>
      <c r="AD221" s="17"/>
      <c r="AE221" s="17"/>
      <c r="AF221" s="17"/>
      <c r="AG221" s="17"/>
      <c r="AH221" s="17"/>
      <c r="AI221" s="17"/>
      <c r="AJ221" s="17"/>
      <c r="AK221" s="17"/>
      <c r="AL221" s="17"/>
      <c r="AM221" s="17"/>
      <c r="AN221" s="17"/>
      <c r="AO221" s="17"/>
      <c r="AP221" s="17"/>
      <c r="AQ221" s="17"/>
      <c r="AR221" s="17"/>
      <c r="AS221" s="17"/>
      <c r="AT221" s="17"/>
      <c r="AU221" s="17"/>
    </row>
    <row r="222" spans="1:47" x14ac:dyDescent="0.3">
      <c r="A222" s="17"/>
      <c r="B222" s="17"/>
      <c r="C222" s="17"/>
      <c r="D222" s="17"/>
      <c r="E222" s="17"/>
      <c r="F222" s="17"/>
      <c r="G222" s="17"/>
      <c r="H222" s="17"/>
      <c r="I222" s="17"/>
      <c r="J222" s="17"/>
      <c r="K222" s="17"/>
      <c r="L222" s="17"/>
      <c r="M222" s="17"/>
      <c r="N222" s="17"/>
      <c r="O222" s="17"/>
      <c r="P222" s="17"/>
      <c r="Q222" s="17"/>
      <c r="R222" s="17"/>
      <c r="S222" s="17"/>
      <c r="T222" s="17"/>
      <c r="U222" s="17"/>
      <c r="V222" s="17"/>
      <c r="W222" s="17"/>
      <c r="X222" s="17"/>
      <c r="Y222" s="17"/>
      <c r="Z222" s="17"/>
      <c r="AA222" s="17"/>
      <c r="AB222" s="17"/>
      <c r="AC222" s="17"/>
      <c r="AD222" s="17"/>
      <c r="AE222" s="17"/>
      <c r="AF222" s="17"/>
      <c r="AG222" s="17"/>
      <c r="AH222" s="17"/>
      <c r="AI222" s="17"/>
      <c r="AJ222" s="17"/>
      <c r="AK222" s="17"/>
      <c r="AL222" s="17"/>
      <c r="AM222" s="17"/>
      <c r="AN222" s="17"/>
      <c r="AO222" s="17"/>
      <c r="AP222" s="17"/>
      <c r="AQ222" s="17"/>
      <c r="AR222" s="17"/>
      <c r="AS222" s="17"/>
      <c r="AT222" s="17"/>
      <c r="AU222" s="17"/>
    </row>
    <row r="223" spans="1:47" x14ac:dyDescent="0.3">
      <c r="A223" s="17"/>
      <c r="B223" s="17"/>
      <c r="C223" s="17"/>
      <c r="D223" s="17"/>
      <c r="E223" s="17"/>
      <c r="F223" s="17"/>
      <c r="G223" s="17"/>
      <c r="H223" s="17"/>
      <c r="I223" s="17"/>
      <c r="J223" s="17"/>
      <c r="K223" s="17"/>
      <c r="L223" s="17"/>
      <c r="M223" s="17"/>
      <c r="N223" s="17"/>
      <c r="O223" s="17"/>
      <c r="P223" s="17"/>
      <c r="Q223" s="17"/>
      <c r="R223" s="17"/>
      <c r="S223" s="17"/>
      <c r="T223" s="17"/>
      <c r="U223" s="17"/>
      <c r="V223" s="17"/>
      <c r="W223" s="17"/>
      <c r="X223" s="17"/>
      <c r="Y223" s="17"/>
      <c r="Z223" s="17"/>
      <c r="AA223" s="17"/>
      <c r="AB223" s="17"/>
      <c r="AC223" s="17"/>
      <c r="AD223" s="17"/>
      <c r="AE223" s="17"/>
      <c r="AF223" s="17"/>
      <c r="AG223" s="17"/>
      <c r="AH223" s="17"/>
      <c r="AI223" s="17"/>
      <c r="AJ223" s="17"/>
      <c r="AK223" s="17"/>
      <c r="AL223" s="17"/>
      <c r="AM223" s="17"/>
      <c r="AN223" s="17"/>
      <c r="AO223" s="17"/>
      <c r="AP223" s="17"/>
      <c r="AQ223" s="17"/>
      <c r="AR223" s="17"/>
      <c r="AS223" s="17"/>
      <c r="AT223" s="17"/>
      <c r="AU223" s="17"/>
    </row>
    <row r="224" spans="1:47" x14ac:dyDescent="0.3">
      <c r="A224" s="17"/>
      <c r="B224" s="17"/>
      <c r="C224" s="17"/>
      <c r="D224" s="17"/>
      <c r="E224" s="17"/>
      <c r="F224" s="17"/>
      <c r="G224" s="17"/>
      <c r="H224" s="17"/>
      <c r="I224" s="17"/>
      <c r="J224" s="17"/>
      <c r="K224" s="17"/>
      <c r="L224" s="17"/>
      <c r="M224" s="17"/>
      <c r="N224" s="17"/>
      <c r="O224" s="17"/>
      <c r="P224" s="17"/>
      <c r="Q224" s="17"/>
      <c r="R224" s="17"/>
      <c r="S224" s="17"/>
      <c r="T224" s="17"/>
      <c r="U224" s="17"/>
      <c r="V224" s="17"/>
      <c r="W224" s="17"/>
      <c r="X224" s="17"/>
      <c r="Y224" s="17"/>
      <c r="Z224" s="17"/>
      <c r="AA224" s="17"/>
      <c r="AB224" s="17"/>
      <c r="AC224" s="17"/>
      <c r="AD224" s="17"/>
      <c r="AE224" s="17"/>
      <c r="AF224" s="17"/>
      <c r="AG224" s="17"/>
      <c r="AH224" s="17"/>
      <c r="AI224" s="17"/>
      <c r="AJ224" s="17"/>
      <c r="AK224" s="17"/>
      <c r="AL224" s="17"/>
      <c r="AM224" s="17"/>
      <c r="AN224" s="17"/>
      <c r="AO224" s="17"/>
      <c r="AP224" s="17"/>
      <c r="AQ224" s="17"/>
      <c r="AR224" s="17"/>
      <c r="AS224" s="17"/>
      <c r="AT224" s="17"/>
      <c r="AU224" s="17"/>
    </row>
    <row r="225" spans="1:47" x14ac:dyDescent="0.3">
      <c r="A225" s="17"/>
      <c r="B225" s="17"/>
      <c r="C225" s="17"/>
      <c r="D225" s="17"/>
      <c r="E225" s="17"/>
      <c r="F225" s="17"/>
      <c r="G225" s="17"/>
      <c r="H225" s="17"/>
      <c r="I225" s="17"/>
      <c r="J225" s="17"/>
      <c r="K225" s="17"/>
      <c r="L225" s="17"/>
      <c r="M225" s="17"/>
      <c r="N225" s="17"/>
      <c r="O225" s="17"/>
      <c r="P225" s="17"/>
      <c r="Q225" s="17"/>
      <c r="R225" s="17"/>
      <c r="S225" s="17"/>
      <c r="T225" s="17"/>
      <c r="U225" s="17"/>
      <c r="V225" s="17"/>
      <c r="W225" s="17"/>
      <c r="X225" s="17"/>
      <c r="Y225" s="17"/>
      <c r="Z225" s="17"/>
      <c r="AA225" s="17"/>
      <c r="AB225" s="17"/>
      <c r="AC225" s="17"/>
      <c r="AD225" s="17"/>
      <c r="AE225" s="17"/>
      <c r="AF225" s="17"/>
      <c r="AG225" s="17"/>
      <c r="AH225" s="17"/>
      <c r="AI225" s="17"/>
      <c r="AJ225" s="17"/>
      <c r="AK225" s="17"/>
      <c r="AL225" s="17"/>
      <c r="AM225" s="17"/>
      <c r="AN225" s="17"/>
      <c r="AO225" s="17"/>
      <c r="AP225" s="17"/>
      <c r="AQ225" s="17"/>
      <c r="AR225" s="17"/>
      <c r="AS225" s="17"/>
      <c r="AT225" s="17"/>
      <c r="AU225" s="17"/>
    </row>
    <row r="226" spans="1:47" x14ac:dyDescent="0.3">
      <c r="A226" s="17"/>
      <c r="B226" s="17"/>
      <c r="C226" s="17"/>
      <c r="D226" s="17"/>
      <c r="E226" s="17"/>
      <c r="F226" s="17"/>
      <c r="G226" s="17"/>
      <c r="H226" s="17"/>
      <c r="I226" s="17"/>
      <c r="J226" s="17"/>
      <c r="K226" s="17"/>
      <c r="L226" s="17"/>
      <c r="M226" s="17"/>
      <c r="N226" s="17"/>
      <c r="O226" s="17"/>
      <c r="P226" s="17"/>
      <c r="Q226" s="17"/>
      <c r="R226" s="17"/>
      <c r="S226" s="17"/>
      <c r="T226" s="17"/>
      <c r="U226" s="17"/>
      <c r="V226" s="17"/>
      <c r="W226" s="17"/>
      <c r="X226" s="17"/>
      <c r="Y226" s="17"/>
      <c r="Z226" s="17"/>
      <c r="AA226" s="17"/>
      <c r="AB226" s="17"/>
      <c r="AC226" s="17"/>
      <c r="AD226" s="17"/>
      <c r="AE226" s="17"/>
      <c r="AF226" s="17"/>
      <c r="AG226" s="17"/>
      <c r="AH226" s="17"/>
      <c r="AI226" s="17"/>
      <c r="AJ226" s="17"/>
      <c r="AK226" s="17"/>
      <c r="AL226" s="17"/>
      <c r="AM226" s="17"/>
      <c r="AN226" s="17"/>
      <c r="AO226" s="17"/>
      <c r="AP226" s="17"/>
      <c r="AQ226" s="17"/>
      <c r="AR226" s="17"/>
      <c r="AS226" s="17"/>
      <c r="AT226" s="17"/>
      <c r="AU226" s="17"/>
    </row>
    <row r="227" spans="1:47" x14ac:dyDescent="0.3">
      <c r="A227" s="17"/>
      <c r="B227" s="17"/>
      <c r="C227" s="17"/>
      <c r="D227" s="17"/>
      <c r="E227" s="17"/>
      <c r="F227" s="17"/>
      <c r="G227" s="17"/>
      <c r="H227" s="17"/>
      <c r="I227" s="17"/>
      <c r="J227" s="17"/>
      <c r="K227" s="17"/>
      <c r="L227" s="17"/>
      <c r="M227" s="17"/>
      <c r="N227" s="17"/>
      <c r="O227" s="17"/>
      <c r="P227" s="17"/>
      <c r="Q227" s="17"/>
      <c r="R227" s="17"/>
      <c r="S227" s="17"/>
      <c r="T227" s="17"/>
      <c r="U227" s="17"/>
      <c r="V227" s="17"/>
      <c r="W227" s="17"/>
      <c r="X227" s="17"/>
      <c r="Y227" s="17"/>
      <c r="Z227" s="17"/>
      <c r="AA227" s="17"/>
      <c r="AB227" s="17"/>
      <c r="AC227" s="17"/>
      <c r="AD227" s="17"/>
      <c r="AE227" s="17"/>
      <c r="AF227" s="17"/>
      <c r="AG227" s="17"/>
      <c r="AH227" s="17"/>
      <c r="AI227" s="17"/>
      <c r="AJ227" s="17"/>
      <c r="AK227" s="17"/>
      <c r="AL227" s="17"/>
      <c r="AM227" s="17"/>
      <c r="AN227" s="17"/>
      <c r="AO227" s="17"/>
      <c r="AP227" s="17"/>
      <c r="AQ227" s="17"/>
      <c r="AR227" s="17"/>
      <c r="AS227" s="17"/>
      <c r="AT227" s="17"/>
      <c r="AU227" s="17"/>
    </row>
    <row r="228" spans="1:47" x14ac:dyDescent="0.3">
      <c r="A228" s="17"/>
      <c r="B228" s="17"/>
      <c r="C228" s="17"/>
      <c r="D228" s="17"/>
      <c r="E228" s="17"/>
      <c r="F228" s="17"/>
      <c r="G228" s="17"/>
      <c r="H228" s="17"/>
      <c r="I228" s="17"/>
      <c r="J228" s="17"/>
      <c r="K228" s="17"/>
      <c r="L228" s="17"/>
      <c r="M228" s="17"/>
      <c r="N228" s="17"/>
      <c r="O228" s="17"/>
      <c r="P228" s="17"/>
      <c r="Q228" s="17"/>
      <c r="R228" s="17"/>
      <c r="S228" s="17"/>
      <c r="T228" s="17"/>
      <c r="U228" s="17"/>
      <c r="V228" s="17"/>
      <c r="W228" s="17"/>
      <c r="X228" s="17"/>
      <c r="Y228" s="17"/>
      <c r="Z228" s="17"/>
      <c r="AA228" s="17"/>
      <c r="AB228" s="17"/>
      <c r="AC228" s="17"/>
      <c r="AD228" s="17"/>
      <c r="AE228" s="17"/>
      <c r="AF228" s="17"/>
      <c r="AG228" s="17"/>
      <c r="AH228" s="17"/>
      <c r="AI228" s="17"/>
      <c r="AJ228" s="17"/>
      <c r="AK228" s="17"/>
      <c r="AL228" s="17"/>
      <c r="AM228" s="17"/>
      <c r="AN228" s="17"/>
      <c r="AO228" s="17"/>
      <c r="AP228" s="17"/>
      <c r="AQ228" s="17"/>
      <c r="AR228" s="17"/>
      <c r="AS228" s="17"/>
      <c r="AT228" s="17"/>
      <c r="AU228" s="17"/>
    </row>
    <row r="229" spans="1:47" x14ac:dyDescent="0.3">
      <c r="A229" s="17"/>
      <c r="B229" s="17"/>
      <c r="C229" s="298"/>
      <c r="D229" s="298"/>
      <c r="E229" s="298"/>
      <c r="F229" s="18"/>
      <c r="G229" s="18"/>
      <c r="H229" s="18"/>
      <c r="I229" s="17"/>
      <c r="J229" s="298"/>
      <c r="K229" s="298"/>
      <c r="L229" s="17"/>
      <c r="M229" s="17"/>
      <c r="N229" s="17"/>
      <c r="O229" s="17"/>
      <c r="P229" s="17"/>
      <c r="Q229" s="17"/>
      <c r="R229" s="17"/>
      <c r="S229" s="17"/>
      <c r="T229" s="17"/>
      <c r="U229" s="17"/>
      <c r="V229" s="17"/>
      <c r="W229" s="17"/>
      <c r="X229" s="17"/>
      <c r="Y229" s="17"/>
      <c r="Z229" s="17"/>
      <c r="AA229" s="17"/>
      <c r="AB229" s="17"/>
      <c r="AC229" s="17"/>
      <c r="AD229" s="17"/>
      <c r="AE229" s="17"/>
      <c r="AF229" s="17"/>
      <c r="AG229" s="17"/>
      <c r="AH229" s="17"/>
      <c r="AI229" s="17"/>
      <c r="AJ229" s="17"/>
      <c r="AK229" s="17"/>
      <c r="AL229" s="17"/>
      <c r="AM229" s="17"/>
      <c r="AN229" s="17"/>
      <c r="AO229" s="17"/>
      <c r="AP229" s="17"/>
      <c r="AQ229" s="17"/>
      <c r="AR229" s="17"/>
      <c r="AS229" s="17"/>
      <c r="AT229" s="17"/>
      <c r="AU229" s="17"/>
    </row>
    <row r="230" spans="1:47" x14ac:dyDescent="0.3">
      <c r="A230" s="17"/>
      <c r="B230" s="17"/>
      <c r="C230" s="17"/>
      <c r="D230" s="17"/>
      <c r="E230" s="17"/>
      <c r="F230" s="17"/>
      <c r="G230" s="17"/>
      <c r="H230" s="17"/>
      <c r="I230" s="17"/>
      <c r="J230" s="17"/>
      <c r="K230" s="17"/>
      <c r="L230" s="17"/>
      <c r="M230" s="17"/>
      <c r="N230" s="17"/>
      <c r="O230" s="17"/>
      <c r="P230" s="17"/>
      <c r="Q230" s="17"/>
      <c r="R230" s="17"/>
      <c r="S230" s="17"/>
      <c r="T230" s="17"/>
      <c r="U230" s="17"/>
      <c r="V230" s="17"/>
      <c r="W230" s="17"/>
      <c r="X230" s="17"/>
      <c r="Y230" s="17"/>
      <c r="Z230" s="17"/>
      <c r="AA230" s="17"/>
      <c r="AB230" s="17"/>
      <c r="AC230" s="17"/>
      <c r="AD230" s="17"/>
      <c r="AE230" s="17"/>
      <c r="AF230" s="17"/>
      <c r="AG230" s="17"/>
      <c r="AH230" s="17"/>
      <c r="AI230" s="17"/>
      <c r="AJ230" s="17"/>
      <c r="AK230" s="17"/>
      <c r="AL230" s="17"/>
      <c r="AM230" s="17"/>
      <c r="AN230" s="17"/>
      <c r="AO230" s="17"/>
      <c r="AP230" s="17"/>
      <c r="AQ230" s="17"/>
      <c r="AR230" s="17"/>
      <c r="AS230" s="17"/>
      <c r="AT230" s="17"/>
      <c r="AU230" s="17"/>
    </row>
    <row r="231" spans="1:47" x14ac:dyDescent="0.3">
      <c r="A231" s="17"/>
      <c r="B231" s="17"/>
      <c r="C231" s="19"/>
      <c r="D231" s="19"/>
      <c r="E231" s="17"/>
      <c r="F231" s="19"/>
      <c r="G231" s="19"/>
      <c r="H231" s="19"/>
      <c r="I231" s="19"/>
      <c r="J231" s="20"/>
      <c r="K231" s="20"/>
      <c r="L231" s="20"/>
      <c r="M231" s="17"/>
      <c r="N231" s="17"/>
      <c r="O231" s="17"/>
      <c r="P231" s="17"/>
      <c r="Q231" s="17"/>
      <c r="R231" s="17"/>
      <c r="S231" s="17"/>
      <c r="T231" s="17"/>
      <c r="U231" s="17"/>
      <c r="V231" s="17"/>
      <c r="W231" s="17"/>
      <c r="X231" s="17"/>
      <c r="Y231" s="17"/>
      <c r="Z231" s="17"/>
      <c r="AA231" s="17"/>
      <c r="AB231" s="17"/>
      <c r="AC231" s="17"/>
      <c r="AD231" s="17"/>
      <c r="AE231" s="17"/>
      <c r="AF231" s="17"/>
      <c r="AG231" s="17"/>
      <c r="AH231" s="17"/>
      <c r="AI231" s="17"/>
      <c r="AJ231" s="17"/>
      <c r="AK231" s="17"/>
      <c r="AL231" s="17"/>
      <c r="AM231" s="17"/>
      <c r="AN231" s="17"/>
      <c r="AO231" s="17"/>
      <c r="AP231" s="17"/>
      <c r="AQ231" s="17"/>
      <c r="AR231" s="17"/>
      <c r="AS231" s="17"/>
      <c r="AT231" s="17"/>
      <c r="AU231" s="17"/>
    </row>
    <row r="232" spans="1:47" x14ac:dyDescent="0.3">
      <c r="A232" s="17"/>
      <c r="B232" s="17"/>
      <c r="C232" s="19"/>
      <c r="D232" s="19"/>
      <c r="E232" s="17"/>
      <c r="F232" s="19"/>
      <c r="G232" s="19"/>
      <c r="H232" s="19"/>
      <c r="I232" s="19"/>
      <c r="J232" s="20"/>
      <c r="K232" s="20"/>
      <c r="L232" s="20"/>
      <c r="M232" s="17"/>
      <c r="N232" s="17"/>
      <c r="O232" s="17"/>
      <c r="P232" s="17"/>
      <c r="Q232" s="17"/>
      <c r="R232" s="17"/>
      <c r="S232" s="17"/>
      <c r="T232" s="17"/>
      <c r="U232" s="17"/>
      <c r="V232" s="17"/>
      <c r="W232" s="17"/>
      <c r="X232" s="17"/>
      <c r="Y232" s="17"/>
      <c r="Z232" s="17"/>
      <c r="AA232" s="17"/>
      <c r="AB232" s="17"/>
      <c r="AC232" s="17"/>
      <c r="AD232" s="17"/>
      <c r="AE232" s="17"/>
      <c r="AF232" s="17"/>
      <c r="AG232" s="17"/>
      <c r="AH232" s="17"/>
      <c r="AI232" s="17"/>
      <c r="AJ232" s="17"/>
      <c r="AK232" s="17"/>
      <c r="AL232" s="17"/>
      <c r="AM232" s="17"/>
      <c r="AN232" s="17"/>
      <c r="AO232" s="17"/>
      <c r="AP232" s="17"/>
      <c r="AQ232" s="17"/>
      <c r="AR232" s="17"/>
      <c r="AS232" s="17"/>
      <c r="AT232" s="17"/>
      <c r="AU232" s="17"/>
    </row>
    <row r="233" spans="1:47" x14ac:dyDescent="0.3">
      <c r="A233" s="17"/>
      <c r="B233" s="17"/>
      <c r="C233" s="19"/>
      <c r="D233" s="19"/>
      <c r="E233" s="17"/>
      <c r="F233" s="19"/>
      <c r="G233" s="19"/>
      <c r="H233" s="19"/>
      <c r="I233" s="19"/>
      <c r="J233" s="20"/>
      <c r="K233" s="20"/>
      <c r="L233" s="20"/>
      <c r="M233" s="17"/>
      <c r="N233" s="17"/>
      <c r="O233" s="17"/>
      <c r="P233" s="17"/>
      <c r="Q233" s="17"/>
      <c r="R233" s="17"/>
      <c r="S233" s="17"/>
      <c r="T233" s="17"/>
      <c r="U233" s="17"/>
      <c r="V233" s="17"/>
      <c r="W233" s="17"/>
      <c r="X233" s="17"/>
      <c r="Y233" s="17"/>
      <c r="Z233" s="17"/>
      <c r="AA233" s="17"/>
      <c r="AB233" s="17"/>
      <c r="AC233" s="17"/>
      <c r="AD233" s="17"/>
      <c r="AE233" s="17"/>
      <c r="AF233" s="17"/>
      <c r="AG233" s="17"/>
      <c r="AH233" s="17"/>
      <c r="AI233" s="17"/>
      <c r="AJ233" s="17"/>
      <c r="AK233" s="17"/>
      <c r="AL233" s="17"/>
      <c r="AM233" s="17"/>
      <c r="AN233" s="17"/>
      <c r="AO233" s="17"/>
      <c r="AP233" s="17"/>
      <c r="AQ233" s="17"/>
      <c r="AR233" s="17"/>
      <c r="AS233" s="17"/>
      <c r="AT233" s="17"/>
      <c r="AU233" s="17"/>
    </row>
    <row r="234" spans="1:47" x14ac:dyDescent="0.3">
      <c r="A234" s="17"/>
      <c r="B234" s="17"/>
      <c r="C234" s="19"/>
      <c r="D234" s="19"/>
      <c r="E234" s="19"/>
      <c r="F234" s="19"/>
      <c r="G234" s="19"/>
      <c r="H234" s="19"/>
      <c r="I234" s="19"/>
      <c r="J234" s="20"/>
      <c r="K234" s="20"/>
      <c r="L234" s="20"/>
      <c r="M234" s="17"/>
      <c r="N234" s="17"/>
      <c r="O234" s="17"/>
      <c r="P234" s="17"/>
      <c r="Q234" s="17"/>
      <c r="R234" s="17"/>
      <c r="S234" s="17"/>
      <c r="T234" s="17"/>
      <c r="U234" s="17"/>
      <c r="V234" s="17"/>
      <c r="W234" s="21"/>
      <c r="X234" s="21"/>
      <c r="Y234" s="21"/>
      <c r="Z234" s="17"/>
      <c r="AA234" s="17"/>
      <c r="AB234" s="17"/>
      <c r="AC234" s="17"/>
      <c r="AD234" s="17"/>
      <c r="AE234" s="17"/>
      <c r="AF234" s="17"/>
      <c r="AG234" s="17"/>
      <c r="AH234" s="17"/>
      <c r="AI234" s="17"/>
      <c r="AJ234" s="17"/>
      <c r="AK234" s="17"/>
      <c r="AL234" s="17"/>
      <c r="AM234" s="17"/>
      <c r="AN234" s="17"/>
      <c r="AO234" s="17"/>
      <c r="AP234" s="17"/>
      <c r="AQ234" s="17"/>
      <c r="AR234" s="17"/>
      <c r="AS234" s="17"/>
      <c r="AT234" s="17"/>
      <c r="AU234" s="17"/>
    </row>
    <row r="235" spans="1:47" x14ac:dyDescent="0.3">
      <c r="A235" s="17"/>
      <c r="B235" s="17"/>
      <c r="C235" s="19"/>
      <c r="D235" s="19"/>
      <c r="E235" s="19"/>
      <c r="F235" s="19"/>
      <c r="G235" s="19"/>
      <c r="H235" s="19"/>
      <c r="I235" s="19"/>
      <c r="J235" s="19"/>
      <c r="K235" s="19"/>
      <c r="L235" s="19"/>
      <c r="M235" s="17"/>
      <c r="N235" s="17"/>
      <c r="O235" s="17"/>
      <c r="P235" s="17"/>
      <c r="Q235" s="17"/>
      <c r="R235" s="17"/>
      <c r="S235" s="17"/>
      <c r="T235" s="17"/>
      <c r="U235" s="17"/>
      <c r="V235" s="17"/>
      <c r="W235" s="17"/>
      <c r="X235" s="17"/>
      <c r="Y235" s="17"/>
      <c r="Z235" s="17"/>
      <c r="AA235" s="17"/>
      <c r="AB235" s="17"/>
      <c r="AC235" s="17"/>
      <c r="AD235" s="17"/>
      <c r="AE235" s="17"/>
      <c r="AF235" s="17"/>
      <c r="AG235" s="17"/>
      <c r="AH235" s="17"/>
      <c r="AI235" s="17"/>
      <c r="AJ235" s="17"/>
      <c r="AK235" s="17"/>
      <c r="AL235" s="17"/>
      <c r="AM235" s="17"/>
      <c r="AN235" s="17"/>
      <c r="AO235" s="17"/>
      <c r="AP235" s="17"/>
      <c r="AQ235" s="17"/>
      <c r="AR235" s="17"/>
      <c r="AS235" s="17"/>
      <c r="AT235" s="17"/>
      <c r="AU235" s="17"/>
    </row>
    <row r="236" spans="1:47" x14ac:dyDescent="0.3">
      <c r="A236" s="17"/>
      <c r="B236" s="17"/>
      <c r="C236" s="17"/>
      <c r="D236" s="17"/>
      <c r="E236" s="17"/>
      <c r="F236" s="17"/>
      <c r="G236" s="17"/>
      <c r="H236" s="17"/>
      <c r="I236" s="17"/>
      <c r="J236" s="17"/>
      <c r="K236" s="17"/>
      <c r="L236" s="17"/>
      <c r="M236" s="17"/>
      <c r="N236" s="17"/>
      <c r="O236" s="17"/>
      <c r="P236" s="17"/>
      <c r="Q236" s="17"/>
      <c r="R236" s="17"/>
      <c r="S236" s="17"/>
      <c r="T236" s="17"/>
      <c r="U236" s="17"/>
      <c r="V236" s="22"/>
      <c r="W236" s="22"/>
      <c r="X236" s="22"/>
      <c r="Y236" s="22"/>
      <c r="Z236" s="17"/>
      <c r="AA236" s="17"/>
      <c r="AB236" s="17"/>
      <c r="AC236" s="17"/>
      <c r="AD236" s="17"/>
      <c r="AE236" s="17"/>
      <c r="AF236" s="17"/>
      <c r="AG236" s="17"/>
      <c r="AH236" s="17"/>
      <c r="AI236" s="17"/>
      <c r="AJ236" s="17"/>
      <c r="AK236" s="17"/>
      <c r="AL236" s="17"/>
      <c r="AM236" s="17"/>
      <c r="AN236" s="17"/>
      <c r="AO236" s="17"/>
      <c r="AP236" s="17"/>
      <c r="AQ236" s="17"/>
      <c r="AR236" s="17"/>
      <c r="AS236" s="17"/>
      <c r="AT236" s="17"/>
      <c r="AU236" s="17"/>
    </row>
    <row r="237" spans="1:47" x14ac:dyDescent="0.3">
      <c r="A237" s="17"/>
      <c r="B237" s="17"/>
      <c r="C237" s="17"/>
      <c r="D237" s="17"/>
      <c r="E237" s="17"/>
      <c r="F237" s="17"/>
      <c r="G237" s="17"/>
      <c r="H237" s="17"/>
      <c r="I237" s="17"/>
      <c r="J237" s="17"/>
      <c r="K237" s="17"/>
      <c r="L237" s="17"/>
      <c r="M237" s="17"/>
      <c r="N237" s="17"/>
      <c r="O237" s="17"/>
      <c r="P237" s="17"/>
      <c r="Q237" s="17"/>
      <c r="R237" s="17"/>
      <c r="S237" s="17"/>
      <c r="T237" s="17"/>
      <c r="U237" s="17"/>
      <c r="V237" s="17"/>
      <c r="W237" s="17"/>
      <c r="X237" s="17"/>
      <c r="Y237" s="17"/>
      <c r="Z237" s="17"/>
      <c r="AA237" s="17"/>
      <c r="AB237" s="17"/>
      <c r="AC237" s="17"/>
      <c r="AD237" s="17"/>
      <c r="AE237" s="17"/>
      <c r="AF237" s="17"/>
      <c r="AG237" s="17"/>
      <c r="AH237" s="17"/>
      <c r="AI237" s="17"/>
      <c r="AJ237" s="17"/>
      <c r="AK237" s="17"/>
      <c r="AL237" s="17"/>
      <c r="AM237" s="17"/>
      <c r="AN237" s="17"/>
      <c r="AO237" s="17"/>
      <c r="AP237" s="17"/>
      <c r="AQ237" s="17"/>
      <c r="AR237" s="17"/>
      <c r="AS237" s="17"/>
      <c r="AT237" s="17"/>
      <c r="AU237" s="17"/>
    </row>
    <row r="238" spans="1:47" x14ac:dyDescent="0.3">
      <c r="A238" s="17"/>
      <c r="B238" s="17"/>
      <c r="C238" s="19"/>
      <c r="D238" s="19"/>
      <c r="E238" s="19"/>
      <c r="F238" s="19"/>
      <c r="G238" s="19"/>
      <c r="H238" s="19"/>
      <c r="I238" s="19"/>
      <c r="J238" s="17"/>
      <c r="K238" s="17"/>
      <c r="L238" s="17"/>
      <c r="M238" s="17"/>
      <c r="N238" s="17"/>
      <c r="O238" s="17"/>
      <c r="P238" s="11"/>
      <c r="Q238" s="23"/>
      <c r="R238" s="17"/>
      <c r="S238" s="17"/>
      <c r="T238" s="17"/>
      <c r="U238" s="17"/>
      <c r="V238" s="19"/>
      <c r="W238" s="20"/>
      <c r="X238" s="20"/>
      <c r="Y238" s="20"/>
      <c r="Z238" s="17"/>
      <c r="AA238" s="17"/>
      <c r="AB238" s="17"/>
      <c r="AC238" s="17"/>
      <c r="AD238" s="17"/>
      <c r="AE238" s="17"/>
      <c r="AF238" s="17"/>
      <c r="AG238" s="17"/>
      <c r="AH238" s="17"/>
      <c r="AI238" s="17"/>
      <c r="AJ238" s="17"/>
      <c r="AK238" s="17"/>
      <c r="AL238" s="17"/>
      <c r="AM238" s="17"/>
      <c r="AN238" s="17"/>
      <c r="AO238" s="17"/>
      <c r="AP238" s="17"/>
      <c r="AQ238" s="17"/>
      <c r="AR238" s="17"/>
      <c r="AS238" s="17"/>
      <c r="AT238" s="17"/>
      <c r="AU238" s="17"/>
    </row>
    <row r="239" spans="1:47" x14ac:dyDescent="0.3">
      <c r="A239" s="17"/>
      <c r="B239" s="17"/>
      <c r="C239" s="19"/>
      <c r="D239" s="19"/>
      <c r="E239" s="19"/>
      <c r="F239" s="19"/>
      <c r="G239" s="19"/>
      <c r="H239" s="19"/>
      <c r="I239" s="19"/>
      <c r="J239" s="17"/>
      <c r="K239" s="17"/>
      <c r="L239" s="17"/>
      <c r="M239" s="17"/>
      <c r="N239" s="17"/>
      <c r="O239" s="17"/>
      <c r="P239" s="11"/>
      <c r="Q239" s="23"/>
      <c r="R239" s="17"/>
      <c r="S239" s="17"/>
      <c r="T239" s="17"/>
      <c r="U239" s="17"/>
      <c r="V239" s="19"/>
      <c r="W239" s="20"/>
      <c r="X239" s="20"/>
      <c r="Y239" s="20"/>
      <c r="Z239" s="17"/>
      <c r="AA239" s="17"/>
      <c r="AB239" s="17"/>
      <c r="AC239" s="17"/>
      <c r="AD239" s="17"/>
      <c r="AE239" s="17"/>
      <c r="AF239" s="17"/>
      <c r="AG239" s="17"/>
      <c r="AH239" s="17"/>
      <c r="AI239" s="17"/>
      <c r="AJ239" s="17"/>
      <c r="AK239" s="17"/>
      <c r="AL239" s="17"/>
      <c r="AM239" s="17"/>
      <c r="AN239" s="17"/>
      <c r="AO239" s="17"/>
      <c r="AP239" s="17"/>
      <c r="AQ239" s="17"/>
      <c r="AR239" s="17"/>
      <c r="AS239" s="17"/>
      <c r="AT239" s="17"/>
      <c r="AU239" s="17"/>
    </row>
    <row r="240" spans="1:47" x14ac:dyDescent="0.3">
      <c r="A240" s="17"/>
      <c r="B240" s="17"/>
      <c r="C240" s="19"/>
      <c r="D240" s="19"/>
      <c r="E240" s="19"/>
      <c r="F240" s="19"/>
      <c r="G240" s="19"/>
      <c r="H240" s="19"/>
      <c r="I240" s="19"/>
      <c r="J240" s="17"/>
      <c r="K240" s="17"/>
      <c r="L240" s="17"/>
      <c r="M240" s="17"/>
      <c r="N240" s="17"/>
      <c r="O240" s="17"/>
      <c r="P240" s="11"/>
      <c r="Q240" s="23"/>
      <c r="R240" s="17"/>
      <c r="S240" s="17"/>
      <c r="T240" s="17"/>
      <c r="U240" s="17"/>
      <c r="V240" s="19"/>
      <c r="W240" s="20"/>
      <c r="X240" s="20"/>
      <c r="Y240" s="20"/>
      <c r="Z240" s="17"/>
      <c r="AA240" s="17"/>
      <c r="AB240" s="21"/>
      <c r="AC240" s="21"/>
      <c r="AD240" s="21"/>
      <c r="AE240" s="17"/>
      <c r="AF240" s="17"/>
      <c r="AG240" s="17"/>
      <c r="AH240" s="17"/>
      <c r="AI240" s="17"/>
      <c r="AJ240" s="17"/>
      <c r="AK240" s="17"/>
      <c r="AL240" s="17"/>
      <c r="AM240" s="17"/>
      <c r="AN240" s="17"/>
      <c r="AO240" s="17"/>
      <c r="AP240" s="17"/>
      <c r="AQ240" s="17"/>
      <c r="AR240" s="17"/>
      <c r="AS240" s="17"/>
      <c r="AT240" s="17"/>
      <c r="AU240" s="17"/>
    </row>
    <row r="241" spans="1:47" x14ac:dyDescent="0.3">
      <c r="A241" s="17"/>
      <c r="B241" s="17"/>
      <c r="C241" s="19"/>
      <c r="D241" s="19"/>
      <c r="E241" s="19"/>
      <c r="F241" s="19"/>
      <c r="G241" s="19"/>
      <c r="H241" s="19"/>
      <c r="I241" s="19"/>
      <c r="J241" s="17"/>
      <c r="K241" s="17"/>
      <c r="L241" s="17"/>
      <c r="M241" s="19"/>
      <c r="N241" s="19"/>
      <c r="O241" s="19"/>
      <c r="P241" s="11"/>
      <c r="Q241" s="11"/>
      <c r="R241" s="11"/>
      <c r="S241" s="24"/>
      <c r="T241" s="17"/>
      <c r="U241" s="17"/>
      <c r="V241" s="19"/>
      <c r="W241" s="20"/>
      <c r="X241" s="20"/>
      <c r="Y241" s="20"/>
      <c r="Z241" s="17"/>
      <c r="AA241" s="17"/>
      <c r="AB241" s="21"/>
      <c r="AC241" s="21"/>
      <c r="AD241" s="21"/>
      <c r="AE241" s="17"/>
      <c r="AF241" s="17"/>
      <c r="AG241" s="17"/>
      <c r="AH241" s="17"/>
      <c r="AI241" s="17"/>
      <c r="AJ241" s="17"/>
      <c r="AK241" s="17"/>
      <c r="AL241" s="17"/>
      <c r="AM241" s="17"/>
      <c r="AN241" s="17"/>
      <c r="AO241" s="17"/>
      <c r="AP241" s="17"/>
      <c r="AQ241" s="17"/>
      <c r="AR241" s="17"/>
      <c r="AS241" s="17"/>
      <c r="AT241" s="17"/>
      <c r="AU241" s="17"/>
    </row>
    <row r="242" spans="1:47" x14ac:dyDescent="0.3">
      <c r="A242" s="17"/>
      <c r="B242" s="17"/>
      <c r="C242" s="19"/>
      <c r="D242" s="19"/>
      <c r="E242" s="19"/>
      <c r="F242" s="19"/>
      <c r="G242" s="19"/>
      <c r="H242" s="19"/>
      <c r="I242" s="19"/>
      <c r="J242" s="17"/>
      <c r="K242" s="17"/>
      <c r="L242" s="17"/>
      <c r="M242" s="19"/>
      <c r="N242" s="19"/>
      <c r="O242" s="19"/>
      <c r="P242" s="11"/>
      <c r="Q242" s="11"/>
      <c r="R242" s="11"/>
      <c r="S242" s="11"/>
      <c r="T242" s="17"/>
      <c r="U242" s="17"/>
      <c r="V242" s="19"/>
      <c r="W242" s="25"/>
      <c r="X242" s="25"/>
      <c r="Y242" s="25"/>
      <c r="Z242" s="17"/>
      <c r="AA242" s="17"/>
      <c r="AB242" s="21"/>
      <c r="AC242" s="21"/>
      <c r="AD242" s="21"/>
      <c r="AE242" s="17"/>
      <c r="AF242" s="17"/>
      <c r="AG242" s="17"/>
      <c r="AH242" s="17"/>
      <c r="AI242" s="17"/>
      <c r="AJ242" s="17"/>
      <c r="AK242" s="17"/>
      <c r="AL242" s="17"/>
      <c r="AM242" s="17"/>
      <c r="AN242" s="17"/>
      <c r="AO242" s="17"/>
      <c r="AP242" s="17"/>
      <c r="AQ242" s="17"/>
      <c r="AR242" s="17"/>
      <c r="AS242" s="17"/>
      <c r="AT242" s="17"/>
      <c r="AU242" s="17"/>
    </row>
    <row r="243" spans="1:47" x14ac:dyDescent="0.3">
      <c r="A243" s="17"/>
      <c r="B243" s="17"/>
      <c r="C243" s="19"/>
      <c r="D243" s="19"/>
      <c r="E243" s="19"/>
      <c r="F243" s="19"/>
      <c r="G243" s="19"/>
      <c r="H243" s="19"/>
      <c r="I243" s="19"/>
      <c r="J243" s="17"/>
      <c r="K243" s="17"/>
      <c r="L243" s="17"/>
      <c r="M243" s="17"/>
      <c r="N243" s="17"/>
      <c r="O243" s="17"/>
      <c r="P243" s="11"/>
      <c r="Q243" s="17"/>
      <c r="R243" s="17"/>
      <c r="S243" s="17"/>
      <c r="T243" s="17"/>
      <c r="U243" s="17"/>
      <c r="V243" s="17"/>
      <c r="W243" s="17"/>
      <c r="X243" s="17"/>
      <c r="Y243" s="17"/>
      <c r="Z243" s="17"/>
      <c r="AA243" s="17"/>
      <c r="AB243" s="17"/>
      <c r="AC243" s="17"/>
      <c r="AD243" s="17"/>
      <c r="AE243" s="17"/>
      <c r="AF243" s="17"/>
      <c r="AG243" s="17"/>
      <c r="AH243" s="17"/>
      <c r="AI243" s="17"/>
      <c r="AJ243" s="17"/>
      <c r="AK243" s="17"/>
      <c r="AL243" s="17"/>
      <c r="AM243" s="17"/>
      <c r="AN243" s="17"/>
      <c r="AO243" s="17"/>
      <c r="AP243" s="17"/>
      <c r="AQ243" s="17"/>
      <c r="AR243" s="17"/>
      <c r="AS243" s="17"/>
      <c r="AT243" s="17"/>
      <c r="AU243" s="17"/>
    </row>
    <row r="244" spans="1:47" x14ac:dyDescent="0.3">
      <c r="A244" s="17"/>
      <c r="B244" s="17"/>
      <c r="C244" s="19"/>
      <c r="D244" s="19"/>
      <c r="E244" s="19"/>
      <c r="F244" s="19"/>
      <c r="G244" s="19"/>
      <c r="H244" s="19"/>
      <c r="I244" s="19"/>
      <c r="J244" s="17"/>
      <c r="K244" s="17"/>
      <c r="L244" s="17"/>
      <c r="M244" s="17"/>
      <c r="N244" s="17"/>
      <c r="O244" s="17"/>
      <c r="P244" s="11"/>
      <c r="Q244" s="17"/>
      <c r="R244" s="17"/>
      <c r="S244" s="17"/>
      <c r="T244" s="17"/>
      <c r="U244" s="17"/>
      <c r="V244" s="17"/>
      <c r="W244" s="17"/>
      <c r="X244" s="17"/>
      <c r="Y244" s="17"/>
      <c r="Z244" s="17"/>
      <c r="AA244" s="17"/>
      <c r="AB244" s="17"/>
      <c r="AC244" s="17"/>
      <c r="AD244" s="17"/>
      <c r="AE244" s="17"/>
      <c r="AF244" s="17"/>
      <c r="AG244" s="17"/>
      <c r="AH244" s="17"/>
      <c r="AI244" s="17"/>
      <c r="AJ244" s="17"/>
      <c r="AK244" s="17"/>
      <c r="AL244" s="17"/>
      <c r="AM244" s="17"/>
      <c r="AN244" s="17"/>
      <c r="AO244" s="17"/>
      <c r="AP244" s="17"/>
      <c r="AQ244" s="17"/>
      <c r="AR244" s="17"/>
      <c r="AS244" s="17"/>
      <c r="AT244" s="17"/>
      <c r="AU244" s="17"/>
    </row>
    <row r="245" spans="1:47" x14ac:dyDescent="0.3">
      <c r="A245" s="17"/>
      <c r="B245" s="17"/>
      <c r="C245" s="19"/>
      <c r="D245" s="19"/>
      <c r="E245" s="19"/>
      <c r="F245" s="19"/>
      <c r="G245" s="19"/>
      <c r="H245" s="19"/>
      <c r="I245" s="19"/>
      <c r="J245" s="17"/>
      <c r="K245" s="17"/>
      <c r="L245" s="17"/>
      <c r="M245" s="17"/>
      <c r="N245" s="17"/>
      <c r="O245" s="17"/>
      <c r="P245" s="11"/>
      <c r="Q245" s="17"/>
      <c r="R245" s="17"/>
      <c r="S245" s="17"/>
      <c r="T245" s="17"/>
      <c r="U245" s="17"/>
      <c r="V245" s="298"/>
      <c r="W245" s="298"/>
      <c r="X245" s="298"/>
      <c r="Y245" s="298"/>
      <c r="Z245" s="17"/>
      <c r="AA245" s="17"/>
      <c r="AB245" s="17"/>
      <c r="AC245" s="17"/>
      <c r="AD245" s="17"/>
      <c r="AE245" s="17"/>
      <c r="AF245" s="17"/>
      <c r="AG245" s="17"/>
      <c r="AH245" s="17"/>
      <c r="AI245" s="17"/>
      <c r="AJ245" s="17"/>
      <c r="AK245" s="17"/>
      <c r="AL245" s="17"/>
      <c r="AM245" s="17"/>
      <c r="AN245" s="17"/>
      <c r="AO245" s="17"/>
      <c r="AP245" s="17"/>
      <c r="AQ245" s="17"/>
      <c r="AR245" s="17"/>
      <c r="AS245" s="17"/>
      <c r="AT245" s="17"/>
      <c r="AU245" s="17"/>
    </row>
    <row r="246" spans="1:47" x14ac:dyDescent="0.3">
      <c r="A246" s="17"/>
      <c r="B246" s="17"/>
      <c r="C246" s="19"/>
      <c r="D246" s="17"/>
      <c r="E246" s="19"/>
      <c r="F246" s="19"/>
      <c r="G246" s="19"/>
      <c r="H246" s="19"/>
      <c r="I246" s="19"/>
      <c r="J246" s="17"/>
      <c r="K246" s="17"/>
      <c r="L246" s="17"/>
      <c r="M246" s="17"/>
      <c r="N246" s="17"/>
      <c r="O246" s="17"/>
      <c r="P246" s="17"/>
      <c r="Q246" s="17"/>
      <c r="R246" s="17"/>
      <c r="S246" s="17"/>
      <c r="T246" s="17"/>
      <c r="U246" s="17"/>
      <c r="V246" s="17"/>
      <c r="W246" s="17"/>
      <c r="X246" s="17"/>
      <c r="Y246" s="17"/>
      <c r="Z246" s="17"/>
      <c r="AA246" s="17"/>
      <c r="AB246" s="17"/>
      <c r="AC246" s="17"/>
      <c r="AD246" s="17"/>
      <c r="AE246" s="17"/>
      <c r="AF246" s="17"/>
      <c r="AG246" s="17"/>
      <c r="AH246" s="17"/>
      <c r="AI246" s="17"/>
      <c r="AJ246" s="17"/>
      <c r="AK246" s="17"/>
      <c r="AL246" s="17"/>
      <c r="AM246" s="17"/>
      <c r="AN246" s="17"/>
      <c r="AO246" s="17"/>
      <c r="AP246" s="17"/>
      <c r="AQ246" s="17"/>
      <c r="AR246" s="17"/>
      <c r="AS246" s="17"/>
      <c r="AT246" s="17"/>
      <c r="AU246" s="17"/>
    </row>
    <row r="247" spans="1:47" x14ac:dyDescent="0.3">
      <c r="A247" s="17"/>
      <c r="B247" s="17"/>
      <c r="C247" s="19"/>
      <c r="D247" s="19"/>
      <c r="E247" s="19"/>
      <c r="F247" s="19"/>
      <c r="G247" s="19"/>
      <c r="H247" s="19"/>
      <c r="I247" s="19"/>
      <c r="J247" s="17"/>
      <c r="K247" s="17"/>
      <c r="L247" s="17"/>
      <c r="M247" s="17"/>
      <c r="N247" s="17"/>
      <c r="O247" s="17"/>
      <c r="P247" s="11"/>
      <c r="Q247" s="23"/>
      <c r="R247" s="17"/>
      <c r="S247" s="17"/>
      <c r="T247" s="17"/>
      <c r="U247" s="17"/>
      <c r="V247" s="19"/>
      <c r="W247" s="20"/>
      <c r="X247" s="20"/>
      <c r="Y247" s="20"/>
      <c r="Z247" s="17"/>
      <c r="AA247" s="17"/>
      <c r="AB247" s="17"/>
      <c r="AC247" s="17"/>
      <c r="AD247" s="17"/>
      <c r="AE247" s="17"/>
      <c r="AF247" s="17"/>
      <c r="AG247" s="17"/>
      <c r="AH247" s="17"/>
      <c r="AI247" s="17"/>
      <c r="AJ247" s="17"/>
      <c r="AK247" s="17"/>
      <c r="AL247" s="17"/>
      <c r="AM247" s="17"/>
      <c r="AN247" s="17"/>
      <c r="AO247" s="17"/>
      <c r="AP247" s="17"/>
      <c r="AQ247" s="17"/>
      <c r="AR247" s="17"/>
      <c r="AS247" s="17"/>
      <c r="AT247" s="17"/>
      <c r="AU247" s="17"/>
    </row>
    <row r="248" spans="1:47" x14ac:dyDescent="0.3">
      <c r="A248" s="17"/>
      <c r="B248" s="17"/>
      <c r="C248" s="19"/>
      <c r="D248" s="19"/>
      <c r="E248" s="19"/>
      <c r="F248" s="19"/>
      <c r="G248" s="19"/>
      <c r="H248" s="19"/>
      <c r="I248" s="19"/>
      <c r="J248" s="17"/>
      <c r="K248" s="17"/>
      <c r="L248" s="17"/>
      <c r="M248" s="17"/>
      <c r="N248" s="17"/>
      <c r="O248" s="17"/>
      <c r="P248" s="11"/>
      <c r="Q248" s="23"/>
      <c r="R248" s="17"/>
      <c r="S248" s="17"/>
      <c r="T248" s="17"/>
      <c r="U248" s="17"/>
      <c r="V248" s="19"/>
      <c r="W248" s="20"/>
      <c r="X248" s="20"/>
      <c r="Y248" s="20"/>
      <c r="Z248" s="17"/>
      <c r="AA248" s="17"/>
      <c r="AB248" s="17"/>
      <c r="AC248" s="17"/>
      <c r="AD248" s="17"/>
      <c r="AE248" s="17"/>
      <c r="AF248" s="17"/>
      <c r="AG248" s="17"/>
      <c r="AH248" s="17"/>
      <c r="AI248" s="17"/>
      <c r="AJ248" s="17"/>
      <c r="AK248" s="17"/>
      <c r="AL248" s="17"/>
      <c r="AM248" s="17"/>
      <c r="AN248" s="17"/>
      <c r="AO248" s="17"/>
      <c r="AP248" s="17"/>
      <c r="AQ248" s="17"/>
      <c r="AR248" s="17"/>
      <c r="AS248" s="17"/>
      <c r="AT248" s="17"/>
      <c r="AU248" s="17"/>
    </row>
    <row r="249" spans="1:47" x14ac:dyDescent="0.3">
      <c r="A249" s="17"/>
      <c r="B249" s="17"/>
      <c r="C249" s="19"/>
      <c r="D249" s="19"/>
      <c r="E249" s="19"/>
      <c r="F249" s="19"/>
      <c r="G249" s="19"/>
      <c r="H249" s="19"/>
      <c r="I249" s="19"/>
      <c r="J249" s="17"/>
      <c r="K249" s="17"/>
      <c r="L249" s="17"/>
      <c r="M249" s="17"/>
      <c r="N249" s="17"/>
      <c r="O249" s="17"/>
      <c r="P249" s="11"/>
      <c r="Q249" s="23"/>
      <c r="R249" s="17"/>
      <c r="S249" s="17"/>
      <c r="T249" s="17"/>
      <c r="U249" s="17"/>
      <c r="V249" s="19"/>
      <c r="W249" s="20"/>
      <c r="X249" s="20"/>
      <c r="Y249" s="20"/>
      <c r="Z249" s="17"/>
      <c r="AA249" s="17"/>
      <c r="AB249" s="17"/>
      <c r="AC249" s="17"/>
      <c r="AD249" s="17"/>
      <c r="AE249" s="17"/>
      <c r="AF249" s="17"/>
      <c r="AG249" s="17"/>
      <c r="AH249" s="17"/>
      <c r="AI249" s="17"/>
      <c r="AJ249" s="17"/>
      <c r="AK249" s="17"/>
      <c r="AL249" s="17"/>
      <c r="AM249" s="17"/>
      <c r="AN249" s="17"/>
      <c r="AO249" s="17"/>
      <c r="AP249" s="17"/>
      <c r="AQ249" s="17"/>
      <c r="AR249" s="17"/>
      <c r="AS249" s="17"/>
      <c r="AT249" s="17"/>
      <c r="AU249" s="17"/>
    </row>
    <row r="250" spans="1:47" x14ac:dyDescent="0.3">
      <c r="A250" s="17"/>
      <c r="B250" s="17"/>
      <c r="C250" s="19"/>
      <c r="D250" s="19"/>
      <c r="E250" s="19"/>
      <c r="F250" s="19"/>
      <c r="G250" s="19"/>
      <c r="H250" s="19"/>
      <c r="I250" s="19"/>
      <c r="J250" s="17"/>
      <c r="K250" s="17"/>
      <c r="L250" s="17"/>
      <c r="M250" s="19"/>
      <c r="N250" s="19"/>
      <c r="O250" s="19"/>
      <c r="P250" s="11"/>
      <c r="Q250" s="11"/>
      <c r="R250" s="11"/>
      <c r="S250" s="24"/>
      <c r="T250" s="17"/>
      <c r="U250" s="17"/>
      <c r="V250" s="19"/>
      <c r="W250" s="20"/>
      <c r="X250" s="20"/>
      <c r="Y250" s="20"/>
      <c r="Z250" s="17"/>
      <c r="AA250" s="17"/>
      <c r="AB250" s="17"/>
      <c r="AC250" s="17"/>
      <c r="AD250" s="17"/>
      <c r="AE250" s="17"/>
      <c r="AF250" s="17"/>
      <c r="AG250" s="17"/>
      <c r="AH250" s="17"/>
      <c r="AI250" s="17"/>
      <c r="AJ250" s="17"/>
      <c r="AK250" s="17"/>
      <c r="AL250" s="17"/>
      <c r="AM250" s="17"/>
      <c r="AN250" s="17"/>
      <c r="AO250" s="17"/>
      <c r="AP250" s="17"/>
      <c r="AQ250" s="17"/>
      <c r="AR250" s="17"/>
      <c r="AS250" s="17"/>
      <c r="AT250" s="17"/>
      <c r="AU250" s="17"/>
    </row>
    <row r="251" spans="1:47" x14ac:dyDescent="0.3">
      <c r="A251" s="17"/>
      <c r="B251" s="17"/>
      <c r="C251" s="19"/>
      <c r="D251" s="19"/>
      <c r="E251" s="19"/>
      <c r="F251" s="19"/>
      <c r="G251" s="19"/>
      <c r="H251" s="19"/>
      <c r="I251" s="19"/>
      <c r="J251" s="17"/>
      <c r="K251" s="17"/>
      <c r="L251" s="17"/>
      <c r="M251" s="19"/>
      <c r="N251" s="19"/>
      <c r="O251" s="19"/>
      <c r="P251" s="19"/>
      <c r="Q251" s="19"/>
      <c r="R251" s="19"/>
      <c r="S251" s="11"/>
      <c r="T251" s="17"/>
      <c r="U251" s="17"/>
      <c r="V251" s="19"/>
      <c r="W251" s="25"/>
      <c r="X251" s="25"/>
      <c r="Y251" s="25"/>
      <c r="Z251" s="17"/>
      <c r="AA251" s="17"/>
      <c r="AB251" s="17"/>
      <c r="AC251" s="17"/>
      <c r="AD251" s="17"/>
      <c r="AE251" s="17"/>
      <c r="AF251" s="17"/>
      <c r="AG251" s="17"/>
      <c r="AH251" s="17"/>
      <c r="AI251" s="17"/>
      <c r="AJ251" s="17"/>
      <c r="AK251" s="17"/>
      <c r="AL251" s="17"/>
      <c r="AM251" s="17"/>
      <c r="AN251" s="17"/>
      <c r="AO251" s="17"/>
      <c r="AP251" s="17"/>
      <c r="AQ251" s="17"/>
      <c r="AR251" s="17"/>
      <c r="AS251" s="17"/>
      <c r="AT251" s="17"/>
      <c r="AU251" s="17"/>
    </row>
    <row r="252" spans="1:47" x14ac:dyDescent="0.3">
      <c r="A252" s="17"/>
      <c r="B252" s="17"/>
      <c r="C252" s="17"/>
      <c r="D252" s="17"/>
      <c r="E252" s="17"/>
      <c r="F252" s="17"/>
      <c r="G252" s="17"/>
      <c r="H252" s="17"/>
      <c r="I252" s="17"/>
      <c r="J252" s="17"/>
      <c r="K252" s="17"/>
      <c r="L252" s="17"/>
      <c r="M252" s="17"/>
      <c r="N252" s="17"/>
      <c r="O252" s="17"/>
      <c r="P252" s="17"/>
      <c r="Q252" s="17"/>
      <c r="R252" s="17"/>
      <c r="S252" s="17"/>
      <c r="T252" s="17"/>
      <c r="U252" s="17"/>
      <c r="V252" s="17"/>
      <c r="W252" s="17"/>
      <c r="X252" s="17"/>
      <c r="Y252" s="17"/>
      <c r="Z252" s="17"/>
      <c r="AA252" s="17"/>
      <c r="AB252" s="17"/>
      <c r="AC252" s="17"/>
      <c r="AD252" s="17"/>
      <c r="AE252" s="17"/>
      <c r="AF252" s="17"/>
      <c r="AG252" s="17"/>
      <c r="AH252" s="17"/>
      <c r="AI252" s="17"/>
      <c r="AJ252" s="17"/>
      <c r="AK252" s="17"/>
      <c r="AL252" s="17"/>
      <c r="AM252" s="17"/>
      <c r="AN252" s="17"/>
      <c r="AO252" s="17"/>
      <c r="AP252" s="17"/>
      <c r="AQ252" s="17"/>
      <c r="AR252" s="17"/>
      <c r="AS252" s="17"/>
      <c r="AT252" s="17"/>
      <c r="AU252" s="17"/>
    </row>
    <row r="253" spans="1:47" x14ac:dyDescent="0.3">
      <c r="A253" s="17"/>
      <c r="B253" s="17"/>
      <c r="C253" s="17"/>
      <c r="D253" s="17"/>
      <c r="E253" s="17"/>
      <c r="F253" s="17"/>
      <c r="G253" s="17"/>
      <c r="H253" s="17"/>
      <c r="I253" s="17"/>
      <c r="J253" s="17"/>
      <c r="K253" s="17"/>
      <c r="L253" s="17"/>
      <c r="M253" s="17"/>
      <c r="N253" s="17"/>
      <c r="O253" s="17"/>
      <c r="P253" s="17"/>
      <c r="Q253" s="17"/>
      <c r="R253" s="17"/>
      <c r="S253" s="17"/>
      <c r="T253" s="17"/>
      <c r="U253" s="17"/>
      <c r="V253" s="17"/>
      <c r="W253" s="17"/>
      <c r="X253" s="17"/>
      <c r="Y253" s="17"/>
      <c r="Z253" s="17"/>
      <c r="AA253" s="17"/>
      <c r="AB253" s="17"/>
      <c r="AC253" s="17"/>
      <c r="AD253" s="17"/>
      <c r="AE253" s="17"/>
      <c r="AF253" s="17"/>
      <c r="AG253" s="17"/>
      <c r="AH253" s="17"/>
      <c r="AI253" s="17"/>
      <c r="AJ253" s="17"/>
      <c r="AK253" s="17"/>
      <c r="AL253" s="17"/>
      <c r="AM253" s="17"/>
      <c r="AN253" s="17"/>
      <c r="AO253" s="17"/>
      <c r="AP253" s="17"/>
      <c r="AQ253" s="17"/>
      <c r="AR253" s="17"/>
      <c r="AS253" s="17"/>
      <c r="AT253" s="17"/>
      <c r="AU253" s="17"/>
    </row>
    <row r="254" spans="1:47" x14ac:dyDescent="0.3">
      <c r="A254" s="17"/>
      <c r="B254" s="17"/>
      <c r="C254" s="17"/>
      <c r="D254" s="17"/>
      <c r="E254" s="17"/>
      <c r="F254" s="17"/>
      <c r="G254" s="17"/>
      <c r="H254" s="17"/>
      <c r="I254" s="17"/>
      <c r="J254" s="17"/>
      <c r="K254" s="17"/>
      <c r="L254" s="17"/>
      <c r="M254" s="17"/>
      <c r="N254" s="17"/>
      <c r="O254" s="17"/>
      <c r="P254" s="17"/>
      <c r="Q254" s="17"/>
      <c r="R254" s="17"/>
      <c r="S254" s="17"/>
      <c r="T254" s="17"/>
      <c r="U254" s="17"/>
      <c r="V254" s="17"/>
      <c r="W254" s="17"/>
      <c r="X254" s="17"/>
      <c r="Y254" s="17"/>
      <c r="Z254" s="17"/>
      <c r="AA254" s="17"/>
      <c r="AB254" s="17"/>
      <c r="AC254" s="17"/>
      <c r="AD254" s="17"/>
      <c r="AE254" s="17"/>
      <c r="AF254" s="17"/>
      <c r="AG254" s="17"/>
      <c r="AH254" s="17"/>
      <c r="AI254" s="17"/>
      <c r="AJ254" s="17"/>
      <c r="AK254" s="17"/>
      <c r="AL254" s="17"/>
      <c r="AM254" s="17"/>
      <c r="AN254" s="17"/>
      <c r="AO254" s="17"/>
      <c r="AP254" s="17"/>
      <c r="AQ254" s="17"/>
      <c r="AR254" s="17"/>
      <c r="AS254" s="17"/>
      <c r="AT254" s="17"/>
      <c r="AU254" s="17"/>
    </row>
    <row r="255" spans="1:47" x14ac:dyDescent="0.3">
      <c r="A255" s="17"/>
      <c r="B255" s="17"/>
      <c r="C255" s="17"/>
      <c r="D255" s="17"/>
      <c r="E255" s="17"/>
      <c r="F255" s="17"/>
      <c r="G255" s="17"/>
      <c r="H255" s="17"/>
      <c r="I255" s="17"/>
      <c r="J255" s="17"/>
      <c r="K255" s="17"/>
      <c r="L255" s="17"/>
      <c r="M255" s="17"/>
      <c r="N255" s="17"/>
      <c r="O255" s="17"/>
      <c r="P255" s="17"/>
      <c r="Q255" s="17"/>
      <c r="R255" s="17"/>
      <c r="S255" s="17"/>
      <c r="T255" s="17"/>
      <c r="U255" s="17"/>
      <c r="V255" s="17"/>
      <c r="W255" s="17"/>
      <c r="X255" s="17"/>
      <c r="Y255" s="17"/>
      <c r="Z255" s="17"/>
      <c r="AA255" s="17"/>
      <c r="AB255" s="17"/>
      <c r="AC255" s="17"/>
      <c r="AD255" s="17"/>
      <c r="AE255" s="17"/>
      <c r="AF255" s="17"/>
      <c r="AG255" s="17"/>
      <c r="AH255" s="17"/>
      <c r="AI255" s="17"/>
      <c r="AJ255" s="17"/>
      <c r="AK255" s="17"/>
      <c r="AL255" s="17"/>
      <c r="AM255" s="17"/>
      <c r="AN255" s="17"/>
      <c r="AO255" s="17"/>
      <c r="AP255" s="17"/>
      <c r="AQ255" s="17"/>
      <c r="AR255" s="17"/>
      <c r="AS255" s="17"/>
      <c r="AT255" s="17"/>
      <c r="AU255" s="17"/>
    </row>
    <row r="256" spans="1:47" x14ac:dyDescent="0.3">
      <c r="A256" s="17"/>
      <c r="B256" s="17"/>
      <c r="C256" s="17"/>
      <c r="D256" s="17"/>
      <c r="E256" s="17"/>
      <c r="F256" s="17"/>
      <c r="G256" s="17"/>
      <c r="H256" s="17"/>
      <c r="I256" s="17"/>
      <c r="J256" s="17"/>
      <c r="K256" s="17"/>
      <c r="L256" s="17"/>
      <c r="M256" s="17"/>
      <c r="N256" s="17"/>
      <c r="O256" s="17"/>
      <c r="P256" s="17"/>
      <c r="Q256" s="17"/>
      <c r="R256" s="17"/>
      <c r="S256" s="17"/>
      <c r="T256" s="17"/>
      <c r="U256" s="17"/>
      <c r="V256" s="17"/>
      <c r="W256" s="17"/>
      <c r="X256" s="17"/>
      <c r="Y256" s="17"/>
      <c r="Z256" s="17"/>
      <c r="AA256" s="17"/>
      <c r="AB256" s="17"/>
      <c r="AC256" s="17"/>
      <c r="AD256" s="17"/>
      <c r="AE256" s="17"/>
      <c r="AF256" s="17"/>
      <c r="AG256" s="17"/>
      <c r="AH256" s="17"/>
      <c r="AI256" s="17"/>
      <c r="AJ256" s="17"/>
      <c r="AK256" s="17"/>
      <c r="AL256" s="17"/>
      <c r="AM256" s="17"/>
      <c r="AN256" s="17"/>
      <c r="AO256" s="17"/>
      <c r="AP256" s="17"/>
      <c r="AQ256" s="17"/>
      <c r="AR256" s="17"/>
      <c r="AS256" s="17"/>
      <c r="AT256" s="17"/>
      <c r="AU256" s="17"/>
    </row>
    <row r="257" spans="1:47" x14ac:dyDescent="0.3">
      <c r="A257" s="17"/>
      <c r="B257" s="17"/>
      <c r="C257" s="17"/>
      <c r="D257" s="17"/>
      <c r="E257" s="17"/>
      <c r="F257" s="17"/>
      <c r="G257" s="17"/>
      <c r="H257" s="17"/>
      <c r="I257" s="17"/>
      <c r="J257" s="17"/>
      <c r="K257" s="17"/>
      <c r="L257" s="17"/>
      <c r="M257" s="17"/>
      <c r="N257" s="17"/>
      <c r="O257" s="17"/>
      <c r="P257" s="17"/>
      <c r="Q257" s="17"/>
      <c r="R257" s="17"/>
      <c r="S257" s="17"/>
      <c r="T257" s="17"/>
      <c r="U257" s="17"/>
      <c r="V257" s="17"/>
      <c r="W257" s="17"/>
      <c r="X257" s="17"/>
      <c r="Y257" s="17"/>
      <c r="Z257" s="17"/>
      <c r="AA257" s="17"/>
      <c r="AB257" s="17"/>
      <c r="AC257" s="17"/>
      <c r="AD257" s="17"/>
      <c r="AE257" s="17"/>
      <c r="AF257" s="17"/>
      <c r="AG257" s="17"/>
      <c r="AH257" s="17"/>
      <c r="AI257" s="17"/>
      <c r="AJ257" s="17"/>
      <c r="AK257" s="17"/>
      <c r="AL257" s="17"/>
      <c r="AM257" s="17"/>
      <c r="AN257" s="17"/>
      <c r="AO257" s="17"/>
      <c r="AP257" s="17"/>
      <c r="AQ257" s="17"/>
      <c r="AR257" s="17"/>
      <c r="AS257" s="17"/>
      <c r="AT257" s="17"/>
      <c r="AU257" s="17"/>
    </row>
    <row r="258" spans="1:47" x14ac:dyDescent="0.3">
      <c r="A258" s="17"/>
      <c r="B258" s="17"/>
      <c r="C258" s="17"/>
      <c r="D258" s="17"/>
      <c r="E258" s="17"/>
      <c r="F258" s="17"/>
      <c r="G258" s="17"/>
      <c r="H258" s="17"/>
      <c r="I258" s="17"/>
      <c r="J258" s="17"/>
      <c r="K258" s="17"/>
      <c r="L258" s="17"/>
      <c r="M258" s="17"/>
      <c r="N258" s="17"/>
      <c r="O258" s="17"/>
      <c r="P258" s="17"/>
      <c r="Q258" s="17"/>
      <c r="R258" s="17"/>
      <c r="S258" s="17"/>
      <c r="T258" s="17"/>
      <c r="U258" s="17"/>
      <c r="V258" s="17"/>
      <c r="W258" s="17"/>
      <c r="X258" s="17"/>
      <c r="Y258" s="17"/>
      <c r="Z258" s="17"/>
      <c r="AA258" s="17"/>
      <c r="AB258" s="17"/>
      <c r="AC258" s="17"/>
      <c r="AD258" s="17"/>
      <c r="AE258" s="17"/>
      <c r="AF258" s="17"/>
      <c r="AG258" s="17"/>
      <c r="AH258" s="17"/>
      <c r="AI258" s="17"/>
      <c r="AJ258" s="17"/>
      <c r="AK258" s="17"/>
      <c r="AL258" s="17"/>
      <c r="AM258" s="17"/>
      <c r="AN258" s="17"/>
      <c r="AO258" s="17"/>
      <c r="AP258" s="17"/>
      <c r="AQ258" s="17"/>
      <c r="AR258" s="17"/>
      <c r="AS258" s="17"/>
      <c r="AT258" s="17"/>
      <c r="AU258" s="17"/>
    </row>
    <row r="259" spans="1:47" x14ac:dyDescent="0.3">
      <c r="A259" s="17"/>
      <c r="B259" s="17"/>
      <c r="C259" s="17"/>
      <c r="D259" s="17"/>
      <c r="E259" s="17"/>
      <c r="F259" s="17"/>
      <c r="G259" s="17"/>
      <c r="H259" s="17"/>
      <c r="I259" s="17"/>
      <c r="J259" s="17"/>
      <c r="K259" s="17"/>
      <c r="L259" s="17"/>
      <c r="M259" s="17"/>
      <c r="N259" s="17"/>
      <c r="O259" s="17"/>
      <c r="P259" s="17"/>
      <c r="Q259" s="17"/>
      <c r="R259" s="17"/>
      <c r="S259" s="17"/>
      <c r="T259" s="17"/>
      <c r="U259" s="17"/>
      <c r="V259" s="17"/>
      <c r="W259" s="17"/>
      <c r="X259" s="17"/>
      <c r="Y259" s="17"/>
      <c r="Z259" s="17"/>
      <c r="AA259" s="17"/>
      <c r="AB259" s="17"/>
      <c r="AC259" s="17"/>
      <c r="AD259" s="17"/>
      <c r="AE259" s="17"/>
      <c r="AF259" s="17"/>
      <c r="AG259" s="17"/>
      <c r="AH259" s="17"/>
      <c r="AI259" s="17"/>
      <c r="AJ259" s="17"/>
      <c r="AK259" s="17"/>
      <c r="AL259" s="17"/>
      <c r="AM259" s="17"/>
      <c r="AN259" s="17"/>
      <c r="AO259" s="17"/>
      <c r="AP259" s="17"/>
      <c r="AQ259" s="17"/>
      <c r="AR259" s="17"/>
      <c r="AS259" s="17"/>
      <c r="AT259" s="17"/>
      <c r="AU259" s="17"/>
    </row>
    <row r="260" spans="1:47" x14ac:dyDescent="0.3">
      <c r="A260" s="17"/>
      <c r="B260" s="17"/>
      <c r="C260" s="17"/>
      <c r="D260" s="17"/>
      <c r="E260" s="17"/>
      <c r="F260" s="17"/>
      <c r="G260" s="17"/>
      <c r="H260" s="17"/>
      <c r="I260" s="17"/>
      <c r="J260" s="17"/>
      <c r="K260" s="17"/>
      <c r="L260" s="17"/>
      <c r="M260" s="17"/>
      <c r="N260" s="17"/>
      <c r="O260" s="17"/>
      <c r="P260" s="17"/>
      <c r="Q260" s="17"/>
      <c r="R260" s="17"/>
      <c r="S260" s="17"/>
      <c r="T260" s="17"/>
      <c r="U260" s="17"/>
      <c r="V260" s="17"/>
      <c r="W260" s="17"/>
      <c r="X260" s="17"/>
      <c r="Y260" s="17"/>
      <c r="Z260" s="17"/>
      <c r="AA260" s="17"/>
      <c r="AB260" s="17"/>
      <c r="AC260" s="17"/>
      <c r="AD260" s="17"/>
      <c r="AE260" s="17"/>
      <c r="AF260" s="17"/>
      <c r="AG260" s="17"/>
      <c r="AH260" s="17"/>
      <c r="AI260" s="17"/>
      <c r="AJ260" s="17"/>
      <c r="AK260" s="17"/>
      <c r="AL260" s="17"/>
      <c r="AM260" s="17"/>
      <c r="AN260" s="17"/>
      <c r="AO260" s="17"/>
      <c r="AP260" s="17"/>
      <c r="AQ260" s="17"/>
      <c r="AR260" s="17"/>
      <c r="AS260" s="17"/>
      <c r="AT260" s="17"/>
      <c r="AU260" s="17"/>
    </row>
    <row r="261" spans="1:47" x14ac:dyDescent="0.3">
      <c r="A261" s="17"/>
      <c r="B261" s="17"/>
      <c r="C261" s="17"/>
      <c r="D261" s="17"/>
      <c r="E261" s="17"/>
      <c r="F261" s="17"/>
      <c r="G261" s="17"/>
      <c r="H261" s="17"/>
      <c r="I261" s="17"/>
      <c r="J261" s="17"/>
      <c r="K261" s="17"/>
      <c r="L261" s="17"/>
      <c r="M261" s="17"/>
      <c r="N261" s="17"/>
      <c r="O261" s="17"/>
      <c r="P261" s="17"/>
      <c r="Q261" s="17"/>
      <c r="R261" s="17"/>
      <c r="S261" s="17"/>
      <c r="T261" s="17"/>
      <c r="U261" s="17"/>
      <c r="V261" s="17"/>
      <c r="W261" s="17"/>
      <c r="X261" s="17"/>
      <c r="Y261" s="17"/>
      <c r="Z261" s="17"/>
      <c r="AA261" s="17"/>
      <c r="AB261" s="17"/>
      <c r="AC261" s="17"/>
      <c r="AD261" s="17"/>
      <c r="AE261" s="17"/>
      <c r="AF261" s="17"/>
      <c r="AG261" s="17"/>
      <c r="AH261" s="17"/>
      <c r="AI261" s="17"/>
      <c r="AJ261" s="17"/>
      <c r="AK261" s="17"/>
      <c r="AL261" s="17"/>
      <c r="AM261" s="17"/>
      <c r="AN261" s="17"/>
      <c r="AO261" s="17"/>
      <c r="AP261" s="17"/>
      <c r="AQ261" s="17"/>
      <c r="AR261" s="17"/>
      <c r="AS261" s="17"/>
      <c r="AT261" s="17"/>
      <c r="AU261" s="17"/>
    </row>
    <row r="262" spans="1:47" x14ac:dyDescent="0.3">
      <c r="A262" s="17"/>
      <c r="B262" s="17"/>
      <c r="C262" s="17"/>
      <c r="D262" s="17"/>
      <c r="E262" s="17"/>
      <c r="F262" s="17"/>
      <c r="G262" s="17"/>
      <c r="H262" s="17"/>
      <c r="I262" s="17"/>
      <c r="J262" s="17"/>
      <c r="K262" s="17"/>
      <c r="L262" s="17"/>
      <c r="M262" s="17"/>
      <c r="N262" s="17"/>
      <c r="O262" s="17"/>
      <c r="P262" s="17"/>
      <c r="Q262" s="17"/>
      <c r="R262" s="17"/>
      <c r="S262" s="17"/>
      <c r="T262" s="17"/>
      <c r="U262" s="17"/>
      <c r="V262" s="17"/>
      <c r="W262" s="17"/>
      <c r="X262" s="17"/>
      <c r="Y262" s="17"/>
      <c r="Z262" s="17"/>
      <c r="AA262" s="17"/>
      <c r="AB262" s="17"/>
      <c r="AC262" s="17"/>
      <c r="AD262" s="17"/>
      <c r="AE262" s="17"/>
      <c r="AF262" s="17"/>
      <c r="AG262" s="17"/>
      <c r="AH262" s="17"/>
      <c r="AI262" s="17"/>
      <c r="AJ262" s="17"/>
      <c r="AK262" s="17"/>
      <c r="AL262" s="17"/>
      <c r="AM262" s="17"/>
      <c r="AN262" s="17"/>
      <c r="AO262" s="17"/>
      <c r="AP262" s="17"/>
      <c r="AQ262" s="17"/>
      <c r="AR262" s="17"/>
      <c r="AS262" s="17"/>
      <c r="AT262" s="17"/>
      <c r="AU262" s="17"/>
    </row>
    <row r="263" spans="1:47" x14ac:dyDescent="0.3">
      <c r="A263" s="17"/>
      <c r="B263" s="17"/>
      <c r="C263" s="17"/>
      <c r="D263" s="17"/>
      <c r="E263" s="17"/>
      <c r="F263" s="17"/>
      <c r="G263" s="17"/>
      <c r="H263" s="17"/>
      <c r="I263" s="17"/>
      <c r="J263" s="17"/>
      <c r="K263" s="17"/>
      <c r="L263" s="17"/>
      <c r="M263" s="17"/>
      <c r="N263" s="17"/>
      <c r="O263" s="17"/>
      <c r="P263" s="17"/>
      <c r="Q263" s="17"/>
      <c r="R263" s="17"/>
      <c r="S263" s="17"/>
      <c r="T263" s="17"/>
      <c r="U263" s="17"/>
      <c r="V263" s="17"/>
      <c r="W263" s="17"/>
      <c r="X263" s="17"/>
      <c r="Y263" s="17"/>
      <c r="Z263" s="17"/>
      <c r="AA263" s="17"/>
      <c r="AB263" s="17"/>
      <c r="AC263" s="17"/>
      <c r="AD263" s="17"/>
      <c r="AE263" s="17"/>
      <c r="AF263" s="17"/>
      <c r="AG263" s="17"/>
      <c r="AH263" s="17"/>
      <c r="AI263" s="17"/>
      <c r="AJ263" s="17"/>
      <c r="AK263" s="17"/>
      <c r="AL263" s="17"/>
      <c r="AM263" s="17"/>
      <c r="AN263" s="17"/>
      <c r="AO263" s="17"/>
      <c r="AP263" s="17"/>
      <c r="AQ263" s="17"/>
      <c r="AR263" s="17"/>
      <c r="AS263" s="17"/>
      <c r="AT263" s="17"/>
      <c r="AU263" s="17"/>
    </row>
    <row r="264" spans="1:47" x14ac:dyDescent="0.3">
      <c r="A264" s="17"/>
      <c r="B264" s="17"/>
      <c r="C264" s="17"/>
      <c r="D264" s="17"/>
      <c r="E264" s="17"/>
      <c r="F264" s="17"/>
      <c r="G264" s="17"/>
      <c r="H264" s="17"/>
      <c r="I264" s="17"/>
      <c r="J264" s="17"/>
      <c r="K264" s="17"/>
      <c r="L264" s="17"/>
      <c r="M264" s="17"/>
      <c r="N264" s="17"/>
      <c r="O264" s="17"/>
      <c r="P264" s="17"/>
      <c r="Q264" s="17"/>
      <c r="R264" s="17"/>
      <c r="S264" s="17"/>
      <c r="T264" s="17"/>
      <c r="U264" s="17"/>
      <c r="V264" s="17"/>
      <c r="W264" s="17"/>
      <c r="X264" s="17"/>
      <c r="Y264" s="17"/>
      <c r="Z264" s="17"/>
      <c r="AA264" s="17"/>
      <c r="AB264" s="17"/>
      <c r="AC264" s="17"/>
      <c r="AD264" s="17"/>
      <c r="AE264" s="17"/>
      <c r="AF264" s="17"/>
      <c r="AG264" s="17"/>
      <c r="AH264" s="17"/>
      <c r="AI264" s="17"/>
      <c r="AJ264" s="17"/>
      <c r="AK264" s="17"/>
      <c r="AL264" s="17"/>
      <c r="AM264" s="17"/>
      <c r="AN264" s="17"/>
      <c r="AO264" s="17"/>
      <c r="AP264" s="17"/>
      <c r="AQ264" s="17"/>
      <c r="AR264" s="17"/>
      <c r="AS264" s="17"/>
      <c r="AT264" s="17"/>
      <c r="AU264" s="17"/>
    </row>
    <row r="265" spans="1:47" x14ac:dyDescent="0.3">
      <c r="A265" s="17"/>
      <c r="B265" s="17"/>
      <c r="C265" s="17"/>
      <c r="D265" s="17"/>
      <c r="E265" s="17"/>
      <c r="F265" s="17"/>
      <c r="G265" s="17"/>
      <c r="H265" s="17"/>
      <c r="I265" s="17"/>
      <c r="J265" s="17"/>
      <c r="K265" s="17"/>
      <c r="L265" s="17"/>
      <c r="M265" s="17"/>
      <c r="N265" s="17"/>
      <c r="O265" s="17"/>
      <c r="P265" s="17"/>
      <c r="Q265" s="17"/>
      <c r="R265" s="17"/>
      <c r="S265" s="17"/>
      <c r="T265" s="17"/>
      <c r="U265" s="17"/>
      <c r="V265" s="17"/>
      <c r="W265" s="17"/>
      <c r="X265" s="17"/>
      <c r="Y265" s="17"/>
      <c r="Z265" s="17"/>
      <c r="AA265" s="17"/>
      <c r="AB265" s="17"/>
      <c r="AC265" s="17"/>
      <c r="AD265" s="17"/>
      <c r="AE265" s="17"/>
      <c r="AF265" s="17"/>
      <c r="AG265" s="17"/>
      <c r="AH265" s="17"/>
      <c r="AI265" s="17"/>
      <c r="AJ265" s="17"/>
      <c r="AK265" s="17"/>
      <c r="AL265" s="17"/>
      <c r="AM265" s="17"/>
      <c r="AN265" s="17"/>
      <c r="AO265" s="17"/>
      <c r="AP265" s="17"/>
      <c r="AQ265" s="17"/>
      <c r="AR265" s="17"/>
      <c r="AS265" s="17"/>
      <c r="AT265" s="17"/>
      <c r="AU265" s="17"/>
    </row>
    <row r="266" spans="1:47" x14ac:dyDescent="0.3">
      <c r="A266" s="17"/>
      <c r="B266" s="17"/>
      <c r="C266" s="17"/>
      <c r="D266" s="17"/>
      <c r="E266" s="17"/>
      <c r="F266" s="17"/>
      <c r="G266" s="17"/>
      <c r="H266" s="17"/>
      <c r="I266" s="17"/>
      <c r="J266" s="17"/>
      <c r="K266" s="17"/>
      <c r="L266" s="17"/>
      <c r="M266" s="17"/>
      <c r="N266" s="17"/>
      <c r="O266" s="17"/>
      <c r="P266" s="17"/>
      <c r="Q266" s="17"/>
      <c r="R266" s="17"/>
      <c r="S266" s="17"/>
      <c r="T266" s="17"/>
      <c r="U266" s="17"/>
      <c r="V266" s="17"/>
      <c r="W266" s="17"/>
      <c r="X266" s="17"/>
      <c r="Y266" s="17"/>
      <c r="Z266" s="17"/>
      <c r="AA266" s="17"/>
      <c r="AB266" s="17"/>
      <c r="AC266" s="17"/>
      <c r="AD266" s="17"/>
      <c r="AE266" s="17"/>
      <c r="AF266" s="17"/>
      <c r="AG266" s="17"/>
      <c r="AH266" s="17"/>
      <c r="AI266" s="17"/>
      <c r="AJ266" s="17"/>
      <c r="AK266" s="17"/>
      <c r="AL266" s="17"/>
      <c r="AM266" s="17"/>
      <c r="AN266" s="17"/>
      <c r="AO266" s="17"/>
      <c r="AP266" s="17"/>
      <c r="AQ266" s="17"/>
      <c r="AR266" s="17"/>
      <c r="AS266" s="17"/>
      <c r="AT266" s="17"/>
      <c r="AU266" s="17"/>
    </row>
  </sheetData>
  <mergeCells count="27">
    <mergeCell ref="C229:E229"/>
    <mergeCell ref="J229:K229"/>
    <mergeCell ref="V245:Y245"/>
    <mergeCell ref="C111:E111"/>
    <mergeCell ref="J111:K111"/>
    <mergeCell ref="V127:Y127"/>
    <mergeCell ref="C169:E169"/>
    <mergeCell ref="J169:K169"/>
    <mergeCell ref="V185:Y185"/>
    <mergeCell ref="C199:E199"/>
    <mergeCell ref="J199:K199"/>
    <mergeCell ref="V215:Y215"/>
    <mergeCell ref="C142:E142"/>
    <mergeCell ref="J142:K142"/>
    <mergeCell ref="V158:Y158"/>
    <mergeCell ref="V96:Y96"/>
    <mergeCell ref="C2:E2"/>
    <mergeCell ref="J2:K2"/>
    <mergeCell ref="V18:Y18"/>
    <mergeCell ref="C28:E28"/>
    <mergeCell ref="J28:K28"/>
    <mergeCell ref="V44:Y44"/>
    <mergeCell ref="C54:E54"/>
    <mergeCell ref="J54:K54"/>
    <mergeCell ref="V70:Y70"/>
    <mergeCell ref="C80:E80"/>
    <mergeCell ref="J80:K80"/>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AA43D3-0143-4B28-8C99-49E1D6E57860}">
  <dimension ref="A1:AV266"/>
  <sheetViews>
    <sheetView topLeftCell="A67" zoomScale="55" zoomScaleNormal="55" workbookViewId="0">
      <selection activeCell="H19" sqref="H19"/>
    </sheetView>
  </sheetViews>
  <sheetFormatPr defaultRowHeight="14.4" x14ac:dyDescent="0.3"/>
  <cols>
    <col min="1" max="1" width="23.21875" bestFit="1" customWidth="1"/>
    <col min="3" max="3" width="11.6640625" bestFit="1" customWidth="1"/>
    <col min="4" max="4" width="11.6640625" customWidth="1"/>
    <col min="6" max="6" width="11.88671875" bestFit="1" customWidth="1"/>
    <col min="7" max="8" width="12" bestFit="1" customWidth="1"/>
    <col min="12" max="12" width="9.33203125" customWidth="1"/>
    <col min="13" max="13" width="32.6640625" bestFit="1" customWidth="1"/>
    <col min="14" max="14" width="39" bestFit="1" customWidth="1"/>
    <col min="15" max="15" width="12.33203125" bestFit="1" customWidth="1"/>
    <col min="16" max="16" width="20" bestFit="1" customWidth="1"/>
    <col min="17" max="17" width="19.6640625" bestFit="1" customWidth="1"/>
    <col min="18" max="18" width="15.88671875" bestFit="1" customWidth="1"/>
    <col min="19" max="19" width="12.44140625" customWidth="1"/>
    <col min="34" max="34" width="20.6640625" bestFit="1" customWidth="1"/>
    <col min="40" max="40" width="12.6640625" bestFit="1" customWidth="1"/>
  </cols>
  <sheetData>
    <row r="1" spans="1:32" x14ac:dyDescent="0.3">
      <c r="A1" s="215" t="s">
        <v>45</v>
      </c>
    </row>
    <row r="2" spans="1:32" x14ac:dyDescent="0.3">
      <c r="B2" s="162"/>
      <c r="C2" s="303" t="s">
        <v>19</v>
      </c>
      <c r="D2" s="303"/>
      <c r="E2" s="303"/>
      <c r="F2" s="216"/>
      <c r="G2" s="16"/>
      <c r="H2" s="16"/>
      <c r="I2" s="162"/>
      <c r="J2" s="303" t="s">
        <v>20</v>
      </c>
      <c r="K2" s="303"/>
      <c r="L2" s="162"/>
    </row>
    <row r="3" spans="1:32" x14ac:dyDescent="0.3">
      <c r="B3" s="162" t="s">
        <v>12</v>
      </c>
      <c r="C3" s="162" t="s">
        <v>49</v>
      </c>
      <c r="D3" s="162" t="s">
        <v>40</v>
      </c>
      <c r="E3" s="162" t="s">
        <v>44</v>
      </c>
      <c r="F3" s="162" t="s">
        <v>21</v>
      </c>
      <c r="I3" s="162" t="s">
        <v>12</v>
      </c>
      <c r="J3" s="162" t="s">
        <v>17</v>
      </c>
      <c r="K3" s="162" t="s">
        <v>18</v>
      </c>
      <c r="L3" s="162" t="s">
        <v>44</v>
      </c>
    </row>
    <row r="4" spans="1:32" x14ac:dyDescent="0.3">
      <c r="B4" s="162" t="s">
        <v>13</v>
      </c>
      <c r="C4" s="4">
        <v>5.3</v>
      </c>
      <c r="D4" s="4">
        <v>2.5499999999999998</v>
      </c>
      <c r="E4" s="4">
        <v>2.57</v>
      </c>
      <c r="F4" s="4">
        <f>SUM(C4:E4)</f>
        <v>10.42</v>
      </c>
      <c r="G4" s="3"/>
      <c r="H4" s="3"/>
      <c r="I4" s="163" t="s">
        <v>13</v>
      </c>
      <c r="J4" s="7">
        <f>C4*0.5/F4</f>
        <v>0.2543186180422265</v>
      </c>
      <c r="K4" s="7">
        <f>D4*0.2/F4</f>
        <v>4.894433781190019E-2</v>
      </c>
      <c r="L4" s="7">
        <f>1-K4-J4</f>
        <v>0.69673704414587334</v>
      </c>
      <c r="M4" s="3"/>
      <c r="N4" s="3"/>
      <c r="O4" s="3"/>
      <c r="P4" s="3"/>
      <c r="Q4" s="3"/>
      <c r="R4" s="3"/>
      <c r="S4" s="3"/>
      <c r="T4" s="3"/>
      <c r="U4" s="3"/>
      <c r="V4" s="202" t="s">
        <v>12</v>
      </c>
      <c r="W4" s="202" t="s">
        <v>17</v>
      </c>
      <c r="X4" s="202" t="s">
        <v>18</v>
      </c>
      <c r="Y4" s="202" t="s">
        <v>44</v>
      </c>
      <c r="Z4" s="3"/>
      <c r="AA4" s="3"/>
      <c r="AB4" s="3"/>
      <c r="AC4" s="3"/>
    </row>
    <row r="5" spans="1:32" x14ac:dyDescent="0.3">
      <c r="B5" s="2"/>
      <c r="C5" s="4"/>
      <c r="D5" s="4"/>
      <c r="E5" s="4"/>
      <c r="F5" s="4"/>
      <c r="G5" s="3"/>
      <c r="H5" s="3"/>
      <c r="I5" s="163"/>
      <c r="J5" s="7"/>
      <c r="K5" s="7"/>
      <c r="L5" s="7"/>
      <c r="M5" s="3"/>
      <c r="N5" s="3"/>
      <c r="O5" s="3" t="s">
        <v>1</v>
      </c>
      <c r="P5" s="3" t="s">
        <v>42</v>
      </c>
      <c r="Q5" s="3"/>
      <c r="R5" s="3"/>
      <c r="S5" s="3"/>
      <c r="T5" s="3"/>
      <c r="U5" s="3"/>
      <c r="V5" s="207" t="s">
        <v>13</v>
      </c>
      <c r="W5" s="207">
        <f>J7</f>
        <v>0.2543186180422265</v>
      </c>
      <c r="X5" s="207">
        <f>K7</f>
        <v>4.894433781190019E-2</v>
      </c>
      <c r="Y5" s="207">
        <f>L7</f>
        <v>0.69673704414587334</v>
      </c>
      <c r="Z5" s="3"/>
      <c r="AA5" s="3"/>
      <c r="AB5" s="3"/>
      <c r="AC5" s="3"/>
    </row>
    <row r="6" spans="1:32" x14ac:dyDescent="0.3">
      <c r="B6" s="2"/>
      <c r="C6" s="4"/>
      <c r="D6" s="4"/>
      <c r="E6" s="4"/>
      <c r="F6" s="4"/>
      <c r="G6" s="3"/>
      <c r="H6" s="3"/>
      <c r="I6" s="163"/>
      <c r="J6" s="7"/>
      <c r="K6" s="7"/>
      <c r="L6" s="7"/>
      <c r="M6" s="3"/>
      <c r="N6" s="3"/>
      <c r="O6" s="3" t="s">
        <v>0</v>
      </c>
      <c r="P6" s="3" t="s">
        <v>60</v>
      </c>
      <c r="Q6" s="3"/>
      <c r="R6" s="3"/>
      <c r="S6" s="3"/>
      <c r="T6" s="3"/>
      <c r="U6" s="3"/>
      <c r="V6" s="207" t="s">
        <v>53</v>
      </c>
      <c r="W6" s="207">
        <f>W14</f>
        <v>0.14800253819463519</v>
      </c>
      <c r="X6" s="207">
        <f>X14</f>
        <v>9.7168578571095635E-2</v>
      </c>
      <c r="Y6" s="207">
        <f>Y14</f>
        <v>0.75482888323426922</v>
      </c>
      <c r="Z6" s="3"/>
      <c r="AA6" s="3"/>
      <c r="AB6" s="3"/>
      <c r="AC6" s="3"/>
    </row>
    <row r="7" spans="1:32" x14ac:dyDescent="0.3">
      <c r="C7" s="3"/>
      <c r="D7" s="3"/>
      <c r="E7" s="3"/>
      <c r="F7" s="3"/>
      <c r="G7" s="3"/>
      <c r="H7" s="3"/>
      <c r="I7" s="163" t="s">
        <v>22</v>
      </c>
      <c r="J7" s="7">
        <f>AVERAGE(J4:J6)</f>
        <v>0.2543186180422265</v>
      </c>
      <c r="K7" s="7">
        <f>AVERAGE(K4:K6)</f>
        <v>4.894433781190019E-2</v>
      </c>
      <c r="L7" s="7">
        <f>AVERAGE(L4:L6)</f>
        <v>0.69673704414587334</v>
      </c>
      <c r="M7" s="3"/>
      <c r="N7" s="3"/>
      <c r="O7" s="3"/>
      <c r="P7" s="3"/>
      <c r="Q7" s="3"/>
      <c r="R7" s="3"/>
      <c r="S7" s="3"/>
      <c r="T7" s="3"/>
      <c r="U7" s="3"/>
      <c r="V7" s="207" t="s">
        <v>14</v>
      </c>
      <c r="W7" s="207">
        <f>W23</f>
        <v>0.34825313143033321</v>
      </c>
      <c r="X7" s="207">
        <v>1E-3</v>
      </c>
      <c r="Y7" s="207">
        <f>Y23</f>
        <v>0.64975583297843031</v>
      </c>
      <c r="Z7" s="3"/>
      <c r="AA7" s="3"/>
      <c r="AB7" s="3"/>
      <c r="AC7" s="3"/>
    </row>
    <row r="8" spans="1:32" x14ac:dyDescent="0.3">
      <c r="B8" t="s">
        <v>31</v>
      </c>
      <c r="C8" s="3"/>
      <c r="D8" s="3"/>
      <c r="E8" s="3"/>
      <c r="F8" s="3"/>
      <c r="G8" s="3"/>
      <c r="H8" s="3"/>
      <c r="I8" s="163" t="s">
        <v>8</v>
      </c>
      <c r="J8" s="7" t="e">
        <f>_xlfn.STDEV.S(J4:J6)</f>
        <v>#DIV/0!</v>
      </c>
      <c r="K8" s="7" t="e">
        <f>_xlfn.STDEV.S(K4:K6)</f>
        <v>#DIV/0!</v>
      </c>
      <c r="L8" s="7" t="e">
        <f>_xlfn.STDEV.S(L4:L6)</f>
        <v>#DIV/0!</v>
      </c>
      <c r="M8" s="3"/>
      <c r="N8" s="3"/>
      <c r="O8" s="3"/>
      <c r="P8" s="3"/>
      <c r="Q8" s="3"/>
      <c r="R8" s="3"/>
      <c r="S8" s="3"/>
      <c r="T8" s="3"/>
      <c r="U8" s="3"/>
      <c r="V8" s="83"/>
      <c r="W8" s="83"/>
      <c r="X8" s="83"/>
      <c r="Y8" s="83"/>
      <c r="Z8" s="3"/>
      <c r="AA8" s="3"/>
      <c r="AB8" s="3"/>
      <c r="AC8" s="3"/>
      <c r="AD8" s="8"/>
      <c r="AE8" s="8"/>
      <c r="AF8" s="8"/>
    </row>
    <row r="9" spans="1:32" x14ac:dyDescent="0.3">
      <c r="B9">
        <v>1.5</v>
      </c>
      <c r="C9" s="3"/>
      <c r="D9" s="3"/>
      <c r="E9" s="3"/>
      <c r="F9" s="3"/>
      <c r="G9" s="3"/>
      <c r="H9" s="3"/>
      <c r="I9" s="3"/>
      <c r="J9" s="83"/>
      <c r="K9" s="83"/>
      <c r="L9" s="83"/>
      <c r="M9" s="3"/>
      <c r="N9" s="3"/>
      <c r="O9" s="3"/>
      <c r="P9" s="3"/>
      <c r="Q9" s="3"/>
      <c r="R9" s="3"/>
      <c r="S9" s="3"/>
      <c r="T9" s="3"/>
      <c r="U9" s="3"/>
      <c r="V9" s="218" t="s">
        <v>20</v>
      </c>
      <c r="W9" s="219"/>
      <c r="X9" s="219"/>
      <c r="Y9" s="220"/>
      <c r="Z9" s="3"/>
      <c r="AA9" s="3"/>
      <c r="AB9" s="3"/>
      <c r="AC9" s="3"/>
      <c r="AD9" s="8"/>
      <c r="AE9" s="8"/>
      <c r="AF9" s="8"/>
    </row>
    <row r="10" spans="1:32" x14ac:dyDescent="0.3">
      <c r="B10" s="162" t="s">
        <v>10</v>
      </c>
      <c r="C10" s="163" t="s">
        <v>23</v>
      </c>
      <c r="D10" s="163" t="s">
        <v>32</v>
      </c>
      <c r="E10" s="163" t="s">
        <v>24</v>
      </c>
      <c r="F10" s="163" t="s">
        <v>33</v>
      </c>
      <c r="G10" s="163" t="s">
        <v>28</v>
      </c>
      <c r="H10" s="163" t="s">
        <v>27</v>
      </c>
      <c r="I10" s="163" t="s">
        <v>26</v>
      </c>
      <c r="J10" s="3"/>
      <c r="K10" s="3"/>
      <c r="L10" s="163" t="s">
        <v>10</v>
      </c>
      <c r="M10" s="163" t="s">
        <v>30</v>
      </c>
      <c r="N10" s="163" t="s">
        <v>36</v>
      </c>
      <c r="O10" s="163" t="s">
        <v>35</v>
      </c>
      <c r="P10" s="163" t="s">
        <v>37</v>
      </c>
      <c r="Q10" s="163" t="s">
        <v>38</v>
      </c>
      <c r="R10" s="163" t="s">
        <v>39</v>
      </c>
      <c r="S10" s="163" t="s">
        <v>47</v>
      </c>
      <c r="T10" s="3"/>
      <c r="U10" s="3"/>
      <c r="V10" s="221" t="s">
        <v>10</v>
      </c>
      <c r="W10" s="221" t="s">
        <v>17</v>
      </c>
      <c r="X10" s="221" t="s">
        <v>18</v>
      </c>
      <c r="Y10" s="221" t="s">
        <v>44</v>
      </c>
      <c r="Z10" s="3"/>
      <c r="AA10" s="3"/>
      <c r="AB10" s="3"/>
      <c r="AC10" s="3"/>
      <c r="AD10" s="8"/>
      <c r="AE10" s="8"/>
      <c r="AF10" s="8"/>
    </row>
    <row r="11" spans="1:32" x14ac:dyDescent="0.3">
      <c r="B11" s="162" t="s">
        <v>13</v>
      </c>
      <c r="C11" s="4">
        <v>0.5353</v>
      </c>
      <c r="D11" s="4">
        <v>2.0219999999999998</v>
      </c>
      <c r="E11" s="4">
        <v>1.3423</v>
      </c>
      <c r="F11" s="4">
        <v>1.0500000000000001E-2</v>
      </c>
      <c r="G11" s="4">
        <v>2.0104000000000002</v>
      </c>
      <c r="H11" s="4">
        <v>0.1</v>
      </c>
      <c r="I11" s="4">
        <v>0.20599999999999999</v>
      </c>
      <c r="J11" s="3"/>
      <c r="K11" s="3"/>
      <c r="L11" s="163" t="s">
        <v>13</v>
      </c>
      <c r="M11" s="41">
        <f>I11/0.01026</f>
        <v>20.077972709551656</v>
      </c>
      <c r="N11" s="41">
        <f>(M11*G11/H11)/1000000/F11</f>
        <v>3.8442625081221565E-2</v>
      </c>
      <c r="O11" s="41">
        <f>N11*D11/C11</f>
        <v>0.14521013994812254</v>
      </c>
      <c r="P11" s="41">
        <f>N11*0.1478+1.333</f>
        <v>1.3386818199870045</v>
      </c>
      <c r="Q11" s="41">
        <f>E11-(P11-1.333)</f>
        <v>1.3366181800129955</v>
      </c>
      <c r="R11" s="41">
        <f>(Q11-1.333)/0.1376</f>
        <v>2.6294912885141859E-2</v>
      </c>
      <c r="S11" s="4">
        <f>R11*D11/C11</f>
        <v>9.9324330008886297E-2</v>
      </c>
      <c r="T11" s="3"/>
      <c r="U11" s="3"/>
      <c r="V11" s="221" t="s">
        <v>13</v>
      </c>
      <c r="W11" s="7">
        <f>O11</f>
        <v>0.14521013994812254</v>
      </c>
      <c r="X11" s="7">
        <f>S11</f>
        <v>9.9324330008886297E-2</v>
      </c>
      <c r="Y11" s="7">
        <f>1-X11-W11</f>
        <v>0.75546553004299111</v>
      </c>
      <c r="Z11" s="3"/>
      <c r="AA11" s="3"/>
      <c r="AB11" s="3"/>
      <c r="AC11" s="3"/>
    </row>
    <row r="12" spans="1:32" x14ac:dyDescent="0.3">
      <c r="B12" s="162" t="s">
        <v>14</v>
      </c>
      <c r="C12" s="4">
        <v>0.53339999999999999</v>
      </c>
      <c r="D12" s="4">
        <v>2.0243000000000002</v>
      </c>
      <c r="E12" s="4">
        <v>1.3423</v>
      </c>
      <c r="F12" s="4">
        <v>1.0200000000000001E-2</v>
      </c>
      <c r="G12" s="4">
        <v>2.0131999999999999</v>
      </c>
      <c r="H12" s="4">
        <v>0.1</v>
      </c>
      <c r="I12" s="4">
        <v>0.19700000000000001</v>
      </c>
      <c r="J12" s="3"/>
      <c r="K12" s="3"/>
      <c r="L12" s="163" t="s">
        <v>14</v>
      </c>
      <c r="M12" s="41">
        <f t="shared" ref="M12:M13" si="0">I12/0.01026</f>
        <v>19.200779727095519</v>
      </c>
      <c r="N12" s="41">
        <f>(M12*G12/H12)/1000000/F12</f>
        <v>3.7897068379008525E-2</v>
      </c>
      <c r="O12" s="41">
        <f>N12*D12/C12</f>
        <v>0.14382271376008054</v>
      </c>
      <c r="P12" s="41">
        <f>N12*0.1478+1.333</f>
        <v>1.3386011867064174</v>
      </c>
      <c r="Q12" s="41">
        <f t="shared" ref="Q12:Q13" si="1">E12-(P12-1.333)</f>
        <v>1.3366988132935826</v>
      </c>
      <c r="R12" s="41">
        <f t="shared" ref="R12:R13" si="2">(Q12-1.333)/0.1376</f>
        <v>2.6880910563827624E-2</v>
      </c>
      <c r="S12" s="4">
        <f>R12*D12/C12</f>
        <v>0.10201542417389625</v>
      </c>
      <c r="T12" s="3"/>
      <c r="U12" s="3"/>
      <c r="V12" s="221" t="s">
        <v>14</v>
      </c>
      <c r="W12" s="7">
        <f>O12</f>
        <v>0.14382271376008054</v>
      </c>
      <c r="X12" s="7">
        <f>S12</f>
        <v>0.10201542417389625</v>
      </c>
      <c r="Y12" s="7">
        <f>1-X12-W12</f>
        <v>0.75416186206602331</v>
      </c>
      <c r="Z12" s="3"/>
      <c r="AA12" s="3"/>
      <c r="AB12" s="3"/>
      <c r="AC12" s="3"/>
    </row>
    <row r="13" spans="1:32" x14ac:dyDescent="0.3">
      <c r="B13" s="162" t="s">
        <v>15</v>
      </c>
      <c r="C13" s="4">
        <v>0.53349999999999997</v>
      </c>
      <c r="D13" s="4">
        <v>2.0257000000000001</v>
      </c>
      <c r="E13" s="4">
        <v>1.3423</v>
      </c>
      <c r="F13" s="4">
        <v>1.0200000000000001E-2</v>
      </c>
      <c r="G13" s="4">
        <v>2.0148000000000001</v>
      </c>
      <c r="H13" s="4">
        <v>0.1</v>
      </c>
      <c r="I13" s="4">
        <v>0.21199999999999999</v>
      </c>
      <c r="J13" s="3"/>
      <c r="K13" s="3"/>
      <c r="L13" s="163" t="s">
        <v>15</v>
      </c>
      <c r="M13" s="41">
        <f t="shared" si="0"/>
        <v>20.662768031189085</v>
      </c>
      <c r="N13" s="41">
        <f>(M13*G13/H13)/1000000/F13</f>
        <v>4.0815044146313498E-2</v>
      </c>
      <c r="O13" s="41">
        <f>N13*D13/C13</f>
        <v>0.15497476087570244</v>
      </c>
      <c r="P13" s="41">
        <f>N13*0.1478+1.333</f>
        <v>1.3390324635248252</v>
      </c>
      <c r="Q13" s="41">
        <f t="shared" si="1"/>
        <v>1.3362675364751748</v>
      </c>
      <c r="R13" s="41">
        <f t="shared" si="2"/>
        <v>2.3746631360282409E-2</v>
      </c>
      <c r="S13" s="4">
        <f>R13*D13/C13</f>
        <v>9.0165981530504369E-2</v>
      </c>
      <c r="T13" s="3"/>
      <c r="U13" s="3"/>
      <c r="V13" s="221" t="s">
        <v>15</v>
      </c>
      <c r="W13" s="7">
        <f>O13</f>
        <v>0.15497476087570244</v>
      </c>
      <c r="X13" s="7">
        <f>S13</f>
        <v>9.0165981530504369E-2</v>
      </c>
      <c r="Y13" s="7">
        <f>1-X13-W13</f>
        <v>0.75485925759379313</v>
      </c>
      <c r="Z13" s="163" t="s">
        <v>69</v>
      </c>
      <c r="AA13" s="163" t="s">
        <v>8</v>
      </c>
      <c r="AB13" s="3"/>
      <c r="AC13" s="3"/>
    </row>
    <row r="14" spans="1:32" x14ac:dyDescent="0.3">
      <c r="B14" s="162" t="s">
        <v>22</v>
      </c>
      <c r="C14" s="4">
        <f>AVERAGE(C11:C13)</f>
        <v>0.53406666666666658</v>
      </c>
      <c r="D14" s="4">
        <f>C14+1.5</f>
        <v>2.0340666666666665</v>
      </c>
      <c r="E14" s="4">
        <f>AVERAGE(E11:E13)</f>
        <v>1.3423</v>
      </c>
      <c r="F14" s="4">
        <f>AVERAGE(F11:F13)</f>
        <v>1.0300000000000002E-2</v>
      </c>
      <c r="G14" s="4">
        <f>AVERAGE(G11:G13)</f>
        <v>2.0127999999999999</v>
      </c>
      <c r="H14" s="4">
        <f>AVERAGE(H11:H13)</f>
        <v>0.10000000000000002</v>
      </c>
      <c r="I14" s="4">
        <f>AVERAGE(I11:I13)</f>
        <v>0.20499999999999999</v>
      </c>
      <c r="J14" s="3"/>
      <c r="K14" s="3"/>
      <c r="L14" s="163" t="s">
        <v>22</v>
      </c>
      <c r="M14" s="4">
        <f>AVERAGE(M11:M13)</f>
        <v>19.980506822612085</v>
      </c>
      <c r="N14" s="4">
        <f>AVERAGE(N11:N13)</f>
        <v>3.9051579202181198E-2</v>
      </c>
      <c r="O14" s="4">
        <f>AVERAGE(O12:O13)</f>
        <v>0.14939873731789149</v>
      </c>
      <c r="P14" s="4">
        <f>AVERAGE(P12:P13)</f>
        <v>1.3388168251156212</v>
      </c>
      <c r="Q14" s="4">
        <f>AVERAGE(Q12:Q13)</f>
        <v>1.3364831748843788</v>
      </c>
      <c r="R14" s="70">
        <f>AVERAGE(R12:R13)</f>
        <v>2.5313770962055018E-2</v>
      </c>
      <c r="S14" s="70">
        <f>AVERAGE(S11,S12)</f>
        <v>0.10066987709139127</v>
      </c>
      <c r="T14" s="3"/>
      <c r="U14" s="3"/>
      <c r="V14" s="221" t="s">
        <v>22</v>
      </c>
      <c r="W14" s="7">
        <f>AVERAGE(W11:W13)</f>
        <v>0.14800253819463519</v>
      </c>
      <c r="X14" s="7">
        <f t="shared" ref="X14:Y14" si="3">AVERAGE(X11:X13)</f>
        <v>9.7168578571095635E-2</v>
      </c>
      <c r="Y14" s="7">
        <f t="shared" si="3"/>
        <v>0.75482888323426922</v>
      </c>
      <c r="Z14" s="41">
        <f>C14/0.5</f>
        <v>1.0681333333333332</v>
      </c>
      <c r="AA14" s="41">
        <f>C15/0.5</f>
        <v>2.1385353243127459E-3</v>
      </c>
      <c r="AB14" s="3"/>
      <c r="AC14" s="3"/>
    </row>
    <row r="15" spans="1:32" x14ac:dyDescent="0.3">
      <c r="B15" s="162" t="s">
        <v>8</v>
      </c>
      <c r="C15" s="4">
        <f t="shared" ref="C15:I15" si="4">_xlfn.STDEV.S(C11:C13)</f>
        <v>1.069267662156373E-3</v>
      </c>
      <c r="D15" s="4">
        <f t="shared" si="4"/>
        <v>1.8681541692270912E-3</v>
      </c>
      <c r="E15" s="4">
        <f t="shared" si="4"/>
        <v>0</v>
      </c>
      <c r="F15" s="4">
        <f t="shared" si="4"/>
        <v>1.7320508075688767E-4</v>
      </c>
      <c r="G15" s="4">
        <f t="shared" si="4"/>
        <v>2.2271057451319627E-3</v>
      </c>
      <c r="H15" s="4">
        <f t="shared" si="4"/>
        <v>1.6996749443881478E-17</v>
      </c>
      <c r="I15" s="4">
        <f t="shared" si="4"/>
        <v>7.5498344352707423E-3</v>
      </c>
      <c r="J15" s="3"/>
      <c r="K15" s="3"/>
      <c r="L15" s="163" t="s">
        <v>8</v>
      </c>
      <c r="M15" s="4">
        <f>_xlfn.STDEV.S(M11:M13)</f>
        <v>0.7358513094805792</v>
      </c>
      <c r="N15" s="4">
        <f>_xlfn.STDEV.S(N11:N13)</f>
        <v>1.5513750306486334E-3</v>
      </c>
      <c r="O15" s="4">
        <f>_xlfn.STDEV.S(O12:O13)</f>
        <v>7.8856881395681228E-3</v>
      </c>
      <c r="P15" s="4">
        <f>_xlfn.STDEV.S(P12:P13)</f>
        <v>3.0495876286473013E-4</v>
      </c>
      <c r="Q15" s="4">
        <f>_xlfn.STDEV.S(Q12:Q13)</f>
        <v>3.0495876286473013E-4</v>
      </c>
      <c r="R15" s="4">
        <f>_xlfn.STDEV.S(R12:R13)</f>
        <v>2.2162700789587933E-3</v>
      </c>
      <c r="S15" s="4">
        <f>_xlfn.STDEV.S(S12:S13)</f>
        <v>8.3788212464234492E-3</v>
      </c>
      <c r="T15" s="3"/>
      <c r="U15" s="3"/>
      <c r="V15" s="221" t="s">
        <v>8</v>
      </c>
      <c r="W15" s="7">
        <f>_xlfn.STDEV.S(W11:W12)</f>
        <v>9.8105846596029719E-4</v>
      </c>
      <c r="X15" s="7">
        <f>_xlfn.STDEV.S(X12,X11)</f>
        <v>1.9028909328900891E-3</v>
      </c>
      <c r="Y15" s="7">
        <f>_xlfn.STDEV.S(Y11:Y12)</f>
        <v>9.218324669296741E-4</v>
      </c>
      <c r="Z15" s="41">
        <f>C15/0.5</f>
        <v>2.1385353243127459E-3</v>
      </c>
      <c r="AA15" s="4"/>
      <c r="AB15" s="3"/>
      <c r="AC15" s="203"/>
      <c r="AD15" s="8"/>
    </row>
    <row r="16" spans="1:32" x14ac:dyDescent="0.3">
      <c r="C16" s="3"/>
      <c r="D16" s="3"/>
      <c r="E16" s="3"/>
      <c r="F16" s="3"/>
      <c r="G16" s="3"/>
      <c r="H16" s="3"/>
      <c r="I16" s="3"/>
      <c r="J16" s="3"/>
      <c r="K16" s="3"/>
      <c r="L16" s="3"/>
      <c r="M16" s="3"/>
      <c r="N16" s="3"/>
      <c r="O16" s="3"/>
      <c r="P16" s="3"/>
      <c r="Q16" s="3"/>
      <c r="R16" s="3"/>
      <c r="S16" s="3"/>
      <c r="T16" s="3"/>
      <c r="U16" s="3"/>
      <c r="V16" s="83"/>
      <c r="W16" s="83"/>
      <c r="X16" s="83"/>
      <c r="Y16" s="83"/>
      <c r="Z16" s="3"/>
      <c r="AA16" s="3"/>
      <c r="AB16" s="3"/>
      <c r="AC16" s="203"/>
      <c r="AD16" s="8"/>
    </row>
    <row r="17" spans="1:40" x14ac:dyDescent="0.3">
      <c r="C17" s="3"/>
      <c r="D17" s="3"/>
      <c r="E17" s="3"/>
      <c r="F17" s="3"/>
      <c r="G17" s="3"/>
      <c r="H17" s="3"/>
      <c r="I17" s="3"/>
      <c r="J17" s="3"/>
      <c r="K17" s="3"/>
      <c r="L17" s="3"/>
      <c r="M17" s="3"/>
      <c r="N17" s="3"/>
      <c r="O17" s="3"/>
      <c r="P17" s="3"/>
      <c r="Q17" s="3"/>
      <c r="R17" s="3"/>
      <c r="S17" s="3"/>
      <c r="T17" s="3"/>
      <c r="U17" s="3"/>
      <c r="V17" s="83"/>
      <c r="W17" s="83"/>
      <c r="X17" s="83"/>
      <c r="Y17" s="83"/>
      <c r="Z17" s="3"/>
      <c r="AA17" s="3"/>
      <c r="AB17" s="3"/>
      <c r="AC17" s="203"/>
      <c r="AD17" s="8"/>
    </row>
    <row r="18" spans="1:40" x14ac:dyDescent="0.3">
      <c r="C18" s="3"/>
      <c r="D18" s="3"/>
      <c r="E18" s="3"/>
      <c r="F18" s="3"/>
      <c r="G18" s="3"/>
      <c r="H18" s="3"/>
      <c r="I18" s="3"/>
      <c r="J18" s="3"/>
      <c r="K18" s="3"/>
      <c r="L18" s="3"/>
      <c r="M18" s="3"/>
      <c r="N18" s="3"/>
      <c r="O18" s="3"/>
      <c r="P18" s="3"/>
      <c r="Q18" s="3"/>
      <c r="R18" s="3"/>
      <c r="S18" s="3"/>
      <c r="T18" s="3"/>
      <c r="U18" s="3"/>
      <c r="V18" s="300" t="s">
        <v>20</v>
      </c>
      <c r="W18" s="301"/>
      <c r="X18" s="301"/>
      <c r="Y18" s="302"/>
      <c r="Z18" s="3"/>
      <c r="AA18" s="3"/>
      <c r="AB18" s="3"/>
      <c r="AC18" s="3"/>
      <c r="AD18" s="12"/>
      <c r="AG18" s="8"/>
      <c r="AH18" s="8"/>
      <c r="AI18" s="12"/>
      <c r="AN18" s="9"/>
    </row>
    <row r="19" spans="1:40" x14ac:dyDescent="0.3">
      <c r="B19" s="162" t="s">
        <v>11</v>
      </c>
      <c r="C19" s="4" t="s">
        <v>23</v>
      </c>
      <c r="D19" s="4" t="s">
        <v>32</v>
      </c>
      <c r="E19" s="4" t="s">
        <v>24</v>
      </c>
      <c r="F19" s="4" t="s">
        <v>25</v>
      </c>
      <c r="G19" s="4" t="s">
        <v>28</v>
      </c>
      <c r="H19" s="4" t="s">
        <v>27</v>
      </c>
      <c r="I19" s="4" t="s">
        <v>26</v>
      </c>
      <c r="J19" s="3"/>
      <c r="K19" s="3"/>
      <c r="L19" s="163" t="s">
        <v>11</v>
      </c>
      <c r="M19" s="163" t="s">
        <v>30</v>
      </c>
      <c r="N19" s="163" t="s">
        <v>34</v>
      </c>
      <c r="O19" s="163" t="s">
        <v>35</v>
      </c>
      <c r="P19" s="163" t="s">
        <v>37</v>
      </c>
      <c r="Q19" s="163" t="s">
        <v>38</v>
      </c>
      <c r="R19" s="163" t="s">
        <v>39</v>
      </c>
      <c r="S19" s="163" t="s">
        <v>47</v>
      </c>
      <c r="T19" s="3"/>
      <c r="U19" s="3"/>
      <c r="V19" s="221" t="s">
        <v>11</v>
      </c>
      <c r="W19" s="221" t="s">
        <v>17</v>
      </c>
      <c r="X19" s="221" t="s">
        <v>18</v>
      </c>
      <c r="Y19" s="221" t="s">
        <v>44</v>
      </c>
      <c r="Z19" s="3"/>
      <c r="AA19" s="3"/>
      <c r="AB19" s="3"/>
      <c r="AC19" s="3"/>
      <c r="AD19" s="12"/>
      <c r="AG19" s="8"/>
      <c r="AH19" s="8"/>
      <c r="AI19" s="12"/>
      <c r="AN19" s="9"/>
    </row>
    <row r="20" spans="1:40" x14ac:dyDescent="0.3">
      <c r="B20" s="162" t="s">
        <v>13</v>
      </c>
      <c r="C20" s="4">
        <v>0.56820000000000004</v>
      </c>
      <c r="D20" s="4">
        <v>2.0604</v>
      </c>
      <c r="E20" s="4">
        <v>1.3472</v>
      </c>
      <c r="F20" s="4">
        <v>1.0500000000000001E-2</v>
      </c>
      <c r="G20" s="4">
        <v>2.0152999999999999</v>
      </c>
      <c r="H20" s="4">
        <v>0.1</v>
      </c>
      <c r="I20" s="4">
        <v>0.499</v>
      </c>
      <c r="J20" s="3"/>
      <c r="K20" s="3"/>
      <c r="L20" s="163" t="s">
        <v>13</v>
      </c>
      <c r="M20" s="41">
        <f>I20/0.01026</f>
        <v>48.635477582846001</v>
      </c>
      <c r="N20" s="4">
        <f>(M20*G20/H20)/1000000/F20</f>
        <v>9.3347693307342411E-2</v>
      </c>
      <c r="O20" s="4">
        <f>N20*D20/C20</f>
        <v>0.33849628175017299</v>
      </c>
      <c r="P20" s="4">
        <f>N20*0.1478+1.333</f>
        <v>1.3467967890708252</v>
      </c>
      <c r="Q20" s="41">
        <f>E20-(P20-1.333)</f>
        <v>1.3334032109291747</v>
      </c>
      <c r="R20" s="41">
        <f>(Q20-1.333)/0.1376</f>
        <v>2.9303119852814269E-3</v>
      </c>
      <c r="S20" s="4">
        <f>R20*D20/C20</f>
        <v>1.0625862045888512E-2</v>
      </c>
      <c r="T20" s="3"/>
      <c r="U20" s="3"/>
      <c r="V20" s="221" t="s">
        <v>13</v>
      </c>
      <c r="W20" s="7">
        <f>O20</f>
        <v>0.33849628175017299</v>
      </c>
      <c r="X20" s="7">
        <f>S20</f>
        <v>1.0625862045888512E-2</v>
      </c>
      <c r="Y20" s="7">
        <f>1-X20-W20</f>
        <v>0.65087785620393845</v>
      </c>
      <c r="Z20" s="3"/>
      <c r="AA20" s="3"/>
      <c r="AB20" s="3"/>
      <c r="AC20" s="3"/>
      <c r="AD20" s="12"/>
      <c r="AG20" s="12"/>
      <c r="AH20" s="12"/>
      <c r="AI20" s="12"/>
      <c r="AN20" s="9"/>
    </row>
    <row r="21" spans="1:40" x14ac:dyDescent="0.3">
      <c r="B21" s="162" t="s">
        <v>14</v>
      </c>
      <c r="C21" s="4">
        <v>0.56510000000000005</v>
      </c>
      <c r="D21" s="4">
        <v>2.0585</v>
      </c>
      <c r="E21" s="4">
        <v>1.3472999999999999</v>
      </c>
      <c r="F21" s="4">
        <v>1.04E-2</v>
      </c>
      <c r="G21" s="4">
        <v>2.0169999999999999</v>
      </c>
      <c r="H21" s="4">
        <v>0.1</v>
      </c>
      <c r="I21" s="4">
        <v>0.50900000000000001</v>
      </c>
      <c r="J21" s="3"/>
      <c r="K21" s="3"/>
      <c r="L21" s="163" t="s">
        <v>14</v>
      </c>
      <c r="M21" s="41">
        <f t="shared" ref="M21:M22" si="5">I21/0.01026</f>
        <v>49.610136452241719</v>
      </c>
      <c r="N21" s="4">
        <f>(M21*G21/H21)/1000000/F21</f>
        <v>9.6215043484780313E-2</v>
      </c>
      <c r="O21" s="4">
        <f>N21*D21/C21</f>
        <v>0.35048428068203907</v>
      </c>
      <c r="P21" s="4">
        <f>N21*0.1478+1.333</f>
        <v>1.3472205834270505</v>
      </c>
      <c r="Q21" s="41">
        <f t="shared" ref="Q21:Q22" si="6">E21-(P21-1.333)</f>
        <v>1.3330794165729494</v>
      </c>
      <c r="R21" s="41">
        <f t="shared" ref="R21:R22" si="7">(Q21-1.333)/0.1376</f>
        <v>5.7715532666721627E-4</v>
      </c>
      <c r="S21" s="4">
        <f>R21*D21/C21</f>
        <v>2.1024141566881338E-3</v>
      </c>
      <c r="T21" s="3"/>
      <c r="U21" s="3"/>
      <c r="V21" s="221" t="s">
        <v>14</v>
      </c>
      <c r="W21" s="7">
        <f>O21</f>
        <v>0.35048428068203907</v>
      </c>
      <c r="X21" s="7">
        <f>S21</f>
        <v>2.1024141566881338E-3</v>
      </c>
      <c r="Y21" s="7">
        <f>1-X21-W21</f>
        <v>0.64741330516127282</v>
      </c>
      <c r="Z21" s="3"/>
      <c r="AA21" s="3"/>
      <c r="AB21" s="3"/>
      <c r="AC21" s="3"/>
      <c r="AD21" s="12"/>
      <c r="AG21" s="12"/>
      <c r="AH21" s="12"/>
      <c r="AI21" s="12"/>
      <c r="AN21" s="9"/>
    </row>
    <row r="22" spans="1:40" x14ac:dyDescent="0.3">
      <c r="B22" s="162" t="s">
        <v>15</v>
      </c>
      <c r="C22" s="4">
        <v>0.56630000000000003</v>
      </c>
      <c r="D22" s="4">
        <v>2.06</v>
      </c>
      <c r="E22" s="4">
        <v>1.3472</v>
      </c>
      <c r="F22" s="4">
        <v>1.04E-2</v>
      </c>
      <c r="G22" s="4">
        <v>2.0146999999999999</v>
      </c>
      <c r="H22" s="4">
        <v>0.1</v>
      </c>
      <c r="I22" s="4">
        <v>0.51800000000000002</v>
      </c>
      <c r="J22" s="3"/>
      <c r="K22" s="3"/>
      <c r="L22" s="163" t="s">
        <v>15</v>
      </c>
      <c r="M22" s="41">
        <f t="shared" si="5"/>
        <v>50.487329434697855</v>
      </c>
      <c r="N22" s="4">
        <f>(M22*G22/H22)/1000000/F22</f>
        <v>9.7804637127005545E-2</v>
      </c>
      <c r="O22" s="4">
        <f>N22*D22/C22</f>
        <v>0.35577883185878761</v>
      </c>
      <c r="P22" s="4">
        <f>N22*0.1478+1.333</f>
        <v>1.3474555253673715</v>
      </c>
      <c r="Q22" s="41">
        <f t="shared" si="6"/>
        <v>1.3327444746326285</v>
      </c>
      <c r="R22" s="41">
        <f t="shared" si="7"/>
        <v>-1.857015751246372E-3</v>
      </c>
      <c r="S22" s="4">
        <f>R22*D22/C22</f>
        <v>-6.7551694288672543E-3</v>
      </c>
      <c r="T22" s="3"/>
      <c r="U22" s="3"/>
      <c r="V22" s="221" t="s">
        <v>15</v>
      </c>
      <c r="W22" s="7">
        <f>O22</f>
        <v>0.35577883185878761</v>
      </c>
      <c r="X22" s="7">
        <f>S22</f>
        <v>-6.7551694288672543E-3</v>
      </c>
      <c r="Y22" s="7">
        <f>1-X22-W22</f>
        <v>0.65097633757007967</v>
      </c>
      <c r="Z22" s="163" t="s">
        <v>69</v>
      </c>
      <c r="AA22" s="163" t="s">
        <v>8</v>
      </c>
      <c r="AB22" s="3"/>
      <c r="AC22" s="3"/>
      <c r="AD22" s="12"/>
      <c r="AG22" s="12"/>
      <c r="AH22" s="12"/>
      <c r="AI22" s="12"/>
      <c r="AN22" s="9"/>
    </row>
    <row r="23" spans="1:40" x14ac:dyDescent="0.3">
      <c r="B23" s="162" t="s">
        <v>22</v>
      </c>
      <c r="C23" s="4">
        <f>AVERAGE(C20:C22)</f>
        <v>0.56653333333333344</v>
      </c>
      <c r="D23" s="4">
        <f>C23+1.5</f>
        <v>2.0665333333333336</v>
      </c>
      <c r="E23" s="4">
        <f>AVERAGE(E20:E22)</f>
        <v>1.3472333333333333</v>
      </c>
      <c r="F23" s="4">
        <f>AVERAGE(F20:F22)</f>
        <v>1.0433333333333334E-2</v>
      </c>
      <c r="G23" s="4">
        <f>AVERAGE(G20:G22)</f>
        <v>2.0156666666666663</v>
      </c>
      <c r="H23" s="4">
        <f>AVERAGE(H20:H22)</f>
        <v>0.10000000000000002</v>
      </c>
      <c r="I23" s="4">
        <f>AVERAGE(I20:I22)</f>
        <v>0.50866666666666671</v>
      </c>
      <c r="J23" s="3"/>
      <c r="K23" s="3"/>
      <c r="L23" s="163" t="s">
        <v>22</v>
      </c>
      <c r="M23" s="4">
        <f>AVERAGE(M20:M22)</f>
        <v>49.577647823261863</v>
      </c>
      <c r="N23" s="4">
        <f>AVERAGE(N20:N22)</f>
        <v>9.5789124639709414E-2</v>
      </c>
      <c r="O23" s="4">
        <f>AVERAGE(O20:O22)</f>
        <v>0.34825313143033321</v>
      </c>
      <c r="P23" s="4">
        <f>AVERAGE(P20:P22)</f>
        <v>1.3471576326217491</v>
      </c>
      <c r="Q23" s="4">
        <f>AVERAGE(Q20:Q22)</f>
        <v>1.3330757007115841</v>
      </c>
      <c r="R23" s="4">
        <f>(Q23-1.333)/0.1358</f>
        <v>5.5744264789496924E-4</v>
      </c>
      <c r="S23" s="70">
        <f>AVERAGE(S20,S21)</f>
        <v>6.3641381012883224E-3</v>
      </c>
      <c r="T23" s="3"/>
      <c r="U23" s="3"/>
      <c r="V23" s="221" t="s">
        <v>22</v>
      </c>
      <c r="W23" s="7">
        <f>AVERAGE(W20:W22)</f>
        <v>0.34825313143033321</v>
      </c>
      <c r="X23" s="7">
        <f>AVERAGE(X20:X22)</f>
        <v>1.9910355912364634E-3</v>
      </c>
      <c r="Y23" s="7">
        <f>AVERAGE(Y20:Y22)</f>
        <v>0.64975583297843031</v>
      </c>
      <c r="Z23" s="41">
        <f>C23/0.5</f>
        <v>1.1330666666666669</v>
      </c>
      <c r="AA23" s="41">
        <f>C24/0.5</f>
        <v>3.1262330900515556E-3</v>
      </c>
      <c r="AB23" s="3"/>
      <c r="AC23" s="3"/>
      <c r="AD23" s="12"/>
      <c r="AG23" s="12"/>
      <c r="AH23" s="12"/>
      <c r="AI23" s="12"/>
      <c r="AN23" s="9"/>
    </row>
    <row r="24" spans="1:40" x14ac:dyDescent="0.3">
      <c r="B24" s="162" t="s">
        <v>8</v>
      </c>
      <c r="C24" s="4">
        <f t="shared" ref="C24:I24" si="8">_xlfn.STDEV.S(C20:C22)</f>
        <v>1.5631165450257778E-3</v>
      </c>
      <c r="D24" s="4">
        <f t="shared" si="8"/>
        <v>1.0016652800877966E-3</v>
      </c>
      <c r="E24" s="4">
        <f t="shared" si="8"/>
        <v>5.7735026918956222E-5</v>
      </c>
      <c r="F24" s="4">
        <f t="shared" si="8"/>
        <v>5.7735026918963229E-5</v>
      </c>
      <c r="G24" s="4">
        <f t="shared" si="8"/>
        <v>1.1930353445448779E-3</v>
      </c>
      <c r="H24" s="4">
        <f t="shared" si="8"/>
        <v>1.6996749443881478E-17</v>
      </c>
      <c r="I24" s="4">
        <f t="shared" si="8"/>
        <v>9.5043849529221763E-3</v>
      </c>
      <c r="J24" s="3"/>
      <c r="K24" s="3"/>
      <c r="L24" s="163" t="s">
        <v>8</v>
      </c>
      <c r="M24" s="4">
        <f t="shared" ref="M24:R24" si="9">_xlfn.STDEV.S(M20:M22)</f>
        <v>0.92635330925167492</v>
      </c>
      <c r="N24" s="4">
        <f t="shared" si="9"/>
        <v>2.2587921993508482E-3</v>
      </c>
      <c r="O24" s="4">
        <f t="shared" si="9"/>
        <v>8.8546685314434288E-3</v>
      </c>
      <c r="P24" s="4">
        <f t="shared" si="9"/>
        <v>3.3384948706405992E-4</v>
      </c>
      <c r="Q24" s="4">
        <f t="shared" si="9"/>
        <v>3.2938386848193262E-4</v>
      </c>
      <c r="R24" s="4">
        <f t="shared" si="9"/>
        <v>2.3937781139675338E-3</v>
      </c>
      <c r="S24" s="4">
        <f>_xlfn.STDEV.S(S21:S22)</f>
        <v>6.2632574182728681E-3</v>
      </c>
      <c r="T24" s="3"/>
      <c r="U24" s="3"/>
      <c r="V24" s="221" t="s">
        <v>8</v>
      </c>
      <c r="W24" s="7">
        <f>_xlfn.STDEV.S(W20:W21)</f>
        <v>8.4767953375795967E-3</v>
      </c>
      <c r="X24" s="7">
        <f>_xlfn.STDEV.S(X20:X21)</f>
        <v>6.0269878015437525E-3</v>
      </c>
      <c r="Y24" s="7">
        <f>_xlfn.STDEV.S(Y20:Y21)</f>
        <v>2.4498075360357917E-3</v>
      </c>
      <c r="Z24" s="41">
        <f>C24/0.5</f>
        <v>3.1262330900515556E-3</v>
      </c>
      <c r="AA24" s="4"/>
      <c r="AB24" s="3"/>
      <c r="AC24" s="3"/>
      <c r="AD24" s="12"/>
      <c r="AG24" s="8"/>
      <c r="AH24" s="8"/>
      <c r="AI24" s="12"/>
      <c r="AN24" s="9"/>
    </row>
    <row r="25" spans="1:40" x14ac:dyDescent="0.3">
      <c r="B25" s="1"/>
      <c r="C25" s="13"/>
      <c r="D25" s="13"/>
      <c r="E25" s="13"/>
      <c r="F25" s="13"/>
      <c r="G25" s="13"/>
      <c r="H25" s="13"/>
      <c r="I25" s="13"/>
      <c r="J25" s="3"/>
      <c r="K25" s="3"/>
      <c r="L25" s="13"/>
      <c r="M25" s="13"/>
      <c r="N25" s="13"/>
      <c r="O25" s="13"/>
      <c r="P25" s="13"/>
      <c r="Q25" s="13"/>
      <c r="R25" s="13"/>
      <c r="S25" s="13"/>
      <c r="T25" s="3"/>
      <c r="U25" s="3"/>
      <c r="V25" s="60"/>
      <c r="W25" s="60"/>
      <c r="X25" s="60"/>
      <c r="Y25" s="60"/>
      <c r="Z25" s="3"/>
      <c r="AA25" s="3"/>
      <c r="AB25" s="3"/>
      <c r="AC25" s="3"/>
      <c r="AD25" s="12"/>
      <c r="AG25" s="12"/>
      <c r="AH25" s="12"/>
      <c r="AI25" s="12"/>
      <c r="AN25" s="9"/>
    </row>
    <row r="26" spans="1:40" x14ac:dyDescent="0.3">
      <c r="C26" s="3"/>
      <c r="D26" s="3"/>
      <c r="E26" s="3"/>
      <c r="F26" s="3"/>
      <c r="G26" s="3"/>
      <c r="H26" s="3"/>
      <c r="I26" s="3"/>
      <c r="J26" s="3"/>
      <c r="K26" s="3"/>
      <c r="L26" s="3"/>
      <c r="M26" s="3"/>
      <c r="N26" s="3"/>
      <c r="O26" s="3"/>
      <c r="P26" s="3"/>
      <c r="Q26" s="3"/>
      <c r="R26" s="3"/>
      <c r="S26" s="3"/>
      <c r="T26" s="3"/>
      <c r="U26" s="3"/>
      <c r="V26" s="83"/>
      <c r="W26" s="83"/>
      <c r="X26" s="83"/>
      <c r="Y26" s="83"/>
      <c r="Z26" s="3"/>
      <c r="AA26" s="3"/>
      <c r="AB26" s="3"/>
      <c r="AC26" s="3"/>
      <c r="AD26" s="12"/>
    </row>
    <row r="27" spans="1:40" x14ac:dyDescent="0.3">
      <c r="A27" s="215" t="s">
        <v>46</v>
      </c>
      <c r="C27" s="3"/>
      <c r="D27" s="3"/>
      <c r="E27" s="3"/>
      <c r="F27" s="3"/>
      <c r="G27" s="3"/>
      <c r="H27" s="3"/>
      <c r="I27" s="3"/>
      <c r="J27" s="3"/>
      <c r="K27" s="3"/>
      <c r="L27" s="3"/>
      <c r="M27" s="3"/>
      <c r="N27" s="3"/>
      <c r="O27" s="3"/>
      <c r="P27" s="3"/>
      <c r="Q27" s="3"/>
      <c r="R27" s="3"/>
      <c r="S27" s="3"/>
      <c r="T27" s="3"/>
      <c r="U27" s="3"/>
      <c r="V27" s="83"/>
      <c r="W27" s="83">
        <f>W14</f>
        <v>0.14800253819463519</v>
      </c>
      <c r="X27" s="83">
        <f>X14</f>
        <v>9.7168578571095635E-2</v>
      </c>
      <c r="Y27" s="83"/>
      <c r="Z27" s="3"/>
      <c r="AA27" s="3"/>
      <c r="AB27" s="3"/>
      <c r="AC27" s="203"/>
      <c r="AD27" s="8"/>
      <c r="AH27" s="9"/>
    </row>
    <row r="28" spans="1:40" x14ac:dyDescent="0.3">
      <c r="B28" s="162"/>
      <c r="C28" s="304" t="s">
        <v>19</v>
      </c>
      <c r="D28" s="304"/>
      <c r="E28" s="304"/>
      <c r="F28" s="204"/>
      <c r="G28" s="129"/>
      <c r="H28" s="129"/>
      <c r="I28" s="163"/>
      <c r="J28" s="304" t="s">
        <v>20</v>
      </c>
      <c r="K28" s="304"/>
      <c r="L28" s="163"/>
      <c r="M28" s="3"/>
      <c r="N28" s="3"/>
      <c r="O28" s="3"/>
      <c r="P28" s="3"/>
      <c r="Q28" s="3"/>
      <c r="R28" s="3"/>
      <c r="S28" s="3"/>
      <c r="T28" s="3"/>
      <c r="U28" s="3"/>
      <c r="V28" s="83"/>
      <c r="W28" s="83">
        <f>W23</f>
        <v>0.34825313143033321</v>
      </c>
      <c r="X28" s="83">
        <f>X23</f>
        <v>1.9910355912364634E-3</v>
      </c>
      <c r="Y28" s="83"/>
      <c r="Z28" s="3"/>
      <c r="AA28" s="3"/>
      <c r="AB28" s="3"/>
      <c r="AC28" s="203"/>
      <c r="AD28" s="8"/>
      <c r="AH28" s="9"/>
    </row>
    <row r="29" spans="1:40" x14ac:dyDescent="0.3">
      <c r="B29" s="162" t="s">
        <v>12</v>
      </c>
      <c r="C29" s="163" t="s">
        <v>49</v>
      </c>
      <c r="D29" s="163" t="s">
        <v>40</v>
      </c>
      <c r="E29" s="163" t="s">
        <v>21</v>
      </c>
      <c r="F29" s="3"/>
      <c r="G29" s="3"/>
      <c r="H29" s="3"/>
      <c r="I29" s="163" t="s">
        <v>12</v>
      </c>
      <c r="J29" s="7" t="s">
        <v>17</v>
      </c>
      <c r="K29" s="7" t="s">
        <v>18</v>
      </c>
      <c r="L29" s="43" t="s">
        <v>44</v>
      </c>
      <c r="M29" s="3"/>
      <c r="N29" s="3"/>
      <c r="O29" s="3"/>
      <c r="P29" s="3"/>
      <c r="Q29" s="3"/>
      <c r="R29" s="3"/>
      <c r="S29" s="3"/>
      <c r="T29" s="3"/>
      <c r="U29" s="3"/>
      <c r="V29" s="83"/>
      <c r="W29" s="83">
        <f>J7</f>
        <v>0.2543186180422265</v>
      </c>
      <c r="X29" s="83">
        <f>K7</f>
        <v>4.894433781190019E-2</v>
      </c>
      <c r="Y29" s="83"/>
      <c r="Z29" s="3"/>
      <c r="AA29" s="3"/>
      <c r="AB29" s="3"/>
      <c r="AC29" s="203"/>
      <c r="AD29" s="8"/>
      <c r="AH29" s="9"/>
      <c r="AM29" s="9"/>
    </row>
    <row r="30" spans="1:40" x14ac:dyDescent="0.3">
      <c r="B30" s="162" t="s">
        <v>13</v>
      </c>
      <c r="C30" s="4">
        <v>5.25</v>
      </c>
      <c r="D30" s="4">
        <v>5.27</v>
      </c>
      <c r="E30" s="4">
        <f>SUM(C30:D30)</f>
        <v>10.52</v>
      </c>
      <c r="F30" s="3"/>
      <c r="G30" s="3"/>
      <c r="H30" s="3"/>
      <c r="I30" s="163" t="s">
        <v>13</v>
      </c>
      <c r="J30" s="7">
        <f>C30*0.5/E30</f>
        <v>0.24952471482889735</v>
      </c>
      <c r="K30" s="7">
        <f>D30*0.2/E30</f>
        <v>0.10019011406844107</v>
      </c>
      <c r="L30" s="7">
        <f>1-K30-J30</f>
        <v>0.6502851711026616</v>
      </c>
      <c r="M30" s="3"/>
      <c r="N30" s="3"/>
      <c r="O30" s="3"/>
      <c r="P30" s="3"/>
      <c r="Q30" s="3"/>
      <c r="R30" s="3"/>
      <c r="S30" s="3"/>
      <c r="T30" s="3"/>
      <c r="U30" s="3"/>
      <c r="V30" s="207" t="s">
        <v>12</v>
      </c>
      <c r="W30" s="207" t="s">
        <v>17</v>
      </c>
      <c r="X30" s="207" t="s">
        <v>18</v>
      </c>
      <c r="Y30" s="207" t="s">
        <v>44</v>
      </c>
      <c r="Z30" s="3"/>
      <c r="AA30" s="3"/>
      <c r="AB30" s="3"/>
      <c r="AC30" s="3"/>
      <c r="AH30" s="9"/>
      <c r="AM30" s="9"/>
    </row>
    <row r="31" spans="1:40" x14ac:dyDescent="0.3">
      <c r="B31" s="162"/>
      <c r="C31" s="4"/>
      <c r="D31" s="4"/>
      <c r="E31" s="4"/>
      <c r="F31" s="3"/>
      <c r="G31" s="3"/>
      <c r="H31" s="3"/>
      <c r="I31" s="163"/>
      <c r="J31" s="7"/>
      <c r="K31" s="7"/>
      <c r="L31" s="7"/>
      <c r="M31" s="3"/>
      <c r="N31" s="3"/>
      <c r="O31" s="3"/>
      <c r="P31" s="3"/>
      <c r="Q31" s="3"/>
      <c r="R31" s="3"/>
      <c r="S31" s="3"/>
      <c r="T31" s="3"/>
      <c r="U31" s="3"/>
      <c r="V31" s="207" t="s">
        <v>13</v>
      </c>
      <c r="W31" s="207">
        <f>J33</f>
        <v>0.24952471482889735</v>
      </c>
      <c r="X31" s="207">
        <f>K33</f>
        <v>0.10019011406844107</v>
      </c>
      <c r="Y31" s="207">
        <f>L33</f>
        <v>0.6502851711026616</v>
      </c>
      <c r="Z31" s="3"/>
      <c r="AA31" s="3"/>
      <c r="AB31" s="3"/>
      <c r="AC31" s="3"/>
      <c r="AM31" s="9"/>
    </row>
    <row r="32" spans="1:40" x14ac:dyDescent="0.3">
      <c r="B32" s="162"/>
      <c r="C32" s="4"/>
      <c r="D32" s="4"/>
      <c r="E32" s="4"/>
      <c r="F32" s="3"/>
      <c r="G32" s="3"/>
      <c r="H32" s="3"/>
      <c r="I32" s="163"/>
      <c r="J32" s="7"/>
      <c r="K32" s="7"/>
      <c r="L32" s="7"/>
      <c r="M32" s="3"/>
      <c r="N32" s="3"/>
      <c r="O32" s="3"/>
      <c r="P32" s="3" t="s">
        <v>1</v>
      </c>
      <c r="Q32" s="3" t="s">
        <v>42</v>
      </c>
      <c r="R32" s="3"/>
      <c r="S32" s="3"/>
      <c r="T32" s="3"/>
      <c r="U32" s="3"/>
      <c r="V32" s="207" t="s">
        <v>53</v>
      </c>
      <c r="W32" s="207">
        <f>W40</f>
        <v>0.12424210937324466</v>
      </c>
      <c r="X32" s="207">
        <f>X40</f>
        <v>0.16134175197834308</v>
      </c>
      <c r="Y32" s="207">
        <f>Y40</f>
        <v>0.71441613864841236</v>
      </c>
      <c r="Z32" s="3"/>
      <c r="AA32" s="3"/>
      <c r="AB32" s="3"/>
      <c r="AC32" s="3"/>
      <c r="AM32" s="9"/>
    </row>
    <row r="33" spans="2:32" x14ac:dyDescent="0.3">
      <c r="C33" s="3"/>
      <c r="D33" s="3"/>
      <c r="E33" s="3"/>
      <c r="F33" s="3"/>
      <c r="G33" s="3"/>
      <c r="H33" s="3"/>
      <c r="I33" s="163" t="s">
        <v>22</v>
      </c>
      <c r="J33" s="7">
        <f>AVERAGE(J30:J32)</f>
        <v>0.24952471482889735</v>
      </c>
      <c r="K33" s="7">
        <f>AVERAGE(K30:K32)</f>
        <v>0.10019011406844107</v>
      </c>
      <c r="L33" s="7">
        <f>AVERAGE(L30:L32)</f>
        <v>0.6502851711026616</v>
      </c>
      <c r="M33" s="3"/>
      <c r="N33" s="3"/>
      <c r="O33" s="3"/>
      <c r="P33" s="3" t="s">
        <v>0</v>
      </c>
      <c r="Q33" s="3" t="s">
        <v>60</v>
      </c>
      <c r="R33" s="3"/>
      <c r="S33" s="3"/>
      <c r="T33" s="3"/>
      <c r="U33" s="3"/>
      <c r="V33" s="207" t="s">
        <v>14</v>
      </c>
      <c r="W33" s="207">
        <f>W49</f>
        <v>0.43907059403520421</v>
      </c>
      <c r="X33" s="207">
        <v>1E-3</v>
      </c>
      <c r="Y33" s="207">
        <f>Y49</f>
        <v>0.55917693210282249</v>
      </c>
      <c r="Z33" s="3"/>
      <c r="AA33" s="3"/>
      <c r="AB33" s="3"/>
      <c r="AC33" s="3"/>
    </row>
    <row r="34" spans="2:32" x14ac:dyDescent="0.3">
      <c r="B34" t="s">
        <v>31</v>
      </c>
      <c r="C34" s="3"/>
      <c r="D34" s="3"/>
      <c r="E34" s="3"/>
      <c r="F34" s="3"/>
      <c r="G34" s="3"/>
      <c r="H34" s="3"/>
      <c r="I34" s="163" t="s">
        <v>8</v>
      </c>
      <c r="J34" s="7" t="e">
        <f>_xlfn.STDEV.S(J30:J32)</f>
        <v>#DIV/0!</v>
      </c>
      <c r="K34" s="7" t="e">
        <f>_xlfn.STDEV.S(K30:K32)</f>
        <v>#DIV/0!</v>
      </c>
      <c r="L34" s="7" t="e">
        <f>_xlfn.STDEV.S(L30:L32)</f>
        <v>#DIV/0!</v>
      </c>
      <c r="M34" s="3"/>
      <c r="N34" s="3"/>
      <c r="O34" s="3"/>
      <c r="P34" s="3"/>
      <c r="Q34" s="3"/>
      <c r="R34" s="3"/>
      <c r="S34" s="3"/>
      <c r="T34" s="3"/>
      <c r="U34" s="3"/>
      <c r="V34" s="83"/>
      <c r="W34" s="83"/>
      <c r="X34" s="83"/>
      <c r="Y34" s="83"/>
      <c r="Z34" s="3"/>
      <c r="AA34" s="3"/>
      <c r="AB34" s="3"/>
      <c r="AC34" s="3"/>
      <c r="AD34" s="8"/>
      <c r="AE34" s="8"/>
      <c r="AF34" s="8"/>
    </row>
    <row r="35" spans="2:32" x14ac:dyDescent="0.3">
      <c r="B35">
        <v>1.5</v>
      </c>
      <c r="C35" s="3"/>
      <c r="D35" s="3"/>
      <c r="E35" s="3"/>
      <c r="F35" s="3"/>
      <c r="G35" s="3"/>
      <c r="H35" s="3"/>
      <c r="I35" s="3"/>
      <c r="J35" s="83"/>
      <c r="K35" s="83"/>
      <c r="L35" s="83"/>
      <c r="M35" s="3"/>
      <c r="N35" s="3"/>
      <c r="O35" s="3"/>
      <c r="P35" s="3"/>
      <c r="Q35" s="3"/>
      <c r="R35" s="3"/>
      <c r="S35" s="3"/>
      <c r="T35" s="3"/>
      <c r="U35" s="3"/>
      <c r="V35" s="218" t="s">
        <v>20</v>
      </c>
      <c r="W35" s="219"/>
      <c r="X35" s="219"/>
      <c r="Y35" s="220"/>
      <c r="Z35" s="3"/>
      <c r="AA35" s="3"/>
      <c r="AB35" s="3"/>
      <c r="AC35" s="3"/>
      <c r="AD35" s="8"/>
      <c r="AE35" s="8"/>
      <c r="AF35" s="8"/>
    </row>
    <row r="36" spans="2:32" x14ac:dyDescent="0.3">
      <c r="B36" s="162" t="s">
        <v>10</v>
      </c>
      <c r="C36" s="163" t="s">
        <v>23</v>
      </c>
      <c r="D36" s="163" t="s">
        <v>32</v>
      </c>
      <c r="E36" s="163" t="s">
        <v>24</v>
      </c>
      <c r="F36" s="163" t="s">
        <v>33</v>
      </c>
      <c r="G36" s="163" t="s">
        <v>28</v>
      </c>
      <c r="H36" s="163" t="s">
        <v>27</v>
      </c>
      <c r="I36" s="163" t="s">
        <v>26</v>
      </c>
      <c r="J36" s="3"/>
      <c r="K36" s="3"/>
      <c r="L36" s="163" t="s">
        <v>10</v>
      </c>
      <c r="M36" s="163" t="s">
        <v>30</v>
      </c>
      <c r="N36" s="163" t="s">
        <v>36</v>
      </c>
      <c r="O36" s="163" t="s">
        <v>35</v>
      </c>
      <c r="P36" s="163" t="s">
        <v>37</v>
      </c>
      <c r="Q36" s="163" t="s">
        <v>38</v>
      </c>
      <c r="R36" s="163" t="s">
        <v>39</v>
      </c>
      <c r="S36" s="163" t="s">
        <v>47</v>
      </c>
      <c r="T36" s="3"/>
      <c r="U36" s="3"/>
      <c r="V36" s="221" t="s">
        <v>10</v>
      </c>
      <c r="W36" s="221" t="s">
        <v>17</v>
      </c>
      <c r="X36" s="221" t="s">
        <v>18</v>
      </c>
      <c r="Y36" s="221" t="s">
        <v>44</v>
      </c>
      <c r="Z36" s="3"/>
      <c r="AA36" s="3"/>
      <c r="AB36" s="3"/>
      <c r="AC36" s="3"/>
      <c r="AD36" s="8"/>
      <c r="AE36" s="8"/>
      <c r="AF36" s="8"/>
    </row>
    <row r="37" spans="2:32" x14ac:dyDescent="0.3">
      <c r="B37" s="162" t="s">
        <v>13</v>
      </c>
      <c r="C37" s="4">
        <v>0.53500000000000003</v>
      </c>
      <c r="D37" s="4">
        <v>2.0291999999999999</v>
      </c>
      <c r="E37" s="4">
        <v>1.3436999999999999</v>
      </c>
      <c r="F37" s="4">
        <v>1.03E-2</v>
      </c>
      <c r="G37" s="4">
        <v>2.0114999999999998</v>
      </c>
      <c r="H37" s="4">
        <v>0.1</v>
      </c>
      <c r="I37" s="4">
        <v>0.16900000000000001</v>
      </c>
      <c r="J37" s="3"/>
      <c r="K37" s="3"/>
      <c r="L37" s="163" t="s">
        <v>13</v>
      </c>
      <c r="M37" s="41">
        <f>I37/0.01026</f>
        <v>16.471734892787527</v>
      </c>
      <c r="N37" s="4">
        <f>(M37*G37/H37)/1000000/F37</f>
        <v>3.2167858967807876E-2</v>
      </c>
      <c r="O37" s="4">
        <f>N37*D37/C37</f>
        <v>0.1220093820887397</v>
      </c>
      <c r="P37" s="4">
        <f>N37*0.1478+1.333</f>
        <v>1.3377544095554419</v>
      </c>
      <c r="Q37" s="41">
        <f>E37-(P37-1.333)</f>
        <v>1.338945590444558</v>
      </c>
      <c r="R37" s="41">
        <f>(Q37-1.333)/0.1376</f>
        <v>4.3209232881962226E-2</v>
      </c>
      <c r="S37" s="4">
        <f>R37*D37/C37</f>
        <v>0.16388817825061258</v>
      </c>
      <c r="T37" s="3"/>
      <c r="U37" s="3"/>
      <c r="V37" s="221" t="s">
        <v>13</v>
      </c>
      <c r="W37" s="7">
        <f>O37</f>
        <v>0.1220093820887397</v>
      </c>
      <c r="X37" s="7">
        <f>S37</f>
        <v>0.16388817825061258</v>
      </c>
      <c r="Y37" s="7">
        <f>1-X37-W37</f>
        <v>0.71410243966064779</v>
      </c>
      <c r="Z37" s="3"/>
      <c r="AA37" s="3"/>
      <c r="AB37" s="3"/>
      <c r="AC37" s="3"/>
    </row>
    <row r="38" spans="2:32" x14ac:dyDescent="0.3">
      <c r="B38" s="162" t="s">
        <v>14</v>
      </c>
      <c r="C38" s="4">
        <v>0.53480000000000005</v>
      </c>
      <c r="D38" s="4">
        <v>2.0308999999999999</v>
      </c>
      <c r="E38" s="4">
        <v>1.3436999999999999</v>
      </c>
      <c r="F38" s="4">
        <v>1.0200000000000001E-2</v>
      </c>
      <c r="G38" s="4">
        <v>2.0121000000000002</v>
      </c>
      <c r="H38" s="4">
        <v>0.1</v>
      </c>
      <c r="I38" s="4">
        <v>0.16900000000000001</v>
      </c>
      <c r="J38" s="3"/>
      <c r="K38" s="3"/>
      <c r="L38" s="163" t="s">
        <v>14</v>
      </c>
      <c r="M38" s="41">
        <f t="shared" ref="M38:M39" si="10">I38/0.01026</f>
        <v>16.471734892787527</v>
      </c>
      <c r="N38" s="4">
        <f>(M38*G38/H38)/1000000/F38</f>
        <v>3.2492919389978218E-2</v>
      </c>
      <c r="O38" s="4">
        <f>N38*D38/C38</f>
        <v>0.12339167911201712</v>
      </c>
      <c r="P38" s="4">
        <f>N38*0.1478+1.333</f>
        <v>1.3378024534858388</v>
      </c>
      <c r="Q38" s="41">
        <f t="shared" ref="Q38:Q39" si="11">E38-(P38-1.333)</f>
        <v>1.338897546514161</v>
      </c>
      <c r="R38" s="41">
        <f t="shared" ref="R38:R39" si="12">(Q38-1.333)/0.1376</f>
        <v>4.2860076411054347E-2</v>
      </c>
      <c r="S38" s="4">
        <f>R38*D38/C38</f>
        <v>0.16276089974422264</v>
      </c>
      <c r="T38" s="3"/>
      <c r="U38" s="3"/>
      <c r="V38" s="221" t="s">
        <v>14</v>
      </c>
      <c r="W38" s="7">
        <f>O38</f>
        <v>0.12339167911201712</v>
      </c>
      <c r="X38" s="7">
        <f>S38</f>
        <v>0.16276089974422264</v>
      </c>
      <c r="Y38" s="7">
        <f>1-X38-W38</f>
        <v>0.71384742114376021</v>
      </c>
      <c r="Z38" s="3"/>
      <c r="AA38" s="3"/>
      <c r="AB38" s="3"/>
      <c r="AC38" s="3"/>
    </row>
    <row r="39" spans="2:32" x14ac:dyDescent="0.3">
      <c r="B39" s="162" t="s">
        <v>15</v>
      </c>
      <c r="C39" s="4">
        <v>0.52990000000000004</v>
      </c>
      <c r="D39" s="4">
        <v>2.0232999999999999</v>
      </c>
      <c r="E39" s="4">
        <v>1.3435999999999999</v>
      </c>
      <c r="F39" s="4">
        <v>1.03E-2</v>
      </c>
      <c r="G39" s="4">
        <v>2.0137</v>
      </c>
      <c r="H39" s="4">
        <v>0.1</v>
      </c>
      <c r="I39" s="4">
        <v>0.17499999999999999</v>
      </c>
      <c r="J39" s="3"/>
      <c r="K39" s="3"/>
      <c r="L39" s="163" t="s">
        <v>15</v>
      </c>
      <c r="M39" s="41">
        <f t="shared" si="10"/>
        <v>17.056530214424949</v>
      </c>
      <c r="N39" s="4">
        <f>(M39*G39/H39)/1000000/F39</f>
        <v>3.3346344556104392E-2</v>
      </c>
      <c r="O39" s="4">
        <f>N39*D39/C39</f>
        <v>0.12732526691897716</v>
      </c>
      <c r="P39" s="4">
        <f>N39*0.1478+1.333</f>
        <v>1.3379285897253921</v>
      </c>
      <c r="Q39" s="41">
        <f t="shared" si="11"/>
        <v>1.3386714102746078</v>
      </c>
      <c r="R39" s="41">
        <f t="shared" si="12"/>
        <v>4.1216644437556862E-2</v>
      </c>
      <c r="S39" s="4">
        <f>R39*D39/C39</f>
        <v>0.15737617794019398</v>
      </c>
      <c r="T39" s="3"/>
      <c r="U39" s="3"/>
      <c r="V39" s="221" t="s">
        <v>15</v>
      </c>
      <c r="W39" s="7">
        <f>O39</f>
        <v>0.12732526691897716</v>
      </c>
      <c r="X39" s="7">
        <f>S39</f>
        <v>0.15737617794019398</v>
      </c>
      <c r="Y39" s="7">
        <f>1-X39-W39</f>
        <v>0.71529855514082885</v>
      </c>
      <c r="Z39" s="163" t="s">
        <v>69</v>
      </c>
      <c r="AA39" s="163" t="s">
        <v>8</v>
      </c>
      <c r="AB39" s="3"/>
      <c r="AC39" s="3"/>
    </row>
    <row r="40" spans="2:32" x14ac:dyDescent="0.3">
      <c r="B40" s="162" t="s">
        <v>22</v>
      </c>
      <c r="C40" s="4">
        <f>AVERAGE(C37:C39)</f>
        <v>0.53323333333333334</v>
      </c>
      <c r="D40" s="4">
        <f>C40+1.5</f>
        <v>2.0332333333333334</v>
      </c>
      <c r="E40" s="4">
        <f>AVERAGE(E37:E39)</f>
        <v>1.3436666666666666</v>
      </c>
      <c r="F40" s="4">
        <f>AVERAGE(F37:F39)</f>
        <v>1.0266666666666667E-2</v>
      </c>
      <c r="G40" s="4">
        <f>AVERAGE(G37:G39)</f>
        <v>2.0124333333333335</v>
      </c>
      <c r="H40" s="4">
        <f>AVERAGE(H37:H39)</f>
        <v>0.10000000000000002</v>
      </c>
      <c r="I40" s="4">
        <f>AVERAGE(I37:I39)</f>
        <v>0.17100000000000001</v>
      </c>
      <c r="J40" s="3"/>
      <c r="K40" s="3"/>
      <c r="L40" s="163" t="s">
        <v>22</v>
      </c>
      <c r="M40" s="4">
        <f>AVERAGE(M37:M39)</f>
        <v>16.666666666666668</v>
      </c>
      <c r="N40" s="4">
        <f>AVERAGE(N37:N39)</f>
        <v>3.2669040971296831E-2</v>
      </c>
      <c r="O40" s="4">
        <f>AVERAGE(O38:O39)</f>
        <v>0.12535847301549713</v>
      </c>
      <c r="P40" s="4">
        <f>AVERAGE(P38:P39)</f>
        <v>1.3378655216056154</v>
      </c>
      <c r="Q40" s="4">
        <f>AVERAGE(Q38:Q39)</f>
        <v>1.3387844783943845</v>
      </c>
      <c r="R40" s="4">
        <f>AVERAGE(R38:R39)</f>
        <v>4.2038360424305601E-2</v>
      </c>
      <c r="S40" s="70">
        <f>AVERAGE(S37,S38)</f>
        <v>0.16332453899741761</v>
      </c>
      <c r="T40" s="13"/>
      <c r="U40" s="3"/>
      <c r="V40" s="221" t="s">
        <v>22</v>
      </c>
      <c r="W40" s="7">
        <f>AVERAGE(W37:W39)</f>
        <v>0.12424210937324466</v>
      </c>
      <c r="X40" s="7">
        <f>AVERAGE(X37:X39)</f>
        <v>0.16134175197834308</v>
      </c>
      <c r="Y40" s="7">
        <f>AVERAGE(Y37:Y39)</f>
        <v>0.71441613864841236</v>
      </c>
      <c r="Z40" s="41">
        <f>C40/0.5</f>
        <v>1.0664666666666667</v>
      </c>
      <c r="AA40" s="41">
        <f>C41/0.5</f>
        <v>5.7769657549039859E-3</v>
      </c>
      <c r="AB40" s="3"/>
      <c r="AC40" s="3"/>
    </row>
    <row r="41" spans="2:32" x14ac:dyDescent="0.3">
      <c r="B41" s="162" t="s">
        <v>8</v>
      </c>
      <c r="C41" s="4">
        <f t="shared" ref="C41:I41" si="13">_xlfn.STDEV.S(C37:C39)</f>
        <v>2.888482877451993E-3</v>
      </c>
      <c r="D41" s="4">
        <f t="shared" si="13"/>
        <v>3.9887341350358487E-3</v>
      </c>
      <c r="E41" s="4">
        <f t="shared" si="13"/>
        <v>5.7735026918956222E-5</v>
      </c>
      <c r="F41" s="4">
        <f t="shared" si="13"/>
        <v>5.7735026918962226E-5</v>
      </c>
      <c r="G41" s="4">
        <f t="shared" si="13"/>
        <v>1.1372481406155225E-3</v>
      </c>
      <c r="H41" s="4">
        <f t="shared" si="13"/>
        <v>1.6996749443881478E-17</v>
      </c>
      <c r="I41" s="4">
        <f t="shared" si="13"/>
        <v>3.4641016151377418E-3</v>
      </c>
      <c r="J41" s="3"/>
      <c r="K41" s="3"/>
      <c r="L41" s="163" t="s">
        <v>8</v>
      </c>
      <c r="M41" s="4">
        <f>_xlfn.STDEV.S(M37:M39)</f>
        <v>0.33763173636819949</v>
      </c>
      <c r="N41" s="4">
        <f>_xlfn.STDEV.S(N37:N39)</f>
        <v>6.086634365643069E-4</v>
      </c>
      <c r="O41" s="4">
        <f>_xlfn.STDEV.S(O38:O39)</f>
        <v>2.7814666126941665E-3</v>
      </c>
      <c r="P41" s="4">
        <f>_xlfn.STDEV.S(P38:P39)</f>
        <v>8.9191790341484512E-5</v>
      </c>
      <c r="Q41" s="4">
        <f>_xlfn.STDEV.S(Q38:Q39)</f>
        <v>1.5990246846013149E-4</v>
      </c>
      <c r="R41" s="4">
        <f>_xlfn.STDEV.S(R38:R39)</f>
        <v>1.1620818928788619E-3</v>
      </c>
      <c r="S41" s="4">
        <f>_xlfn.STDEV.S(S38:S39)</f>
        <v>3.8075733024317241E-3</v>
      </c>
      <c r="T41" s="3"/>
      <c r="U41" s="3"/>
      <c r="V41" s="221" t="s">
        <v>8</v>
      </c>
      <c r="W41" s="7">
        <f>_xlfn.STDEV.S(W37:W39)</f>
        <v>2.7580938352412643E-3</v>
      </c>
      <c r="X41" s="7">
        <f>_xlfn.STDEV.S(X37:X39)</f>
        <v>3.4802330808113577E-3</v>
      </c>
      <c r="Y41" s="7">
        <f>_xlfn.STDEV.S(Y37:Y39)</f>
        <v>7.7475980829896842E-4</v>
      </c>
      <c r="Z41" s="41">
        <f>C41/0.5</f>
        <v>5.7769657549039859E-3</v>
      </c>
      <c r="AA41" s="4"/>
      <c r="AB41" s="3"/>
      <c r="AC41" s="3"/>
    </row>
    <row r="42" spans="2:32" x14ac:dyDescent="0.3">
      <c r="C42" s="3"/>
      <c r="D42" s="3"/>
      <c r="E42" s="3"/>
      <c r="F42" s="3"/>
      <c r="G42" s="3"/>
      <c r="H42" s="3"/>
      <c r="I42" s="3"/>
      <c r="J42" s="3"/>
      <c r="K42" s="3"/>
      <c r="L42" s="3"/>
      <c r="M42" s="3"/>
      <c r="N42" s="3"/>
      <c r="O42" s="3"/>
      <c r="P42" s="3"/>
      <c r="Q42" s="3"/>
      <c r="R42" s="3"/>
      <c r="S42" s="3"/>
      <c r="T42" s="3"/>
      <c r="U42" s="3"/>
      <c r="V42" s="83"/>
      <c r="W42" s="83"/>
      <c r="X42" s="83"/>
      <c r="Y42" s="83"/>
      <c r="Z42" s="3"/>
      <c r="AA42" s="3"/>
      <c r="AB42" s="3"/>
      <c r="AC42" s="3"/>
    </row>
    <row r="43" spans="2:32" x14ac:dyDescent="0.3">
      <c r="C43" s="3"/>
      <c r="D43" s="3"/>
      <c r="E43" s="3"/>
      <c r="F43" s="3"/>
      <c r="G43" s="3"/>
      <c r="H43" s="3"/>
      <c r="I43" s="3"/>
      <c r="J43" s="3"/>
      <c r="K43" s="3"/>
      <c r="L43" s="3"/>
      <c r="M43" s="3"/>
      <c r="N43" s="3"/>
      <c r="O43" s="3"/>
      <c r="P43" s="3"/>
      <c r="Q43" s="3"/>
      <c r="R43" s="3"/>
      <c r="S43" s="3"/>
      <c r="T43" s="3"/>
      <c r="U43" s="3"/>
      <c r="V43" s="83"/>
      <c r="W43" s="83"/>
      <c r="X43" s="83"/>
      <c r="Y43" s="83"/>
      <c r="Z43" s="3"/>
      <c r="AA43" s="3"/>
      <c r="AB43" s="3"/>
      <c r="AC43" s="3"/>
    </row>
    <row r="44" spans="2:32" x14ac:dyDescent="0.3">
      <c r="C44" s="3"/>
      <c r="D44" s="3"/>
      <c r="E44" s="3"/>
      <c r="F44" s="3"/>
      <c r="G44" s="3"/>
      <c r="H44" s="3"/>
      <c r="I44" s="3"/>
      <c r="J44" s="3"/>
      <c r="K44" s="3"/>
      <c r="L44" s="3"/>
      <c r="M44" s="3"/>
      <c r="N44" s="3"/>
      <c r="O44" s="3"/>
      <c r="P44" s="3"/>
      <c r="Q44" s="3"/>
      <c r="R44" s="3"/>
      <c r="S44" s="3"/>
      <c r="T44" s="3"/>
      <c r="U44" s="3"/>
      <c r="V44" s="300" t="s">
        <v>20</v>
      </c>
      <c r="W44" s="301"/>
      <c r="X44" s="301"/>
      <c r="Y44" s="302"/>
      <c r="Z44" s="3"/>
      <c r="AA44" s="3"/>
      <c r="AB44" s="3"/>
      <c r="AC44" s="3"/>
    </row>
    <row r="45" spans="2:32" x14ac:dyDescent="0.3">
      <c r="B45" s="162" t="s">
        <v>11</v>
      </c>
      <c r="C45" s="163" t="s">
        <v>23</v>
      </c>
      <c r="D45" s="163" t="s">
        <v>32</v>
      </c>
      <c r="E45" s="163" t="s">
        <v>24</v>
      </c>
      <c r="F45" s="163" t="s">
        <v>25</v>
      </c>
      <c r="G45" s="163" t="s">
        <v>28</v>
      </c>
      <c r="H45" s="163" t="s">
        <v>27</v>
      </c>
      <c r="I45" s="163" t="s">
        <v>26</v>
      </c>
      <c r="J45" s="3"/>
      <c r="K45" s="3"/>
      <c r="L45" s="163" t="s">
        <v>11</v>
      </c>
      <c r="M45" s="163" t="s">
        <v>30</v>
      </c>
      <c r="N45" s="163" t="s">
        <v>34</v>
      </c>
      <c r="O45" s="163" t="s">
        <v>35</v>
      </c>
      <c r="P45" s="163" t="s">
        <v>37</v>
      </c>
      <c r="Q45" s="163" t="s">
        <v>38</v>
      </c>
      <c r="R45" s="163" t="s">
        <v>39</v>
      </c>
      <c r="S45" s="163" t="s">
        <v>47</v>
      </c>
      <c r="T45" s="3"/>
      <c r="U45" s="3"/>
      <c r="V45" s="221" t="s">
        <v>11</v>
      </c>
      <c r="W45" s="221" t="s">
        <v>17</v>
      </c>
      <c r="X45" s="221" t="s">
        <v>18</v>
      </c>
      <c r="Y45" s="221" t="s">
        <v>44</v>
      </c>
      <c r="Z45" s="3"/>
      <c r="AA45" s="3"/>
      <c r="AB45" s="3"/>
      <c r="AC45" s="3"/>
    </row>
    <row r="46" spans="2:32" x14ac:dyDescent="0.3">
      <c r="B46" s="162" t="s">
        <v>13</v>
      </c>
      <c r="C46" s="4">
        <v>0.58830000000000005</v>
      </c>
      <c r="D46" s="4">
        <f>C46+1.495</f>
        <v>2.0833000000000004</v>
      </c>
      <c r="E46" s="4">
        <v>1.3512999999999999</v>
      </c>
      <c r="F46" s="4">
        <v>1.04E-2</v>
      </c>
      <c r="G46" s="4">
        <v>2.0139</v>
      </c>
      <c r="H46" s="4">
        <v>0.1</v>
      </c>
      <c r="I46" s="4">
        <v>0.67300000000000004</v>
      </c>
      <c r="J46" s="3"/>
      <c r="K46" s="3"/>
      <c r="L46" s="163" t="s">
        <v>13</v>
      </c>
      <c r="M46" s="41">
        <f>I46/0.01026</f>
        <v>65.594541910331387</v>
      </c>
      <c r="N46" s="4">
        <f>(M46*G46/H46)/1000000/F46</f>
        <v>0.12702004610886189</v>
      </c>
      <c r="O46" s="4">
        <f>N46*D46/C46</f>
        <v>0.44980598684105388</v>
      </c>
      <c r="P46" s="4">
        <f>N46*0.1478+1.333</f>
        <v>1.3517735628148897</v>
      </c>
      <c r="Q46" s="41">
        <f>E46-(P46-1.333)</f>
        <v>1.3325264371851102</v>
      </c>
      <c r="R46" s="41">
        <f>(Q46-1.333)/0.1376</f>
        <v>-3.44159022448946E-3</v>
      </c>
      <c r="S46" s="4">
        <f>R46*D46/C46</f>
        <v>-1.2187429737682972E-2</v>
      </c>
      <c r="T46" s="3"/>
      <c r="U46" s="3"/>
      <c r="V46" s="221" t="s">
        <v>13</v>
      </c>
      <c r="W46" s="7">
        <f>O46</f>
        <v>0.44980598684105388</v>
      </c>
      <c r="X46" s="7">
        <f>S46</f>
        <v>-1.2187429737682972E-2</v>
      </c>
      <c r="Y46" s="7">
        <f>1-X46-W46</f>
        <v>0.56238144289662906</v>
      </c>
      <c r="Z46" s="3"/>
      <c r="AA46" s="3"/>
      <c r="AB46" s="3"/>
      <c r="AC46" s="3"/>
    </row>
    <row r="47" spans="2:32" x14ac:dyDescent="0.3">
      <c r="B47" s="162" t="s">
        <v>14</v>
      </c>
      <c r="C47" s="4">
        <v>0.58960000000000001</v>
      </c>
      <c r="D47" s="4">
        <v>2.0859000000000001</v>
      </c>
      <c r="E47" s="4">
        <v>1.3514999999999999</v>
      </c>
      <c r="F47" s="4">
        <v>1.04E-2</v>
      </c>
      <c r="G47" s="4">
        <v>2.0110000000000001</v>
      </c>
      <c r="H47" s="4">
        <v>0.1</v>
      </c>
      <c r="I47" s="4">
        <v>0.67</v>
      </c>
      <c r="J47" s="3"/>
      <c r="K47" s="3"/>
      <c r="L47" s="163" t="s">
        <v>14</v>
      </c>
      <c r="M47" s="41">
        <f t="shared" ref="M47:M48" si="14">I47/0.01026</f>
        <v>65.302144249512679</v>
      </c>
      <c r="N47" s="4">
        <f>(M47*G47/H47)/1000000/F47</f>
        <v>0.12627174239016345</v>
      </c>
      <c r="O47" s="4">
        <f>N47*D47/C47</f>
        <v>0.44672698007401951</v>
      </c>
      <c r="P47" s="4">
        <f>N47*0.1478+1.333</f>
        <v>1.3516629635252662</v>
      </c>
      <c r="Q47" s="41">
        <f t="shared" ref="Q47:Q48" si="15">E47-(P47-1.333)</f>
        <v>1.3328370364747337</v>
      </c>
      <c r="R47" s="41">
        <f t="shared" ref="R47:R48" si="16">(Q47-1.333)/0.1376</f>
        <v>-1.1843279452488035E-3</v>
      </c>
      <c r="S47" s="4">
        <f>R47*D47/C47</f>
        <v>-4.1899417588101744E-3</v>
      </c>
      <c r="T47" s="3"/>
      <c r="U47" s="3"/>
      <c r="V47" s="221" t="s">
        <v>14</v>
      </c>
      <c r="W47" s="7">
        <f>O47</f>
        <v>0.44672698007401951</v>
      </c>
      <c r="X47" s="7">
        <f>S47</f>
        <v>-4.1899417588101744E-3</v>
      </c>
      <c r="Y47" s="7">
        <f>1-X47-W47</f>
        <v>0.55746296168479081</v>
      </c>
      <c r="Z47" s="3"/>
      <c r="AA47" s="3"/>
      <c r="AB47" s="3"/>
      <c r="AC47" s="3"/>
    </row>
    <row r="48" spans="2:32" x14ac:dyDescent="0.3">
      <c r="B48" s="162" t="s">
        <v>15</v>
      </c>
      <c r="C48" s="4">
        <v>0.58799999999999997</v>
      </c>
      <c r="D48" s="4">
        <v>2.0828000000000002</v>
      </c>
      <c r="E48" s="4">
        <v>1.3512999999999999</v>
      </c>
      <c r="F48" s="4">
        <v>1.0200000000000001E-2</v>
      </c>
      <c r="G48" s="4">
        <v>2.0104000000000002</v>
      </c>
      <c r="H48" s="4">
        <v>0.1</v>
      </c>
      <c r="I48" s="4">
        <v>0.63400000000000001</v>
      </c>
      <c r="J48" s="3"/>
      <c r="K48" s="3"/>
      <c r="L48" s="163" t="s">
        <v>15</v>
      </c>
      <c r="M48" s="41">
        <f t="shared" si="14"/>
        <v>61.79337231968811</v>
      </c>
      <c r="N48" s="4">
        <f>(M48*G48/H48)/1000000/F48</f>
        <v>0.1217935252073539</v>
      </c>
      <c r="O48" s="4">
        <f>N48*D48/C48</f>
        <v>0.43141420799638897</v>
      </c>
      <c r="P48" s="4">
        <f>N48*0.1478+1.333</f>
        <v>1.3510010830256469</v>
      </c>
      <c r="Q48" s="41">
        <f t="shared" si="15"/>
        <v>1.333298916974353</v>
      </c>
      <c r="R48" s="41">
        <f t="shared" si="16"/>
        <v>2.1723617322167523E-3</v>
      </c>
      <c r="S48" s="4">
        <f>R48*D48/C48</f>
        <v>7.6948894827568916E-3</v>
      </c>
      <c r="T48" s="3"/>
      <c r="U48" s="3"/>
      <c r="V48" s="221" t="s">
        <v>15</v>
      </c>
      <c r="W48" s="7">
        <f>O48</f>
        <v>0.43141420799638897</v>
      </c>
      <c r="X48" s="7">
        <f>S48</f>
        <v>7.6948894827568916E-3</v>
      </c>
      <c r="Y48" s="7">
        <f>1-X48-W48</f>
        <v>0.56089090252085416</v>
      </c>
      <c r="Z48" s="163" t="s">
        <v>69</v>
      </c>
      <c r="AA48" s="163" t="s">
        <v>8</v>
      </c>
      <c r="AB48" s="203"/>
      <c r="AC48" s="203"/>
    </row>
    <row r="49" spans="1:32" x14ac:dyDescent="0.3">
      <c r="B49" s="162" t="s">
        <v>22</v>
      </c>
      <c r="C49" s="4">
        <f>AVERAGE(C46:C48)</f>
        <v>0.58863333333333345</v>
      </c>
      <c r="D49" s="4">
        <f>C49+1.5</f>
        <v>2.0886333333333336</v>
      </c>
      <c r="E49" s="4">
        <f>AVERAGE(E46:E48)</f>
        <v>1.3513666666666666</v>
      </c>
      <c r="F49" s="4">
        <f>AVERAGE(F46:F48)</f>
        <v>1.0333333333333333E-2</v>
      </c>
      <c r="G49" s="4">
        <f>AVERAGE(G46:G48)</f>
        <v>2.0117666666666669</v>
      </c>
      <c r="H49" s="4">
        <f>AVERAGE(H46:H48)</f>
        <v>0.10000000000000002</v>
      </c>
      <c r="I49" s="4">
        <f>AVERAGE(I46:I48)</f>
        <v>0.65899999999999992</v>
      </c>
      <c r="J49" s="3"/>
      <c r="K49" s="3"/>
      <c r="L49" s="163" t="s">
        <v>22</v>
      </c>
      <c r="M49" s="4">
        <f t="shared" ref="M49:R49" si="17">AVERAGE(M46:M48)</f>
        <v>64.230019493177394</v>
      </c>
      <c r="N49" s="4">
        <f t="shared" si="17"/>
        <v>0.12502843790212639</v>
      </c>
      <c r="O49" s="4">
        <f t="shared" si="17"/>
        <v>0.44264905830382079</v>
      </c>
      <c r="P49" s="4">
        <f t="shared" si="17"/>
        <v>1.351479203121934</v>
      </c>
      <c r="Q49" s="4">
        <f t="shared" si="17"/>
        <v>1.3328874635447323</v>
      </c>
      <c r="R49" s="4">
        <f t="shared" si="17"/>
        <v>-8.1785214584050362E-4</v>
      </c>
      <c r="S49" s="70">
        <f>AVERAGE(S46,S47)</f>
        <v>-8.1886857482465734E-3</v>
      </c>
      <c r="T49" s="3"/>
      <c r="U49" s="3"/>
      <c r="V49" s="221" t="s">
        <v>22</v>
      </c>
      <c r="W49" s="7">
        <f>AVERAGE(W48,W47)</f>
        <v>0.43907059403520421</v>
      </c>
      <c r="X49" s="7">
        <f>AVERAGE(X48,X47)</f>
        <v>1.7524738619733586E-3</v>
      </c>
      <c r="Y49" s="7">
        <f>AVERAGE(Y48,Y47)</f>
        <v>0.55917693210282249</v>
      </c>
      <c r="Z49" s="41">
        <f>C49/0.5</f>
        <v>1.1772666666666669</v>
      </c>
      <c r="AA49" s="41">
        <f>C50/0.5</f>
        <v>1.7009801096230981E-3</v>
      </c>
      <c r="AB49" s="203"/>
      <c r="AC49" s="203"/>
    </row>
    <row r="50" spans="1:32" x14ac:dyDescent="0.3">
      <c r="B50" s="162" t="s">
        <v>8</v>
      </c>
      <c r="C50" s="4">
        <f t="shared" ref="C50:I50" si="18">_xlfn.STDEV.S(C46:C48)</f>
        <v>8.5049005481154904E-4</v>
      </c>
      <c r="D50" s="4">
        <f t="shared" si="18"/>
        <v>1.6643316977092205E-3</v>
      </c>
      <c r="E50" s="4">
        <f t="shared" si="18"/>
        <v>1.1547005383791244E-4</v>
      </c>
      <c r="F50" s="4">
        <f t="shared" si="18"/>
        <v>1.1547005383792445E-4</v>
      </c>
      <c r="G50" s="4">
        <f t="shared" si="18"/>
        <v>1.8717193521821148E-3</v>
      </c>
      <c r="H50" s="4">
        <f t="shared" si="18"/>
        <v>1.6996749443881478E-17</v>
      </c>
      <c r="I50" s="4">
        <f t="shared" si="18"/>
        <v>2.1702534414210724E-2</v>
      </c>
      <c r="J50" s="3"/>
      <c r="K50" s="3"/>
      <c r="L50" s="163" t="s">
        <v>8</v>
      </c>
      <c r="M50" s="4">
        <f t="shared" ref="M50:R50" si="19">_xlfn.STDEV.S(M46:M48)</f>
        <v>2.1152567655176151</v>
      </c>
      <c r="N50" s="4">
        <f t="shared" si="19"/>
        <v>2.8263907587159206E-3</v>
      </c>
      <c r="O50" s="4">
        <f t="shared" si="19"/>
        <v>9.8507089460942616E-3</v>
      </c>
      <c r="P50" s="4">
        <f t="shared" si="19"/>
        <v>4.1774055413817268E-4</v>
      </c>
      <c r="Q50" s="4">
        <f t="shared" si="19"/>
        <v>3.8870094319234922E-4</v>
      </c>
      <c r="R50" s="4">
        <f t="shared" si="19"/>
        <v>2.8248615057583516E-3</v>
      </c>
      <c r="S50" s="4">
        <f>_xlfn.STDEV.S(S47:S48)</f>
        <v>8.4038447641698062E-3</v>
      </c>
      <c r="T50" s="3"/>
      <c r="U50" s="3"/>
      <c r="V50" s="221" t="s">
        <v>8</v>
      </c>
      <c r="W50" s="7">
        <f>_xlfn.STDEV.S(W46:W48)</f>
        <v>9.8507089460942616E-3</v>
      </c>
      <c r="X50" s="7">
        <f>_xlfn.STDEV.S(X46:X48)</f>
        <v>1.0004296120469245E-2</v>
      </c>
      <c r="Y50" s="7">
        <f>_xlfn.STDEV.S(Y46:Y48)</f>
        <v>2.5220344439417573E-3</v>
      </c>
      <c r="Z50" s="41">
        <f>C50/0.5</f>
        <v>1.7009801096230981E-3</v>
      </c>
      <c r="AA50" s="4"/>
      <c r="AB50" s="203"/>
      <c r="AC50" s="203"/>
    </row>
    <row r="51" spans="1:32" x14ac:dyDescent="0.3">
      <c r="C51" s="3"/>
      <c r="D51" s="3"/>
      <c r="E51" s="3"/>
      <c r="F51" s="3"/>
      <c r="G51" s="3"/>
      <c r="H51" s="3"/>
      <c r="I51" s="3"/>
      <c r="J51" s="3"/>
      <c r="K51" s="3"/>
      <c r="L51" s="3"/>
      <c r="M51" s="3"/>
      <c r="N51" s="3"/>
      <c r="O51" s="3"/>
      <c r="P51" s="3"/>
      <c r="Q51" s="3"/>
      <c r="R51" s="3"/>
      <c r="S51" s="3"/>
      <c r="T51" s="3"/>
      <c r="U51" s="3"/>
      <c r="V51" s="83"/>
      <c r="W51" s="83"/>
      <c r="X51" s="83"/>
      <c r="Y51" s="83"/>
      <c r="Z51" s="3"/>
      <c r="AA51" s="3"/>
      <c r="AB51" s="3"/>
      <c r="AC51" s="3"/>
    </row>
    <row r="52" spans="1:32" x14ac:dyDescent="0.3">
      <c r="C52" s="3"/>
      <c r="D52" s="3"/>
      <c r="E52" s="3"/>
      <c r="F52" s="3"/>
      <c r="G52" s="3"/>
      <c r="H52" s="3"/>
      <c r="I52" s="3"/>
      <c r="J52" s="3"/>
      <c r="K52" s="3"/>
      <c r="L52" s="3"/>
      <c r="M52" s="3"/>
      <c r="N52" s="3"/>
      <c r="O52" s="3"/>
      <c r="P52" s="3"/>
      <c r="Q52" s="3"/>
      <c r="R52" s="3"/>
      <c r="S52" s="3"/>
      <c r="T52" s="3"/>
      <c r="U52" s="3"/>
      <c r="V52" s="83"/>
      <c r="W52" s="83"/>
      <c r="X52" s="83"/>
      <c r="Y52" s="83"/>
      <c r="Z52" s="3"/>
      <c r="AA52" s="3"/>
      <c r="AB52" s="3"/>
      <c r="AC52" s="3"/>
    </row>
    <row r="53" spans="1:32" x14ac:dyDescent="0.3">
      <c r="A53" s="215" t="s">
        <v>55</v>
      </c>
      <c r="C53" s="3"/>
      <c r="D53" s="3"/>
      <c r="E53" s="3"/>
      <c r="F53" s="3"/>
      <c r="G53" s="3"/>
      <c r="H53" s="3"/>
      <c r="I53" s="3"/>
      <c r="J53" s="3"/>
      <c r="K53" s="3"/>
      <c r="L53" s="3"/>
      <c r="M53" s="3"/>
      <c r="N53" s="3"/>
      <c r="O53" s="3"/>
      <c r="P53" s="3"/>
      <c r="Q53" s="3"/>
      <c r="R53" s="3"/>
      <c r="S53" s="3"/>
      <c r="T53" s="3"/>
      <c r="U53" s="3"/>
      <c r="V53" s="83"/>
      <c r="W53" s="83">
        <f>W40</f>
        <v>0.12424210937324466</v>
      </c>
      <c r="X53" s="83">
        <f>X40</f>
        <v>0.16134175197834308</v>
      </c>
      <c r="Y53" s="83"/>
      <c r="Z53" s="3"/>
      <c r="AA53" s="3"/>
      <c r="AB53" s="3"/>
      <c r="AC53" s="3"/>
    </row>
    <row r="54" spans="1:32" x14ac:dyDescent="0.3">
      <c r="B54" s="162"/>
      <c r="C54" s="304" t="s">
        <v>19</v>
      </c>
      <c r="D54" s="304"/>
      <c r="E54" s="304"/>
      <c r="F54" s="217"/>
      <c r="G54" s="129"/>
      <c r="H54" s="129"/>
      <c r="I54" s="163"/>
      <c r="J54" s="304" t="s">
        <v>20</v>
      </c>
      <c r="K54" s="304"/>
      <c r="L54" s="163"/>
      <c r="M54" s="3"/>
      <c r="N54" s="3"/>
      <c r="O54" s="3"/>
      <c r="P54" s="3"/>
      <c r="Q54" s="3"/>
      <c r="R54" s="3"/>
      <c r="S54" s="3"/>
      <c r="T54" s="3"/>
      <c r="U54" s="3"/>
      <c r="V54" s="83"/>
      <c r="W54" s="83">
        <f>W49</f>
        <v>0.43907059403520421</v>
      </c>
      <c r="X54" s="83">
        <f>X49</f>
        <v>1.7524738619733586E-3</v>
      </c>
      <c r="Y54" s="83"/>
      <c r="Z54" s="3"/>
      <c r="AA54" s="3"/>
      <c r="AB54" s="3"/>
      <c r="AC54" s="3"/>
    </row>
    <row r="55" spans="1:32" x14ac:dyDescent="0.3">
      <c r="B55" s="162" t="s">
        <v>12</v>
      </c>
      <c r="C55" s="163" t="s">
        <v>51</v>
      </c>
      <c r="D55" s="163" t="s">
        <v>40</v>
      </c>
      <c r="E55" s="163" t="s">
        <v>61</v>
      </c>
      <c r="F55" s="163" t="s">
        <v>21</v>
      </c>
      <c r="G55" s="3"/>
      <c r="H55" s="3"/>
      <c r="I55" s="163" t="s">
        <v>12</v>
      </c>
      <c r="J55" s="163" t="s">
        <v>17</v>
      </c>
      <c r="K55" s="163" t="s">
        <v>18</v>
      </c>
      <c r="L55" s="163" t="s">
        <v>44</v>
      </c>
      <c r="M55" s="3"/>
      <c r="N55" s="3"/>
      <c r="O55" s="3"/>
      <c r="P55" s="3"/>
      <c r="Q55" s="3"/>
      <c r="R55" s="3"/>
      <c r="S55" s="3"/>
      <c r="T55" s="3"/>
      <c r="U55" s="3"/>
      <c r="V55" s="83"/>
      <c r="W55" s="83">
        <f>J33</f>
        <v>0.24952471482889735</v>
      </c>
      <c r="X55" s="83">
        <f>K33</f>
        <v>0.10019011406844107</v>
      </c>
      <c r="Y55" s="83"/>
      <c r="Z55" s="3"/>
      <c r="AA55" s="3"/>
      <c r="AB55" s="3"/>
      <c r="AC55" s="3"/>
    </row>
    <row r="56" spans="1:32" x14ac:dyDescent="0.3">
      <c r="B56" s="162" t="s">
        <v>13</v>
      </c>
      <c r="C56" s="4">
        <v>5.0599999999999996</v>
      </c>
      <c r="D56" s="4">
        <v>2.52</v>
      </c>
      <c r="E56" s="4">
        <v>2.5099999999999998</v>
      </c>
      <c r="F56" s="4">
        <f>SUM(C56:E56)</f>
        <v>10.09</v>
      </c>
      <c r="G56" s="3"/>
      <c r="H56" s="3"/>
      <c r="I56" s="163" t="s">
        <v>13</v>
      </c>
      <c r="J56" s="7">
        <f>C56*0.6/F56</f>
        <v>0.30089197224975217</v>
      </c>
      <c r="K56" s="7">
        <f>(D56*0.2+E56*0.4)/F56</f>
        <v>0.14945490584737364</v>
      </c>
      <c r="L56" s="7">
        <f>1-K56-J56</f>
        <v>0.54965312190287419</v>
      </c>
      <c r="M56" s="3"/>
      <c r="N56" s="3"/>
      <c r="O56" s="3"/>
      <c r="P56" s="3"/>
      <c r="Q56" s="3"/>
      <c r="R56" s="3"/>
      <c r="S56" s="3"/>
      <c r="T56" s="3"/>
      <c r="U56" s="3"/>
      <c r="V56" s="207" t="s">
        <v>12</v>
      </c>
      <c r="W56" s="207" t="s">
        <v>17</v>
      </c>
      <c r="X56" s="207" t="s">
        <v>18</v>
      </c>
      <c r="Y56" s="207" t="s">
        <v>44</v>
      </c>
      <c r="Z56" s="3"/>
      <c r="AA56" s="3"/>
      <c r="AB56" s="3"/>
      <c r="AC56" s="3"/>
    </row>
    <row r="57" spans="1:32" x14ac:dyDescent="0.3">
      <c r="B57" s="162"/>
      <c r="C57" s="4"/>
      <c r="D57" s="4"/>
      <c r="E57" s="4"/>
      <c r="F57" s="4"/>
      <c r="G57" s="3"/>
      <c r="H57" s="3"/>
      <c r="I57" s="163"/>
      <c r="J57" s="7"/>
      <c r="K57" s="7"/>
      <c r="L57" s="7"/>
      <c r="M57" s="3"/>
      <c r="N57" s="3"/>
      <c r="O57" s="3"/>
      <c r="P57" s="3"/>
      <c r="Q57" s="3"/>
      <c r="R57" s="3"/>
      <c r="S57" s="3"/>
      <c r="T57" s="3"/>
      <c r="U57" s="3"/>
      <c r="V57" s="207" t="s">
        <v>13</v>
      </c>
      <c r="W57" s="207">
        <f>J59</f>
        <v>0.30089197224975217</v>
      </c>
      <c r="X57" s="207">
        <f>K59</f>
        <v>0.14945490584737364</v>
      </c>
      <c r="Y57" s="207">
        <f>L59</f>
        <v>0.54965312190287419</v>
      </c>
      <c r="Z57" s="3"/>
      <c r="AA57" s="3"/>
      <c r="AB57" s="3"/>
      <c r="AC57" s="3"/>
    </row>
    <row r="58" spans="1:32" x14ac:dyDescent="0.3">
      <c r="B58" s="162"/>
      <c r="C58" s="4"/>
      <c r="D58" s="4"/>
      <c r="E58" s="4"/>
      <c r="F58" s="4"/>
      <c r="G58" s="3"/>
      <c r="H58" s="3"/>
      <c r="I58" s="163"/>
      <c r="J58" s="7"/>
      <c r="K58" s="7"/>
      <c r="L58" s="7"/>
      <c r="M58" s="3"/>
      <c r="N58" s="3"/>
      <c r="O58" s="3"/>
      <c r="P58" s="3" t="s">
        <v>1</v>
      </c>
      <c r="Q58" s="3" t="s">
        <v>42</v>
      </c>
      <c r="R58" s="3"/>
      <c r="S58" s="3"/>
      <c r="T58" s="3"/>
      <c r="U58" s="3"/>
      <c r="V58" s="207" t="s">
        <v>53</v>
      </c>
      <c r="W58" s="207">
        <f>W66</f>
        <v>0.12944037758466811</v>
      </c>
      <c r="X58" s="207">
        <f>X66</f>
        <v>0.25018011666158002</v>
      </c>
      <c r="Y58" s="207">
        <f>Y66</f>
        <v>0.62037950575375189</v>
      </c>
      <c r="Z58" s="3"/>
      <c r="AA58" s="3"/>
      <c r="AB58" s="3"/>
      <c r="AC58" s="3"/>
    </row>
    <row r="59" spans="1:32" x14ac:dyDescent="0.3">
      <c r="C59" s="3"/>
      <c r="D59" s="3"/>
      <c r="E59" s="3"/>
      <c r="F59" s="3"/>
      <c r="G59" s="3"/>
      <c r="H59" s="3"/>
      <c r="I59" s="163" t="s">
        <v>22</v>
      </c>
      <c r="J59" s="7">
        <f>AVERAGE(J56:J58)</f>
        <v>0.30089197224975217</v>
      </c>
      <c r="K59" s="7">
        <f>AVERAGE(K56:K58)</f>
        <v>0.14945490584737364</v>
      </c>
      <c r="L59" s="7">
        <f>AVERAGE(L56:L58)</f>
        <v>0.54965312190287419</v>
      </c>
      <c r="M59" s="3"/>
      <c r="N59" s="3"/>
      <c r="O59" s="3"/>
      <c r="P59" s="3" t="s">
        <v>0</v>
      </c>
      <c r="Q59" s="3" t="s">
        <v>60</v>
      </c>
      <c r="R59" s="3"/>
      <c r="S59" s="3"/>
      <c r="T59" s="3"/>
      <c r="U59" s="3"/>
      <c r="V59" s="207" t="s">
        <v>14</v>
      </c>
      <c r="W59" s="207">
        <f>W75</f>
        <v>0.56291456354761793</v>
      </c>
      <c r="X59" s="207">
        <v>1E-3</v>
      </c>
      <c r="Y59" s="207">
        <f>Y75</f>
        <v>0.431215250194248</v>
      </c>
      <c r="Z59" s="3"/>
      <c r="AA59" s="3"/>
      <c r="AB59" s="3"/>
      <c r="AC59" s="3"/>
    </row>
    <row r="60" spans="1:32" x14ac:dyDescent="0.3">
      <c r="B60" t="s">
        <v>31</v>
      </c>
      <c r="C60" s="3"/>
      <c r="D60" s="3"/>
      <c r="E60" s="3"/>
      <c r="F60" s="3"/>
      <c r="G60" s="3"/>
      <c r="H60" s="3"/>
      <c r="I60" s="163" t="s">
        <v>8</v>
      </c>
      <c r="J60" s="7" t="e">
        <f>_xlfn.STDEV.S(J56:J58)</f>
        <v>#DIV/0!</v>
      </c>
      <c r="K60" s="7" t="e">
        <f>_xlfn.STDEV.S(K56:K58)</f>
        <v>#DIV/0!</v>
      </c>
      <c r="L60" s="7" t="e">
        <f>_xlfn.STDEV.S(L56:L58)</f>
        <v>#DIV/0!</v>
      </c>
      <c r="M60" s="3"/>
      <c r="N60" s="3"/>
      <c r="O60" s="3"/>
      <c r="P60" s="161"/>
      <c r="Q60" s="3"/>
      <c r="R60" s="3"/>
      <c r="S60" s="3"/>
      <c r="T60" s="3"/>
      <c r="U60" s="3"/>
      <c r="V60" s="83"/>
      <c r="W60" s="83"/>
      <c r="X60" s="83"/>
      <c r="Y60" s="83"/>
      <c r="Z60" s="3"/>
      <c r="AA60" s="3"/>
      <c r="AB60" s="3"/>
      <c r="AC60" s="3"/>
      <c r="AD60" s="8"/>
      <c r="AE60" s="8"/>
      <c r="AF60" s="8"/>
    </row>
    <row r="61" spans="1:32" x14ac:dyDescent="0.3">
      <c r="B61">
        <v>1.5</v>
      </c>
      <c r="C61" s="3"/>
      <c r="D61" s="3"/>
      <c r="E61" s="3"/>
      <c r="F61" s="3"/>
      <c r="G61" s="3"/>
      <c r="H61" s="3"/>
      <c r="I61" s="3"/>
      <c r="J61" s="3"/>
      <c r="K61" s="3"/>
      <c r="L61" s="3"/>
      <c r="M61" s="3"/>
      <c r="N61" s="3"/>
      <c r="O61" s="3"/>
      <c r="P61" s="3"/>
      <c r="Q61" s="3"/>
      <c r="R61" s="3"/>
      <c r="S61" s="3"/>
      <c r="T61" s="3"/>
      <c r="U61" s="3"/>
      <c r="V61" s="218" t="s">
        <v>20</v>
      </c>
      <c r="W61" s="219"/>
      <c r="X61" s="219"/>
      <c r="Y61" s="220"/>
      <c r="Z61" s="3"/>
      <c r="AA61" s="3"/>
      <c r="AB61" s="3"/>
      <c r="AC61" s="3"/>
      <c r="AD61" s="8"/>
      <c r="AE61" s="8"/>
      <c r="AF61" s="8"/>
    </row>
    <row r="62" spans="1:32" x14ac:dyDescent="0.3">
      <c r="B62" s="162" t="s">
        <v>10</v>
      </c>
      <c r="C62" s="163" t="s">
        <v>23</v>
      </c>
      <c r="D62" s="163" t="s">
        <v>32</v>
      </c>
      <c r="E62" s="163" t="s">
        <v>24</v>
      </c>
      <c r="F62" s="163" t="s">
        <v>33</v>
      </c>
      <c r="G62" s="163" t="s">
        <v>28</v>
      </c>
      <c r="H62" s="163" t="s">
        <v>27</v>
      </c>
      <c r="I62" s="163" t="s">
        <v>26</v>
      </c>
      <c r="J62" s="3"/>
      <c r="K62" s="3"/>
      <c r="L62" s="163" t="s">
        <v>10</v>
      </c>
      <c r="M62" s="163" t="s">
        <v>30</v>
      </c>
      <c r="N62" s="163" t="s">
        <v>36</v>
      </c>
      <c r="O62" s="163" t="s">
        <v>35</v>
      </c>
      <c r="P62" s="163" t="s">
        <v>37</v>
      </c>
      <c r="Q62" s="163" t="s">
        <v>38</v>
      </c>
      <c r="R62" s="163" t="s">
        <v>39</v>
      </c>
      <c r="S62" s="163" t="s">
        <v>47</v>
      </c>
      <c r="T62" s="3"/>
      <c r="U62" s="3"/>
      <c r="V62" s="221" t="s">
        <v>10</v>
      </c>
      <c r="W62" s="221" t="s">
        <v>17</v>
      </c>
      <c r="X62" s="221" t="s">
        <v>18</v>
      </c>
      <c r="Y62" s="221" t="s">
        <v>44</v>
      </c>
      <c r="Z62" s="3"/>
      <c r="AA62" s="3"/>
      <c r="AB62" s="3"/>
      <c r="AC62" s="3"/>
      <c r="AD62" s="8"/>
      <c r="AE62" s="8"/>
      <c r="AF62" s="8"/>
    </row>
    <row r="63" spans="1:32" x14ac:dyDescent="0.3">
      <c r="B63" s="162" t="s">
        <v>13</v>
      </c>
      <c r="C63" s="4">
        <v>0.53920000000000001</v>
      </c>
      <c r="D63" s="4">
        <v>2.0323000000000002</v>
      </c>
      <c r="E63" s="4">
        <v>1.3472</v>
      </c>
      <c r="F63" s="4">
        <v>1.0999999999999999E-2</v>
      </c>
      <c r="G63" s="4">
        <v>2.0095999999999998</v>
      </c>
      <c r="H63" s="4">
        <v>0.1</v>
      </c>
      <c r="I63" s="4">
        <v>0.17899999999999999</v>
      </c>
      <c r="J63" s="3"/>
      <c r="K63" s="3"/>
      <c r="L63" s="163" t="s">
        <v>13</v>
      </c>
      <c r="M63" s="41">
        <f>I63/0.01026</f>
        <v>17.446393762183234</v>
      </c>
      <c r="N63" s="4">
        <f>(M63*G63/H63)/1000000/F63</f>
        <v>3.1872975367712206E-2</v>
      </c>
      <c r="O63" s="4">
        <f>N63*D63/C63</f>
        <v>0.12013250712129361</v>
      </c>
      <c r="P63" s="4">
        <f>N63*0.1478+1.333</f>
        <v>1.3377108257593477</v>
      </c>
      <c r="Q63" s="41">
        <f>E63-(P63-1.333)</f>
        <v>1.3424891742406522</v>
      </c>
      <c r="R63" s="41">
        <f>(Q63-1.333)/0.1376</f>
        <v>6.8962022097763157E-2</v>
      </c>
      <c r="S63" s="4">
        <f>R63*D63/C63</f>
        <v>0.25992492119674349</v>
      </c>
      <c r="T63" s="3"/>
      <c r="U63" s="3"/>
      <c r="V63" s="221" t="s">
        <v>13</v>
      </c>
      <c r="W63" s="7">
        <f>O63</f>
        <v>0.12013250712129361</v>
      </c>
      <c r="X63" s="7">
        <f>S63</f>
        <v>0.25992492119674349</v>
      </c>
      <c r="Y63" s="7">
        <f>1-X63-W63</f>
        <v>0.61994257168196287</v>
      </c>
      <c r="Z63" s="3"/>
      <c r="AA63" s="3"/>
      <c r="AB63" s="3"/>
      <c r="AC63" s="3"/>
    </row>
    <row r="64" spans="1:32" x14ac:dyDescent="0.3">
      <c r="B64" s="162" t="s">
        <v>14</v>
      </c>
      <c r="C64" s="4">
        <v>0.54069999999999996</v>
      </c>
      <c r="D64" s="4">
        <v>2.0329000000000002</v>
      </c>
      <c r="E64" s="4">
        <v>1.3472999999999999</v>
      </c>
      <c r="F64" s="4">
        <v>1.06E-2</v>
      </c>
      <c r="G64" s="4">
        <v>2.0110000000000001</v>
      </c>
      <c r="H64" s="4">
        <v>0.1</v>
      </c>
      <c r="I64" s="4">
        <v>0.19500000000000001</v>
      </c>
      <c r="J64" s="3"/>
      <c r="K64" s="3"/>
      <c r="L64" s="163" t="s">
        <v>14</v>
      </c>
      <c r="M64" s="41">
        <f t="shared" ref="M64:M65" si="20">I64/0.01026</f>
        <v>19.005847953216374</v>
      </c>
      <c r="N64" s="4">
        <f>(M64*G64/H64)/1000000/F64</f>
        <v>3.6057320975394457E-2</v>
      </c>
      <c r="O64" s="4">
        <f>N64*D64/C64</f>
        <v>0.13556672426646829</v>
      </c>
      <c r="P64" s="4">
        <f>N64*0.1478+1.333</f>
        <v>1.3383292720401632</v>
      </c>
      <c r="Q64" s="41">
        <f t="shared" ref="Q64:Q65" si="21">E64-(P64-1.333)</f>
        <v>1.3419707279598367</v>
      </c>
      <c r="R64" s="41">
        <f t="shared" ref="R64:R65" si="22">(Q64-1.333)/0.1376</f>
        <v>6.5194243894162632E-2</v>
      </c>
      <c r="S64" s="4">
        <f>R64*D64/C64</f>
        <v>0.24511444130283566</v>
      </c>
      <c r="T64" s="3"/>
      <c r="U64" s="3"/>
      <c r="V64" s="221" t="s">
        <v>14</v>
      </c>
      <c r="W64" s="7">
        <f>O64</f>
        <v>0.13556672426646829</v>
      </c>
      <c r="X64" s="7">
        <f>S64</f>
        <v>0.24511444130283566</v>
      </c>
      <c r="Y64" s="7">
        <f>1-X64-W64</f>
        <v>0.61931883443069602</v>
      </c>
      <c r="Z64" s="3"/>
      <c r="AA64" s="3"/>
      <c r="AB64" s="3"/>
      <c r="AC64" s="3"/>
    </row>
    <row r="65" spans="1:48" x14ac:dyDescent="0.3">
      <c r="B65" s="162" t="s">
        <v>15</v>
      </c>
      <c r="C65" s="4">
        <v>0.54139999999999999</v>
      </c>
      <c r="D65" s="4">
        <v>2.0352999999999999</v>
      </c>
      <c r="E65" s="4">
        <v>1.3472</v>
      </c>
      <c r="F65" s="4">
        <v>1.06E-2</v>
      </c>
      <c r="G65" s="4">
        <v>2.0407999999999999</v>
      </c>
      <c r="H65" s="4">
        <v>0.1</v>
      </c>
      <c r="I65" s="4">
        <v>0.188</v>
      </c>
      <c r="J65" s="3"/>
      <c r="K65" s="3"/>
      <c r="L65" s="163" t="s">
        <v>15</v>
      </c>
      <c r="M65" s="41">
        <f t="shared" si="20"/>
        <v>18.323586744639375</v>
      </c>
      <c r="N65" s="4">
        <f>(M65*G65/H65)/1000000/F65</f>
        <v>3.5278090404207575E-2</v>
      </c>
      <c r="O65" s="4">
        <f>N65*D65/C65</f>
        <v>0.13262190136624247</v>
      </c>
      <c r="P65" s="4">
        <f>N65*0.1478+1.333</f>
        <v>1.3382141017617419</v>
      </c>
      <c r="Q65" s="41">
        <f t="shared" si="21"/>
        <v>1.341985898238258</v>
      </c>
      <c r="R65" s="41">
        <f t="shared" si="22"/>
        <v>6.5304493010596057E-2</v>
      </c>
      <c r="S65" s="4">
        <f>R65*D65/C65</f>
        <v>0.24550098748516094</v>
      </c>
      <c r="T65" s="3"/>
      <c r="U65" s="3"/>
      <c r="V65" s="221" t="s">
        <v>15</v>
      </c>
      <c r="W65" s="7">
        <f>O65</f>
        <v>0.13262190136624247</v>
      </c>
      <c r="X65" s="7">
        <f>S65</f>
        <v>0.24550098748516094</v>
      </c>
      <c r="Y65" s="7">
        <f>1-X65-W65</f>
        <v>0.62187711114859656</v>
      </c>
      <c r="Z65" s="163" t="s">
        <v>69</v>
      </c>
      <c r="AA65" s="163" t="s">
        <v>8</v>
      </c>
      <c r="AB65" s="3"/>
      <c r="AC65" s="3"/>
    </row>
    <row r="66" spans="1:48" x14ac:dyDescent="0.3">
      <c r="B66" s="162" t="s">
        <v>22</v>
      </c>
      <c r="C66" s="4">
        <f>AVERAGE(C63:C65)</f>
        <v>0.54043333333333321</v>
      </c>
      <c r="D66" s="4">
        <f>C66+1.5</f>
        <v>2.0404333333333331</v>
      </c>
      <c r="E66" s="4">
        <f>AVERAGE(E63:E65)</f>
        <v>1.3472333333333333</v>
      </c>
      <c r="F66" s="4">
        <f>AVERAGE(F63:F65)</f>
        <v>1.0733333333333333E-2</v>
      </c>
      <c r="G66" s="4">
        <f>AVERAGE(G63:G65)</f>
        <v>2.0204666666666666</v>
      </c>
      <c r="H66" s="4">
        <f>AVERAGE(H63:H65)</f>
        <v>0.10000000000000002</v>
      </c>
      <c r="I66" s="4">
        <f>AVERAGE(I63:I65)</f>
        <v>0.18733333333333335</v>
      </c>
      <c r="J66" s="3"/>
      <c r="K66" s="3"/>
      <c r="L66" s="163" t="s">
        <v>22</v>
      </c>
      <c r="M66" s="4">
        <f>AVERAGE(M63:M65)</f>
        <v>18.25860948667966</v>
      </c>
      <c r="N66" s="4">
        <f>AVERAGE(N63:N65)</f>
        <v>3.4402795582438077E-2</v>
      </c>
      <c r="O66" s="4">
        <f>AVERAGE(O64:O65)</f>
        <v>0.13409431281635537</v>
      </c>
      <c r="P66" s="4">
        <f>AVERAGE(P64:P65)</f>
        <v>1.3382716869009526</v>
      </c>
      <c r="Q66" s="4">
        <f>AVERAGE(Q64:Q65)</f>
        <v>1.3419783130990472</v>
      </c>
      <c r="R66" s="4">
        <f>AVERAGE(R64:R65)</f>
        <v>6.5249368452379344E-2</v>
      </c>
      <c r="S66" s="70">
        <f>AVERAGE(S63,S64)</f>
        <v>0.25251968124978957</v>
      </c>
      <c r="T66" s="13"/>
      <c r="U66" s="3"/>
      <c r="V66" s="221" t="s">
        <v>22</v>
      </c>
      <c r="W66" s="7">
        <f>AVERAGE(W63:W65)</f>
        <v>0.12944037758466811</v>
      </c>
      <c r="X66" s="7">
        <f>AVERAGE(X63:X65)</f>
        <v>0.25018011666158002</v>
      </c>
      <c r="Y66" s="7">
        <f>AVERAGE(Y63:Y65)</f>
        <v>0.62037950575375189</v>
      </c>
      <c r="Z66" s="41">
        <f>C66/0.5</f>
        <v>1.0808666666666664</v>
      </c>
      <c r="AA66" s="41">
        <f>C67/0.5</f>
        <v>2.2479620400116186E-3</v>
      </c>
      <c r="AB66" s="3"/>
      <c r="AC66" s="3"/>
    </row>
    <row r="67" spans="1:48" x14ac:dyDescent="0.3">
      <c r="B67" s="162" t="s">
        <v>8</v>
      </c>
      <c r="C67" s="4">
        <f t="shared" ref="C67:I67" si="23">_xlfn.STDEV.S(C63:C65)</f>
        <v>1.1239810200058093E-3</v>
      </c>
      <c r="D67" s="4">
        <f t="shared" si="23"/>
        <v>1.5874507866385794E-3</v>
      </c>
      <c r="E67" s="4">
        <f t="shared" si="23"/>
        <v>5.7735026918956222E-5</v>
      </c>
      <c r="F67" s="4">
        <f t="shared" si="23"/>
        <v>2.3094010767584991E-4</v>
      </c>
      <c r="G67" s="4">
        <f t="shared" si="23"/>
        <v>1.7623090913155188E-2</v>
      </c>
      <c r="H67" s="4">
        <f t="shared" si="23"/>
        <v>1.6996749443881478E-17</v>
      </c>
      <c r="I67" s="4">
        <f t="shared" si="23"/>
        <v>8.0208062770106489E-3</v>
      </c>
      <c r="J67" s="3"/>
      <c r="K67" s="3"/>
      <c r="L67" s="163" t="s">
        <v>8</v>
      </c>
      <c r="M67" s="4">
        <f>_xlfn.STDEV.S(M63:M65)</f>
        <v>0.78175499775932278</v>
      </c>
      <c r="N67" s="4">
        <f>_xlfn.STDEV.S(N63:N65)</f>
        <v>2.2252624137154716E-3</v>
      </c>
      <c r="O67" s="4">
        <f>_xlfn.STDEV.S(O64:O65)</f>
        <v>2.0823042421431164E-3</v>
      </c>
      <c r="P67" s="4">
        <f>_xlfn.STDEV.S(P64:P65)</f>
        <v>8.1437684862793226E-5</v>
      </c>
      <c r="Q67" s="4">
        <f>_xlfn.STDEV.S(Q64:Q65)</f>
        <v>1.0727006744146263E-5</v>
      </c>
      <c r="R67" s="4">
        <f>_xlfn.STDEV.S(R64:R65)</f>
        <v>7.7957897849900167E-5</v>
      </c>
      <c r="S67" s="4">
        <f>_xlfn.STDEV.S(S64:S65)</f>
        <v>2.7332942676397805E-4</v>
      </c>
      <c r="T67" s="3"/>
      <c r="U67" s="3"/>
      <c r="V67" s="221" t="s">
        <v>8</v>
      </c>
      <c r="W67" s="7">
        <f>_xlfn.STDEV.S(W63:W65)</f>
        <v>8.1942257047657226E-3</v>
      </c>
      <c r="X67" s="7">
        <f>_xlfn.STDEV.S(X63:X65)</f>
        <v>8.4414611329540722E-3</v>
      </c>
      <c r="Y67" s="7">
        <f>_xlfn.STDEV.S(Y63:Y65)</f>
        <v>1.3339334611049921E-3</v>
      </c>
      <c r="Z67" s="41">
        <f>C67/0.5</f>
        <v>2.2479620400116186E-3</v>
      </c>
      <c r="AA67" s="4"/>
      <c r="AB67" s="3"/>
      <c r="AC67" s="3"/>
    </row>
    <row r="68" spans="1:48" x14ac:dyDescent="0.3">
      <c r="C68" s="3"/>
      <c r="D68" s="3"/>
      <c r="E68" s="3"/>
      <c r="F68" s="3"/>
      <c r="G68" s="3"/>
      <c r="H68" s="3"/>
      <c r="I68" s="3"/>
      <c r="J68" s="3"/>
      <c r="K68" s="3"/>
      <c r="L68" s="3"/>
      <c r="M68" s="3"/>
      <c r="N68" s="3"/>
      <c r="O68" s="3"/>
      <c r="P68" s="3"/>
      <c r="Q68" s="3"/>
      <c r="R68" s="3"/>
      <c r="S68" s="3"/>
      <c r="T68" s="3"/>
      <c r="U68" s="3"/>
      <c r="V68" s="83"/>
      <c r="W68" s="83"/>
      <c r="X68" s="83"/>
      <c r="Y68" s="83"/>
      <c r="Z68" s="3"/>
      <c r="AA68" s="3"/>
      <c r="AB68" s="3"/>
      <c r="AC68" s="3"/>
    </row>
    <row r="69" spans="1:48" x14ac:dyDescent="0.3">
      <c r="C69" s="3"/>
      <c r="D69" s="3"/>
      <c r="E69" s="3"/>
      <c r="F69" s="3"/>
      <c r="G69" s="3"/>
      <c r="H69" s="3"/>
      <c r="I69" s="3"/>
      <c r="J69" s="3"/>
      <c r="K69" s="3"/>
      <c r="L69" s="3"/>
      <c r="M69" s="3"/>
      <c r="N69" s="3"/>
      <c r="O69" s="3"/>
      <c r="P69" s="3"/>
      <c r="Q69" s="3"/>
      <c r="R69" s="3"/>
      <c r="S69" s="3"/>
      <c r="T69" s="3"/>
      <c r="U69" s="3"/>
      <c r="V69" s="83"/>
      <c r="W69" s="83"/>
      <c r="X69" s="83"/>
      <c r="Y69" s="83"/>
      <c r="Z69" s="3"/>
      <c r="AA69" s="3"/>
      <c r="AB69" s="3"/>
      <c r="AC69" s="3"/>
      <c r="AU69" s="26"/>
      <c r="AV69" s="9"/>
    </row>
    <row r="70" spans="1:48" x14ac:dyDescent="0.3">
      <c r="C70" s="3"/>
      <c r="D70" s="3"/>
      <c r="E70" s="3"/>
      <c r="F70" s="3"/>
      <c r="G70" s="3"/>
      <c r="H70" s="3"/>
      <c r="I70" s="3"/>
      <c r="J70" s="3"/>
      <c r="K70" s="3"/>
      <c r="L70" s="3"/>
      <c r="M70" s="3"/>
      <c r="N70" s="3"/>
      <c r="O70" s="3"/>
      <c r="P70" s="3"/>
      <c r="Q70" s="3"/>
      <c r="R70" s="3"/>
      <c r="S70" s="3"/>
      <c r="T70" s="3"/>
      <c r="U70" s="3"/>
      <c r="V70" s="300" t="s">
        <v>20</v>
      </c>
      <c r="W70" s="301"/>
      <c r="X70" s="301"/>
      <c r="Y70" s="302"/>
      <c r="Z70" s="3"/>
      <c r="AA70" s="3"/>
      <c r="AB70" s="3"/>
      <c r="AC70" s="3"/>
      <c r="AG70" s="8"/>
      <c r="AH70" s="8"/>
      <c r="AU70" s="26"/>
      <c r="AV70" s="9"/>
    </row>
    <row r="71" spans="1:48" x14ac:dyDescent="0.3">
      <c r="B71" s="162" t="s">
        <v>11</v>
      </c>
      <c r="C71" s="163" t="s">
        <v>23</v>
      </c>
      <c r="D71" s="163" t="s">
        <v>32</v>
      </c>
      <c r="E71" s="163" t="s">
        <v>24</v>
      </c>
      <c r="F71" s="163" t="s">
        <v>25</v>
      </c>
      <c r="G71" s="163" t="s">
        <v>28</v>
      </c>
      <c r="H71" s="163" t="s">
        <v>27</v>
      </c>
      <c r="I71" s="163" t="s">
        <v>26</v>
      </c>
      <c r="J71" s="3"/>
      <c r="K71" s="3"/>
      <c r="L71" s="163" t="s">
        <v>11</v>
      </c>
      <c r="M71" s="163" t="s">
        <v>30</v>
      </c>
      <c r="N71" s="163" t="s">
        <v>34</v>
      </c>
      <c r="O71" s="163" t="s">
        <v>35</v>
      </c>
      <c r="P71" s="163" t="s">
        <v>37</v>
      </c>
      <c r="Q71" s="163" t="s">
        <v>38</v>
      </c>
      <c r="R71" s="163" t="s">
        <v>39</v>
      </c>
      <c r="S71" s="163" t="s">
        <v>47</v>
      </c>
      <c r="T71" s="3"/>
      <c r="U71" s="3"/>
      <c r="V71" s="221" t="s">
        <v>11</v>
      </c>
      <c r="W71" s="221" t="s">
        <v>17</v>
      </c>
      <c r="X71" s="221" t="s">
        <v>18</v>
      </c>
      <c r="Y71" s="221" t="s">
        <v>44</v>
      </c>
      <c r="Z71" s="3"/>
      <c r="AA71" s="3"/>
      <c r="AB71" s="3"/>
      <c r="AC71" s="3"/>
      <c r="AG71" s="8"/>
      <c r="AH71" s="8"/>
      <c r="AU71" s="26"/>
      <c r="AV71" s="9"/>
    </row>
    <row r="72" spans="1:48" x14ac:dyDescent="0.3">
      <c r="B72" s="162" t="s">
        <v>13</v>
      </c>
      <c r="C72" s="4">
        <v>0.61619999999999997</v>
      </c>
      <c r="D72" s="4">
        <v>2.1105</v>
      </c>
      <c r="E72" s="4">
        <v>1.3574999999999999</v>
      </c>
      <c r="F72" s="4">
        <v>1.0500000000000001E-2</v>
      </c>
      <c r="G72" s="4">
        <v>2.0468999999999999</v>
      </c>
      <c r="H72" s="4">
        <v>0.1</v>
      </c>
      <c r="I72" s="4">
        <v>0.84799999999999998</v>
      </c>
      <c r="J72" s="3"/>
      <c r="K72" s="3"/>
      <c r="L72" s="163" t="s">
        <v>13</v>
      </c>
      <c r="M72" s="41">
        <f>I72/0.01026</f>
        <v>82.65107212475634</v>
      </c>
      <c r="N72" s="4">
        <f>(M72*G72/H72)/1000000/F72</f>
        <v>0.16112236145920356</v>
      </c>
      <c r="O72" s="4">
        <f>N72*D72/C72</f>
        <v>0.55184801015846985</v>
      </c>
      <c r="P72" s="4">
        <f>N72*0.1478+1.333</f>
        <v>1.3568138850236702</v>
      </c>
      <c r="Q72" s="41">
        <f>E72-(P72-1.333)</f>
        <v>1.3336861149763297</v>
      </c>
      <c r="R72" s="41">
        <f>(Q72-1.333)/0.1376</f>
        <v>4.9863007000708918E-3</v>
      </c>
      <c r="S72" s="4">
        <f>R72*D72/C72</f>
        <v>1.7078201277993539E-2</v>
      </c>
      <c r="T72" s="3"/>
      <c r="U72" s="3"/>
      <c r="V72" s="221" t="s">
        <v>13</v>
      </c>
      <c r="W72" s="7">
        <f>O72</f>
        <v>0.55184801015846985</v>
      </c>
      <c r="X72" s="7">
        <f>S72</f>
        <v>1.7078201277993539E-2</v>
      </c>
      <c r="Y72" s="7">
        <f>1-X72-W72</f>
        <v>0.43107378856353662</v>
      </c>
      <c r="Z72" s="3"/>
      <c r="AA72" s="3"/>
      <c r="AB72" s="3"/>
      <c r="AC72" s="3"/>
      <c r="AG72" s="12"/>
      <c r="AH72" s="12"/>
      <c r="AU72" s="26"/>
      <c r="AV72" s="9"/>
    </row>
    <row r="73" spans="1:48" x14ac:dyDescent="0.3">
      <c r="B73" s="162" t="s">
        <v>14</v>
      </c>
      <c r="C73" s="4">
        <v>0.62139999999999995</v>
      </c>
      <c r="D73" s="4">
        <v>2.1116000000000001</v>
      </c>
      <c r="E73" s="4">
        <v>1.3576999999999999</v>
      </c>
      <c r="F73" s="4">
        <v>1.06E-2</v>
      </c>
      <c r="G73" s="4">
        <v>2.0474999999999999</v>
      </c>
      <c r="H73" s="4">
        <v>0.1</v>
      </c>
      <c r="I73" s="4">
        <v>0.86799999999999999</v>
      </c>
      <c r="J73" s="3"/>
      <c r="K73" s="3"/>
      <c r="L73" s="163" t="s">
        <v>14</v>
      </c>
      <c r="M73" s="41">
        <f t="shared" ref="M73:M74" si="24">I73/0.01026</f>
        <v>84.600389863547761</v>
      </c>
      <c r="N73" s="4">
        <f>(M73*G73/H73)/1000000/F73</f>
        <v>0.16341443230718306</v>
      </c>
      <c r="O73" s="4">
        <f>N73*D73/C73</f>
        <v>0.5553040155452974</v>
      </c>
      <c r="P73" s="4">
        <f>N73*0.1478+1.333</f>
        <v>1.3571526530950015</v>
      </c>
      <c r="Q73" s="41">
        <f t="shared" ref="Q73:Q74" si="25">E73-(P73-1.333)</f>
        <v>1.3335473469049983</v>
      </c>
      <c r="R73" s="41">
        <f t="shared" ref="R73:R74" si="26">(Q73-1.333)/0.1376</f>
        <v>3.9778118095810909E-3</v>
      </c>
      <c r="S73" s="4">
        <f>R73*D73/C73</f>
        <v>1.3517134562458051E-2</v>
      </c>
      <c r="T73" s="3"/>
      <c r="U73" s="3"/>
      <c r="V73" s="221" t="s">
        <v>14</v>
      </c>
      <c r="W73" s="7">
        <f>O73</f>
        <v>0.5553040155452974</v>
      </c>
      <c r="X73" s="7">
        <f>S73</f>
        <v>1.3517134562458051E-2</v>
      </c>
      <c r="Y73" s="7">
        <f>1-X73-W73</f>
        <v>0.43117884989224453</v>
      </c>
      <c r="Z73" s="3"/>
      <c r="AA73" s="3"/>
      <c r="AB73" s="3"/>
      <c r="AC73" s="3"/>
      <c r="AG73" s="12"/>
      <c r="AH73" s="12"/>
      <c r="AU73" s="26"/>
      <c r="AV73" s="9"/>
    </row>
    <row r="74" spans="1:48" x14ac:dyDescent="0.3">
      <c r="B74" s="162" t="s">
        <v>15</v>
      </c>
      <c r="C74" s="4">
        <v>0.61750000000000005</v>
      </c>
      <c r="D74" s="4">
        <v>2.1086999999999998</v>
      </c>
      <c r="E74" s="4">
        <v>1.3575999999999999</v>
      </c>
      <c r="F74" s="4">
        <v>1.0699999999999999E-2</v>
      </c>
      <c r="G74" s="4">
        <v>2.0425</v>
      </c>
      <c r="H74" s="4">
        <v>0.1</v>
      </c>
      <c r="I74" s="4">
        <v>0.88600000000000001</v>
      </c>
      <c r="J74" s="3"/>
      <c r="K74" s="3"/>
      <c r="L74" s="163" t="s">
        <v>15</v>
      </c>
      <c r="M74" s="41">
        <f t="shared" si="24"/>
        <v>86.354775828460035</v>
      </c>
      <c r="N74" s="4">
        <f>(M74*G74/H74)/1000000/F74</f>
        <v>0.16484077535479402</v>
      </c>
      <c r="O74" s="4">
        <f>N74*D74/C74</f>
        <v>0.56291456354761793</v>
      </c>
      <c r="P74" s="4">
        <f>N74*0.1478+1.333</f>
        <v>1.3573634665974386</v>
      </c>
      <c r="Q74" s="41">
        <f t="shared" si="25"/>
        <v>1.3332365334025613</v>
      </c>
      <c r="R74" s="41">
        <f t="shared" si="26"/>
        <v>1.7189927511726479E-3</v>
      </c>
      <c r="S74" s="4">
        <f>R74*D74/C74</f>
        <v>5.8701862581340275E-3</v>
      </c>
      <c r="T74" s="3"/>
      <c r="U74" s="3"/>
      <c r="V74" s="221" t="s">
        <v>15</v>
      </c>
      <c r="W74" s="7">
        <f>O74</f>
        <v>0.56291456354761793</v>
      </c>
      <c r="X74" s="7">
        <f>S74</f>
        <v>5.8701862581340275E-3</v>
      </c>
      <c r="Y74" s="7">
        <f>1-X74-W74</f>
        <v>0.431215250194248</v>
      </c>
      <c r="Z74" s="163" t="s">
        <v>69</v>
      </c>
      <c r="AA74" s="163" t="s">
        <v>8</v>
      </c>
      <c r="AB74" s="203"/>
      <c r="AC74" s="203"/>
      <c r="AG74" s="12"/>
      <c r="AH74" s="12"/>
      <c r="AU74" s="26"/>
      <c r="AV74" s="9"/>
    </row>
    <row r="75" spans="1:48" x14ac:dyDescent="0.3">
      <c r="B75" s="162" t="s">
        <v>22</v>
      </c>
      <c r="C75" s="4">
        <f>AVERAGE(C72:C74)</f>
        <v>0.61836666666666673</v>
      </c>
      <c r="D75" s="4">
        <f>C75+1.5</f>
        <v>2.1183666666666667</v>
      </c>
      <c r="E75" s="4">
        <f>AVERAGE(E72:E74)</f>
        <v>1.3575999999999999</v>
      </c>
      <c r="F75" s="4">
        <f>AVERAGE(F72:F74)</f>
        <v>1.06E-2</v>
      </c>
      <c r="G75" s="4">
        <f>AVERAGE(G72:G74)</f>
        <v>2.0456333333333334</v>
      </c>
      <c r="H75" s="4">
        <f>AVERAGE(H72:H74)</f>
        <v>0.10000000000000002</v>
      </c>
      <c r="I75" s="4">
        <f>AVERAGE(I72:I74)</f>
        <v>0.86733333333333329</v>
      </c>
      <c r="J75" s="3"/>
      <c r="K75" s="3"/>
      <c r="L75" s="163" t="s">
        <v>22</v>
      </c>
      <c r="M75" s="4">
        <f t="shared" ref="M75:R75" si="27">AVERAGE(M72:M74)</f>
        <v>84.535412605588036</v>
      </c>
      <c r="N75" s="4">
        <f t="shared" si="27"/>
        <v>0.16312585637372687</v>
      </c>
      <c r="O75" s="4">
        <f t="shared" si="27"/>
        <v>0.55668886308379506</v>
      </c>
      <c r="P75" s="4">
        <f t="shared" si="27"/>
        <v>1.3571100015720365</v>
      </c>
      <c r="Q75" s="4">
        <f t="shared" si="27"/>
        <v>1.3334899984279633</v>
      </c>
      <c r="R75" s="4">
        <f t="shared" si="27"/>
        <v>3.5610350869415435E-3</v>
      </c>
      <c r="S75" s="70">
        <f>AVERAGE(S72,S73)</f>
        <v>1.5297667920225796E-2</v>
      </c>
      <c r="T75" s="3"/>
      <c r="U75" s="3"/>
      <c r="V75" s="221" t="s">
        <v>22</v>
      </c>
      <c r="W75" s="7">
        <f>AVERAGE(W74)</f>
        <v>0.56291456354761793</v>
      </c>
      <c r="X75" s="7">
        <f>AVERAGE(X74)</f>
        <v>5.8701862581340275E-3</v>
      </c>
      <c r="Y75" s="7">
        <f>AVERAGE(Y74)</f>
        <v>0.431215250194248</v>
      </c>
      <c r="Z75" s="41">
        <f>C75/0.5</f>
        <v>1.2367333333333335</v>
      </c>
      <c r="AA75" s="41">
        <f>C76/0.5</f>
        <v>5.4123315986118999E-3</v>
      </c>
      <c r="AB75" s="203"/>
      <c r="AC75" s="203"/>
      <c r="AG75" s="12"/>
      <c r="AH75" s="12"/>
      <c r="AU75" s="26"/>
      <c r="AV75" s="9"/>
    </row>
    <row r="76" spans="1:48" x14ac:dyDescent="0.3">
      <c r="B76" s="162" t="s">
        <v>8</v>
      </c>
      <c r="C76" s="4">
        <f t="shared" ref="C76:I76" si="28">_xlfn.STDEV.S(C72:C74)</f>
        <v>2.7061657993059499E-3</v>
      </c>
      <c r="D76" s="4">
        <f t="shared" si="28"/>
        <v>1.4640127504000275E-3</v>
      </c>
      <c r="E76" s="4">
        <f t="shared" si="28"/>
        <v>9.9999999999988987E-5</v>
      </c>
      <c r="F76" s="4">
        <f t="shared" si="28"/>
        <v>9.9999999999999395E-5</v>
      </c>
      <c r="G76" s="4">
        <f t="shared" si="28"/>
        <v>2.7300793639257236E-3</v>
      </c>
      <c r="H76" s="4">
        <f t="shared" si="28"/>
        <v>1.6996749443881478E-17</v>
      </c>
      <c r="I76" s="4">
        <f t="shared" si="28"/>
        <v>1.9008769905844356E-2</v>
      </c>
      <c r="J76" s="3"/>
      <c r="K76" s="3"/>
      <c r="L76" s="163" t="s">
        <v>8</v>
      </c>
      <c r="M76" s="4">
        <f t="shared" ref="M76:R76" si="29">_xlfn.STDEV.S(M72:M74)</f>
        <v>1.8527066185033425</v>
      </c>
      <c r="N76" s="4">
        <f t="shared" si="29"/>
        <v>1.8759284439332023E-3</v>
      </c>
      <c r="O76" s="4">
        <f t="shared" si="29"/>
        <v>5.6617579431991341E-3</v>
      </c>
      <c r="P76" s="4">
        <f t="shared" si="29"/>
        <v>2.7726222401338083E-4</v>
      </c>
      <c r="Q76" s="4">
        <f t="shared" si="29"/>
        <v>2.3021193220967121E-4</v>
      </c>
      <c r="R76" s="4">
        <f t="shared" si="29"/>
        <v>1.673051832919122E-3</v>
      </c>
      <c r="S76" s="4">
        <f>_xlfn.STDEV.S(S73:S74)</f>
        <v>5.4072090013704832E-3</v>
      </c>
      <c r="T76" s="3"/>
      <c r="U76" s="3"/>
      <c r="V76" s="221" t="s">
        <v>8</v>
      </c>
      <c r="W76" s="7">
        <f>_xlfn.STDEV.S(W72:W74)</f>
        <v>5.6617579431991341E-3</v>
      </c>
      <c r="X76" s="7">
        <f>_xlfn.STDEV.S(X72:X74)</f>
        <v>5.7267881517027042E-3</v>
      </c>
      <c r="Y76" s="7">
        <f>_xlfn.STDEV.S(Y72:Y74)</f>
        <v>7.3455494166353217E-5</v>
      </c>
      <c r="Z76" s="41">
        <f>C76/0.5</f>
        <v>5.4123315986118999E-3</v>
      </c>
      <c r="AA76" s="4"/>
      <c r="AB76" s="203"/>
      <c r="AC76" s="203"/>
      <c r="AG76" s="12"/>
      <c r="AH76" s="12"/>
      <c r="AU76" s="26"/>
      <c r="AV76" s="9"/>
    </row>
    <row r="77" spans="1:48" x14ac:dyDescent="0.3">
      <c r="C77" s="3"/>
      <c r="D77" s="3"/>
      <c r="E77" s="3"/>
      <c r="F77" s="3"/>
      <c r="G77" s="3"/>
      <c r="H77" s="3"/>
      <c r="I77" s="3"/>
      <c r="J77" s="3"/>
      <c r="K77" s="3"/>
      <c r="L77" s="3"/>
      <c r="M77" s="3"/>
      <c r="N77" s="3"/>
      <c r="O77" s="3"/>
      <c r="P77" s="3"/>
      <c r="Q77" s="3"/>
      <c r="R77" s="3"/>
      <c r="S77" s="3"/>
      <c r="T77" s="3"/>
      <c r="U77" s="3"/>
      <c r="V77" s="83"/>
      <c r="W77" s="83"/>
      <c r="X77" s="83"/>
      <c r="Y77" s="83"/>
      <c r="Z77" s="3"/>
      <c r="AA77" s="3"/>
      <c r="AB77" s="3"/>
      <c r="AC77" s="3"/>
      <c r="AG77" s="12"/>
      <c r="AH77" s="12"/>
      <c r="AU77" s="26"/>
      <c r="AV77" s="9"/>
    </row>
    <row r="78" spans="1:48" x14ac:dyDescent="0.3">
      <c r="C78" s="3"/>
      <c r="D78" s="3"/>
      <c r="E78" s="3"/>
      <c r="F78" s="3"/>
      <c r="G78" s="3"/>
      <c r="H78" s="3"/>
      <c r="I78" s="3"/>
      <c r="J78" s="3"/>
      <c r="K78" s="3"/>
      <c r="L78" s="3"/>
      <c r="M78" s="3"/>
      <c r="N78" s="3"/>
      <c r="O78" s="3"/>
      <c r="P78" s="3"/>
      <c r="Q78" s="3"/>
      <c r="R78" s="3"/>
      <c r="S78" s="3"/>
      <c r="T78" s="3"/>
      <c r="U78" s="3"/>
      <c r="V78" s="83"/>
      <c r="W78" s="83"/>
      <c r="X78" s="83"/>
      <c r="Y78" s="83"/>
      <c r="Z78" s="3"/>
      <c r="AA78" s="3"/>
      <c r="AB78" s="3"/>
      <c r="AC78" s="3"/>
      <c r="AG78" s="8"/>
      <c r="AH78" s="8"/>
      <c r="AU78" s="26"/>
      <c r="AV78" s="9"/>
    </row>
    <row r="79" spans="1:48" x14ac:dyDescent="0.3">
      <c r="A79" s="215" t="s">
        <v>56</v>
      </c>
      <c r="C79" s="3"/>
      <c r="D79" s="3"/>
      <c r="E79" s="3"/>
      <c r="F79" s="3"/>
      <c r="G79" s="3"/>
      <c r="H79" s="3"/>
      <c r="I79" s="3"/>
      <c r="J79" s="3"/>
      <c r="K79" s="3"/>
      <c r="L79" s="3"/>
      <c r="M79" s="3"/>
      <c r="N79" s="3"/>
      <c r="O79" s="3"/>
      <c r="P79" s="3"/>
      <c r="Q79" s="3"/>
      <c r="R79" s="3"/>
      <c r="S79" s="3"/>
      <c r="T79" s="3"/>
      <c r="U79" s="3"/>
      <c r="V79" s="83"/>
      <c r="W79" s="83">
        <f>W66</f>
        <v>0.12944037758466811</v>
      </c>
      <c r="X79" s="83">
        <f>X66</f>
        <v>0.25018011666158002</v>
      </c>
      <c r="Y79" s="83"/>
      <c r="Z79" s="3"/>
      <c r="AA79" s="3"/>
      <c r="AB79" s="3"/>
      <c r="AC79" s="3"/>
      <c r="AG79" s="8"/>
      <c r="AH79" s="8"/>
    </row>
    <row r="80" spans="1:48" x14ac:dyDescent="0.3">
      <c r="B80" s="162"/>
      <c r="C80" s="304" t="s">
        <v>19</v>
      </c>
      <c r="D80" s="304"/>
      <c r="E80" s="304"/>
      <c r="F80" s="204"/>
      <c r="G80" s="129"/>
      <c r="H80" s="129"/>
      <c r="I80" s="163"/>
      <c r="J80" s="304" t="s">
        <v>20</v>
      </c>
      <c r="K80" s="304"/>
      <c r="L80" s="163"/>
      <c r="M80" s="3"/>
      <c r="N80" s="3"/>
      <c r="O80" s="3"/>
      <c r="P80" s="3"/>
      <c r="Q80" s="3"/>
      <c r="R80" s="3"/>
      <c r="S80" s="3"/>
      <c r="T80" s="3"/>
      <c r="U80" s="3"/>
      <c r="V80" s="83"/>
      <c r="W80" s="83">
        <f>W75</f>
        <v>0.56291456354761793</v>
      </c>
      <c r="X80" s="83">
        <f>X75</f>
        <v>5.8701862581340275E-3</v>
      </c>
      <c r="Y80" s="83"/>
      <c r="Z80" s="3"/>
      <c r="AA80" s="3"/>
      <c r="AB80" s="3"/>
      <c r="AC80" s="3"/>
      <c r="AU80" s="9"/>
    </row>
    <row r="81" spans="2:47" x14ac:dyDescent="0.3">
      <c r="B81" s="162" t="s">
        <v>12</v>
      </c>
      <c r="C81" s="163" t="s">
        <v>51</v>
      </c>
      <c r="D81" s="163" t="s">
        <v>61</v>
      </c>
      <c r="E81" s="163" t="s">
        <v>21</v>
      </c>
      <c r="F81" s="3"/>
      <c r="G81" s="3"/>
      <c r="H81" s="3"/>
      <c r="I81" s="163" t="s">
        <v>12</v>
      </c>
      <c r="J81" s="7" t="s">
        <v>17</v>
      </c>
      <c r="K81" s="7" t="s">
        <v>18</v>
      </c>
      <c r="L81" s="43" t="s">
        <v>44</v>
      </c>
      <c r="M81" s="3"/>
      <c r="N81" s="3"/>
      <c r="O81" s="3"/>
      <c r="P81" s="3"/>
      <c r="Q81" s="3"/>
      <c r="R81" s="3"/>
      <c r="S81" s="3"/>
      <c r="T81" s="3"/>
      <c r="U81" s="3"/>
      <c r="V81" s="83"/>
      <c r="W81" s="83">
        <f>J59</f>
        <v>0.30089197224975217</v>
      </c>
      <c r="X81" s="83">
        <f>K59</f>
        <v>0.14945490584737364</v>
      </c>
      <c r="Y81" s="83"/>
      <c r="Z81" s="3"/>
      <c r="AA81" s="3"/>
      <c r="AB81" s="3"/>
      <c r="AC81" s="3"/>
      <c r="AU81" s="9"/>
    </row>
    <row r="82" spans="2:47" x14ac:dyDescent="0.3">
      <c r="B82" s="162" t="s">
        <v>13</v>
      </c>
      <c r="C82" s="4">
        <v>5.07</v>
      </c>
      <c r="D82" s="4">
        <v>5.07</v>
      </c>
      <c r="E82" s="4">
        <f>SUM(C82:D82)</f>
        <v>10.14</v>
      </c>
      <c r="F82" s="3"/>
      <c r="G82" s="3"/>
      <c r="H82" s="3"/>
      <c r="I82" s="163" t="s">
        <v>13</v>
      </c>
      <c r="J82" s="7">
        <f>C82*0.6/E82</f>
        <v>0.3</v>
      </c>
      <c r="K82" s="7">
        <f>D82*0.4/E82</f>
        <v>0.19999999999999998</v>
      </c>
      <c r="L82" s="7">
        <f>1-K82-J82</f>
        <v>0.5</v>
      </c>
      <c r="M82" s="3"/>
      <c r="N82" s="3"/>
      <c r="O82" s="3"/>
      <c r="P82" s="3"/>
      <c r="Q82" s="3"/>
      <c r="R82" s="3"/>
      <c r="S82" s="3"/>
      <c r="T82" s="3"/>
      <c r="U82" s="3"/>
      <c r="V82" s="207" t="s">
        <v>12</v>
      </c>
      <c r="W82" s="207" t="s">
        <v>17</v>
      </c>
      <c r="X82" s="207" t="s">
        <v>18</v>
      </c>
      <c r="Y82" s="207" t="s">
        <v>44</v>
      </c>
      <c r="Z82" s="3"/>
      <c r="AA82" s="3"/>
      <c r="AB82" s="3"/>
      <c r="AC82" s="3"/>
      <c r="AU82" s="9"/>
    </row>
    <row r="83" spans="2:47" x14ac:dyDescent="0.3">
      <c r="B83" s="2"/>
      <c r="C83" s="4"/>
      <c r="D83" s="4"/>
      <c r="E83" s="4"/>
      <c r="F83" s="3"/>
      <c r="G83" s="3"/>
      <c r="H83" s="3"/>
      <c r="I83" s="163"/>
      <c r="J83" s="7"/>
      <c r="K83" s="7"/>
      <c r="L83" s="7"/>
      <c r="M83" s="3"/>
      <c r="N83" s="3"/>
      <c r="O83" s="3"/>
      <c r="P83" s="3"/>
      <c r="Q83" s="3"/>
      <c r="R83" s="3"/>
      <c r="S83" s="3"/>
      <c r="T83" s="3"/>
      <c r="U83" s="3"/>
      <c r="V83" s="207" t="s">
        <v>13</v>
      </c>
      <c r="W83" s="207">
        <f>J85</f>
        <v>0.3</v>
      </c>
      <c r="X83" s="207">
        <f>K85</f>
        <v>0.19999999999999998</v>
      </c>
      <c r="Y83" s="207">
        <f>L85</f>
        <v>0.5</v>
      </c>
      <c r="Z83" s="3"/>
      <c r="AA83" s="3"/>
      <c r="AB83" s="3"/>
      <c r="AC83" s="3"/>
      <c r="AU83" s="9"/>
    </row>
    <row r="84" spans="2:47" x14ac:dyDescent="0.3">
      <c r="B84" s="2"/>
      <c r="C84" s="4"/>
      <c r="D84" s="4"/>
      <c r="E84" s="4"/>
      <c r="F84" s="3"/>
      <c r="G84" s="3"/>
      <c r="H84" s="3"/>
      <c r="I84" s="163"/>
      <c r="J84" s="7"/>
      <c r="K84" s="7"/>
      <c r="L84" s="7"/>
      <c r="M84" s="3"/>
      <c r="N84" s="3"/>
      <c r="O84" s="3"/>
      <c r="P84" s="3" t="s">
        <v>1</v>
      </c>
      <c r="Q84" s="3" t="s">
        <v>42</v>
      </c>
      <c r="R84" s="3"/>
      <c r="S84" s="3"/>
      <c r="T84" s="3"/>
      <c r="U84" s="3"/>
      <c r="V84" s="207" t="s">
        <v>53</v>
      </c>
      <c r="W84" s="207">
        <f>W92</f>
        <v>0.1275901410544604</v>
      </c>
      <c r="X84" s="207">
        <f>X92</f>
        <v>0.30791031364825089</v>
      </c>
      <c r="Y84" s="207">
        <f>Y92</f>
        <v>0.56449954529728863</v>
      </c>
      <c r="Z84" s="3"/>
      <c r="AA84" s="3"/>
      <c r="AB84" s="3"/>
      <c r="AC84" s="3"/>
    </row>
    <row r="85" spans="2:47" x14ac:dyDescent="0.3">
      <c r="C85" s="3"/>
      <c r="D85" s="3"/>
      <c r="E85" s="3"/>
      <c r="F85" s="3"/>
      <c r="G85" s="3"/>
      <c r="H85" s="3"/>
      <c r="I85" s="163" t="s">
        <v>22</v>
      </c>
      <c r="J85" s="7">
        <f>AVERAGE(J82:J84)</f>
        <v>0.3</v>
      </c>
      <c r="K85" s="7">
        <f>AVERAGE(K82:K84)</f>
        <v>0.19999999999999998</v>
      </c>
      <c r="L85" s="7">
        <f>AVERAGE(L82:L84)</f>
        <v>0.5</v>
      </c>
      <c r="M85" s="3"/>
      <c r="N85" s="3"/>
      <c r="O85" s="3"/>
      <c r="P85" s="3" t="s">
        <v>0</v>
      </c>
      <c r="Q85" s="3" t="s">
        <v>60</v>
      </c>
      <c r="R85" s="3"/>
      <c r="S85" s="3"/>
      <c r="T85" s="3"/>
      <c r="U85" s="3"/>
      <c r="V85" s="207" t="s">
        <v>14</v>
      </c>
      <c r="W85" s="207">
        <f>W101</f>
        <v>0.64014366446238091</v>
      </c>
      <c r="X85" s="207">
        <v>1E-3</v>
      </c>
      <c r="Y85" s="207">
        <f>Y101</f>
        <v>0.35124984374877977</v>
      </c>
      <c r="Z85" s="3"/>
      <c r="AA85" s="3"/>
      <c r="AB85" s="3"/>
      <c r="AC85" s="3"/>
    </row>
    <row r="86" spans="2:47" x14ac:dyDescent="0.3">
      <c r="B86" t="s">
        <v>31</v>
      </c>
      <c r="C86" s="3"/>
      <c r="D86" s="3"/>
      <c r="E86" s="3"/>
      <c r="F86" s="3"/>
      <c r="G86" s="3"/>
      <c r="H86" s="3"/>
      <c r="I86" s="163" t="s">
        <v>8</v>
      </c>
      <c r="J86" s="7" t="e">
        <f>_xlfn.STDEV.S(J82:J84)</f>
        <v>#DIV/0!</v>
      </c>
      <c r="K86" s="7" t="e">
        <f>_xlfn.STDEV.S(K82:K84)</f>
        <v>#DIV/0!</v>
      </c>
      <c r="L86" s="7" t="e">
        <f>_xlfn.STDEV.S(L82:L84)</f>
        <v>#DIV/0!</v>
      </c>
      <c r="M86" s="3"/>
      <c r="N86" s="3"/>
      <c r="O86" s="3"/>
      <c r="P86" s="3"/>
      <c r="Q86" s="3"/>
      <c r="R86" s="3"/>
      <c r="S86" s="3"/>
      <c r="T86" s="3"/>
      <c r="U86" s="3"/>
      <c r="V86" s="83"/>
      <c r="W86" s="83"/>
      <c r="X86" s="83"/>
      <c r="Y86" s="83"/>
      <c r="Z86" s="3"/>
      <c r="AA86" s="3"/>
      <c r="AB86" s="3"/>
      <c r="AC86" s="3"/>
      <c r="AD86" s="8"/>
      <c r="AE86" s="8"/>
      <c r="AF86" s="8"/>
    </row>
    <row r="87" spans="2:47" x14ac:dyDescent="0.3">
      <c r="B87">
        <v>1.5</v>
      </c>
      <c r="C87" s="3"/>
      <c r="D87" s="3"/>
      <c r="E87" s="3"/>
      <c r="F87" s="3"/>
      <c r="G87" s="3"/>
      <c r="H87" s="3"/>
      <c r="I87" s="3"/>
      <c r="J87" s="3"/>
      <c r="K87" s="3"/>
      <c r="L87" s="3"/>
      <c r="M87" s="3"/>
      <c r="N87" s="3"/>
      <c r="O87" s="3"/>
      <c r="P87" s="3"/>
      <c r="Q87" s="3"/>
      <c r="R87" s="3"/>
      <c r="S87" s="3"/>
      <c r="T87" s="3"/>
      <c r="U87" s="3"/>
      <c r="V87" s="218" t="s">
        <v>20</v>
      </c>
      <c r="W87" s="219"/>
      <c r="X87" s="219"/>
      <c r="Y87" s="220"/>
      <c r="Z87" s="3"/>
      <c r="AA87" s="3"/>
      <c r="AB87" s="3"/>
      <c r="AC87" s="3"/>
      <c r="AD87" s="8"/>
      <c r="AE87" s="8"/>
      <c r="AF87" s="8"/>
    </row>
    <row r="88" spans="2:47" x14ac:dyDescent="0.3">
      <c r="B88" s="162" t="s">
        <v>10</v>
      </c>
      <c r="C88" s="163" t="s">
        <v>23</v>
      </c>
      <c r="D88" s="163" t="s">
        <v>32</v>
      </c>
      <c r="E88" s="163" t="s">
        <v>24</v>
      </c>
      <c r="F88" s="163" t="s">
        <v>33</v>
      </c>
      <c r="G88" s="163" t="s">
        <v>28</v>
      </c>
      <c r="H88" s="163" t="s">
        <v>27</v>
      </c>
      <c r="I88" s="163" t="s">
        <v>26</v>
      </c>
      <c r="J88" s="3"/>
      <c r="K88" s="3"/>
      <c r="L88" s="163" t="s">
        <v>10</v>
      </c>
      <c r="M88" s="163" t="s">
        <v>30</v>
      </c>
      <c r="N88" s="163" t="s">
        <v>36</v>
      </c>
      <c r="O88" s="163" t="s">
        <v>35</v>
      </c>
      <c r="P88" s="163" t="s">
        <v>37</v>
      </c>
      <c r="Q88" s="163" t="s">
        <v>38</v>
      </c>
      <c r="R88" s="163" t="s">
        <v>39</v>
      </c>
      <c r="S88" s="163" t="s">
        <v>47</v>
      </c>
      <c r="T88" s="3"/>
      <c r="U88" s="3"/>
      <c r="V88" s="221" t="s">
        <v>10</v>
      </c>
      <c r="W88" s="221" t="s">
        <v>17</v>
      </c>
      <c r="X88" s="221" t="s">
        <v>18</v>
      </c>
      <c r="Y88" s="221" t="s">
        <v>44</v>
      </c>
      <c r="Z88" s="3"/>
      <c r="AA88" s="3"/>
      <c r="AB88" s="3"/>
      <c r="AC88" s="3"/>
      <c r="AD88" s="8"/>
      <c r="AE88" s="8"/>
      <c r="AF88" s="8"/>
    </row>
    <row r="89" spans="2:47" x14ac:dyDescent="0.3">
      <c r="B89" s="162" t="s">
        <v>13</v>
      </c>
      <c r="C89" s="4">
        <v>0.53029999999999999</v>
      </c>
      <c r="D89" s="4">
        <v>2.0203000000000002</v>
      </c>
      <c r="E89" s="4">
        <v>1.349</v>
      </c>
      <c r="F89" s="4">
        <v>1.06E-2</v>
      </c>
      <c r="G89" s="4">
        <v>2.0491999999999999</v>
      </c>
      <c r="H89" s="4">
        <v>0.1</v>
      </c>
      <c r="I89" s="4">
        <v>0.17</v>
      </c>
      <c r="J89" s="3"/>
      <c r="K89" s="3"/>
      <c r="L89" s="4" t="s">
        <v>13</v>
      </c>
      <c r="M89" s="41">
        <f>I89/0.01026</f>
        <v>16.569200779727097</v>
      </c>
      <c r="N89" s="4">
        <f>(M89*G89/H89)/1000000/F89</f>
        <v>3.2031703997940343E-2</v>
      </c>
      <c r="O89" s="4">
        <f>N89*D89/C89</f>
        <v>0.12203215460501393</v>
      </c>
      <c r="P89" s="4">
        <f>N89*0.1478+1.333</f>
        <v>1.3377342858508956</v>
      </c>
      <c r="Q89" s="41">
        <f>E89-(P89-1.333)</f>
        <v>1.3442657141491043</v>
      </c>
      <c r="R89" s="41">
        <f>(Q89-1.333)/0.1376</f>
        <v>8.1872922595235306E-2</v>
      </c>
      <c r="S89" s="4">
        <f>R89*D89/C89</f>
        <v>0.31191375734330362</v>
      </c>
      <c r="T89" s="3"/>
      <c r="U89" s="3"/>
      <c r="V89" s="7" t="s">
        <v>13</v>
      </c>
      <c r="W89" s="7">
        <f>O89</f>
        <v>0.12203215460501393</v>
      </c>
      <c r="X89" s="7">
        <f>S89</f>
        <v>0.31191375734330362</v>
      </c>
      <c r="Y89" s="7">
        <f>1-X89-W89</f>
        <v>0.56605408805168245</v>
      </c>
      <c r="Z89" s="3"/>
      <c r="AA89" s="3"/>
      <c r="AB89" s="3"/>
      <c r="AC89" s="3"/>
    </row>
    <row r="90" spans="2:47" x14ac:dyDescent="0.3">
      <c r="B90" s="162" t="s">
        <v>14</v>
      </c>
      <c r="C90" s="4">
        <v>0.52180000000000004</v>
      </c>
      <c r="D90" s="4">
        <v>2.0137999999999998</v>
      </c>
      <c r="E90" s="4">
        <v>1.3489</v>
      </c>
      <c r="F90" s="4">
        <v>1.01E-2</v>
      </c>
      <c r="G90" s="4">
        <v>2.0493000000000001</v>
      </c>
      <c r="H90" s="4">
        <v>0.1</v>
      </c>
      <c r="I90" s="4">
        <v>0.17100000000000001</v>
      </c>
      <c r="J90" s="3"/>
      <c r="K90" s="3"/>
      <c r="L90" s="4" t="s">
        <v>14</v>
      </c>
      <c r="M90" s="41">
        <f t="shared" ref="M90:M91" si="30">I90/0.01026</f>
        <v>16.666666666666668</v>
      </c>
      <c r="N90" s="4">
        <f>(M90*G90/H90)/1000000/F90</f>
        <v>3.3816831683168319E-2</v>
      </c>
      <c r="O90" s="4">
        <f>N90*D90/C90</f>
        <v>0.13051041710150316</v>
      </c>
      <c r="P90" s="4">
        <f>N90*0.1478+1.333</f>
        <v>1.3379981277227722</v>
      </c>
      <c r="Q90" s="41">
        <f t="shared" ref="Q90:Q91" si="31">E90-(P90-1.333)</f>
        <v>1.3439018722772278</v>
      </c>
      <c r="R90" s="41">
        <f t="shared" ref="R90:R91" si="32">(Q90-1.333)/0.1376</f>
        <v>7.9228722944969701E-2</v>
      </c>
      <c r="S90" s="4">
        <f>R90*D90/C90</f>
        <v>0.30577003117397461</v>
      </c>
      <c r="T90" s="3"/>
      <c r="U90" s="3"/>
      <c r="V90" s="221" t="s">
        <v>14</v>
      </c>
      <c r="W90" s="7">
        <f>O90</f>
        <v>0.13051041710150316</v>
      </c>
      <c r="X90" s="7">
        <f>S90</f>
        <v>0.30577003117397461</v>
      </c>
      <c r="Y90" s="7">
        <f>1-X90-W90</f>
        <v>0.56371955172452226</v>
      </c>
      <c r="Z90" s="3"/>
      <c r="AA90" s="3"/>
      <c r="AB90" s="3"/>
      <c r="AC90" s="3"/>
    </row>
    <row r="91" spans="2:47" x14ac:dyDescent="0.3">
      <c r="B91" s="162" t="s">
        <v>15</v>
      </c>
      <c r="C91" s="4">
        <v>0.54379999999999995</v>
      </c>
      <c r="D91" s="4">
        <v>2.0346000000000002</v>
      </c>
      <c r="E91" s="4">
        <v>1.3493999999999999</v>
      </c>
      <c r="F91" s="4">
        <v>1.14E-2</v>
      </c>
      <c r="G91" s="4">
        <v>2.0457999999999998</v>
      </c>
      <c r="H91" s="4">
        <v>0.1</v>
      </c>
      <c r="I91" s="4">
        <v>0.19900000000000001</v>
      </c>
      <c r="J91" s="3"/>
      <c r="K91" s="3"/>
      <c r="L91" s="4" t="s">
        <v>15</v>
      </c>
      <c r="M91" s="41">
        <f t="shared" si="30"/>
        <v>19.395711500974659</v>
      </c>
      <c r="N91" s="4">
        <f>(M91*G91/H91)/1000000/F91</f>
        <v>3.4806795253240305E-2</v>
      </c>
      <c r="O91" s="4">
        <f>N91*D91/C91</f>
        <v>0.13022785145686416</v>
      </c>
      <c r="P91" s="4">
        <f>N91*0.1478+1.333</f>
        <v>1.3381444443384289</v>
      </c>
      <c r="Q91" s="41">
        <f t="shared" si="31"/>
        <v>1.344255555661571</v>
      </c>
      <c r="R91" s="41">
        <f t="shared" si="32"/>
        <v>8.1799096377696168E-2</v>
      </c>
      <c r="S91" s="4">
        <f>R91*D91/C91</f>
        <v>0.30604715242747454</v>
      </c>
      <c r="T91" s="3"/>
      <c r="U91" s="3"/>
      <c r="V91" s="221" t="s">
        <v>15</v>
      </c>
      <c r="W91" s="7">
        <f>O91</f>
        <v>0.13022785145686416</v>
      </c>
      <c r="X91" s="7">
        <f>S91</f>
        <v>0.30604715242747454</v>
      </c>
      <c r="Y91" s="7">
        <f>1-X91-W91</f>
        <v>0.56372499611566118</v>
      </c>
      <c r="Z91" s="163" t="s">
        <v>69</v>
      </c>
      <c r="AA91" s="163" t="s">
        <v>8</v>
      </c>
      <c r="AB91" s="3"/>
      <c r="AC91" s="3"/>
    </row>
    <row r="92" spans="2:47" x14ac:dyDescent="0.3">
      <c r="B92" s="162" t="s">
        <v>22</v>
      </c>
      <c r="C92" s="4">
        <f>AVERAGE(C89:C91)</f>
        <v>0.53196666666666659</v>
      </c>
      <c r="D92" s="4">
        <f>C92+1.5</f>
        <v>2.0319666666666665</v>
      </c>
      <c r="E92" s="4">
        <f>AVERAGE(E89:E91)</f>
        <v>1.3491</v>
      </c>
      <c r="F92" s="4">
        <f>AVERAGE(F89:F91)</f>
        <v>1.0700000000000001E-2</v>
      </c>
      <c r="G92" s="4">
        <f>AVERAGE(G89:G91)</f>
        <v>2.0480999999999998</v>
      </c>
      <c r="H92" s="4">
        <f>AVERAGE(H89:H91)</f>
        <v>0.10000000000000002</v>
      </c>
      <c r="I92" s="4">
        <f>AVERAGE(I89:I91)</f>
        <v>0.18000000000000002</v>
      </c>
      <c r="J92" s="3"/>
      <c r="K92" s="3"/>
      <c r="L92" s="4" t="s">
        <v>22</v>
      </c>
      <c r="M92" s="4">
        <f>AVERAGE(M89:M91)</f>
        <v>17.543859649122808</v>
      </c>
      <c r="N92" s="4">
        <f>AVERAGE(N89:N91)</f>
        <v>3.3551776978116322E-2</v>
      </c>
      <c r="O92" s="4">
        <f>AVERAGE(O90:O91)</f>
        <v>0.13036913427918367</v>
      </c>
      <c r="P92" s="4">
        <f>AVERAGE(P90:P91)</f>
        <v>1.3380712860306005</v>
      </c>
      <c r="Q92" s="4">
        <f>AVERAGE(Q90:Q91)</f>
        <v>1.3440787139693993</v>
      </c>
      <c r="R92" s="4">
        <f>AVERAGE(R90:R91)</f>
        <v>8.0513909661332927E-2</v>
      </c>
      <c r="S92" s="70">
        <f>AVERAGE(S89,S90)</f>
        <v>0.30884189425863912</v>
      </c>
      <c r="T92" s="13"/>
      <c r="U92" s="3"/>
      <c r="V92" s="221" t="s">
        <v>22</v>
      </c>
      <c r="W92" s="7">
        <f>AVERAGE(W89:W91)</f>
        <v>0.1275901410544604</v>
      </c>
      <c r="X92" s="7">
        <f>AVERAGE(X89:X91)</f>
        <v>0.30791031364825089</v>
      </c>
      <c r="Y92" s="7">
        <f>AVERAGE(Y89:Y91)</f>
        <v>0.56449954529728863</v>
      </c>
      <c r="Z92" s="41">
        <f>C92/0.5</f>
        <v>1.0639333333333332</v>
      </c>
      <c r="AA92" s="41">
        <f>C93/0.5</f>
        <v>2.218858565419007E-2</v>
      </c>
      <c r="AB92" s="3"/>
      <c r="AC92" s="3"/>
    </row>
    <row r="93" spans="2:47" x14ac:dyDescent="0.3">
      <c r="B93" s="162" t="s">
        <v>8</v>
      </c>
      <c r="C93" s="4">
        <f t="shared" ref="C93:I93" si="33">_xlfn.STDEV.S(C89:C91)</f>
        <v>1.1094292827095035E-2</v>
      </c>
      <c r="D93" s="4">
        <f t="shared" si="33"/>
        <v>1.0640958603434341E-2</v>
      </c>
      <c r="E93" s="4">
        <f t="shared" si="33"/>
        <v>2.6457513110642993E-4</v>
      </c>
      <c r="F93" s="4">
        <f t="shared" si="33"/>
        <v>6.5574385243020051E-4</v>
      </c>
      <c r="G93" s="4">
        <f t="shared" si="33"/>
        <v>1.9924858845172312E-3</v>
      </c>
      <c r="H93" s="4">
        <f t="shared" si="33"/>
        <v>1.6996749443881478E-17</v>
      </c>
      <c r="I93" s="4">
        <f t="shared" si="33"/>
        <v>1.6462077633154326E-2</v>
      </c>
      <c r="J93" s="3"/>
      <c r="K93" s="3"/>
      <c r="L93" s="4" t="s">
        <v>8</v>
      </c>
      <c r="M93" s="4">
        <f>_xlfn.STDEV.S(M89:M91)</f>
        <v>1.6044909973834622</v>
      </c>
      <c r="N93" s="4">
        <f>_xlfn.STDEV.S(N89:N91)</f>
        <v>1.4064044106562061E-3</v>
      </c>
      <c r="O93" s="4">
        <f>_xlfn.STDEV.S(O90:O91)</f>
        <v>1.998040834545805E-4</v>
      </c>
      <c r="P93" s="4">
        <f>_xlfn.STDEV.S(P90:P91)</f>
        <v>1.0346147113117703E-4</v>
      </c>
      <c r="Q93" s="4">
        <f>_xlfn.STDEV.S(Q90:Q91)</f>
        <v>2.5009191946205779E-4</v>
      </c>
      <c r="R93" s="4">
        <f>_xlfn.STDEV.S(R90:R91)</f>
        <v>1.8175284844626285E-3</v>
      </c>
      <c r="S93" s="4">
        <f>_xlfn.STDEV.S(S90:S91)</f>
        <v>1.9595431756071999E-4</v>
      </c>
      <c r="T93" s="3"/>
      <c r="U93" s="3"/>
      <c r="V93" s="221" t="s">
        <v>8</v>
      </c>
      <c r="W93" s="7">
        <f>_xlfn.STDEV.S(W89:W91)</f>
        <v>4.815430496337334E-3</v>
      </c>
      <c r="X93" s="7">
        <f>_xlfn.STDEV.S(X89:X91)</f>
        <v>3.4698515979618254E-3</v>
      </c>
      <c r="Y93" s="7">
        <f>_xlfn.STDEV.S(Y89:Y91)</f>
        <v>1.3462762687418417E-3</v>
      </c>
      <c r="Z93" s="41">
        <f>C93/0.5</f>
        <v>2.218858565419007E-2</v>
      </c>
      <c r="AA93" s="4"/>
      <c r="AB93" s="3"/>
      <c r="AC93" s="3"/>
    </row>
    <row r="94" spans="2:47" x14ac:dyDescent="0.3">
      <c r="C94" s="3"/>
      <c r="D94" s="3"/>
      <c r="E94" s="3"/>
      <c r="F94" s="3"/>
      <c r="G94" s="3"/>
      <c r="H94" s="3"/>
      <c r="I94" s="3"/>
      <c r="J94" s="3"/>
      <c r="K94" s="3"/>
      <c r="L94" s="3"/>
      <c r="M94" s="3"/>
      <c r="N94" s="3"/>
      <c r="O94" s="3"/>
      <c r="P94" s="3"/>
      <c r="Q94" s="3"/>
      <c r="R94" s="3"/>
      <c r="S94" s="3"/>
      <c r="T94" s="3"/>
      <c r="U94" s="3"/>
      <c r="V94" s="83"/>
      <c r="W94" s="83"/>
      <c r="X94" s="83"/>
      <c r="Y94" s="83"/>
      <c r="Z94" s="3"/>
      <c r="AA94" s="3"/>
      <c r="AB94" s="3"/>
      <c r="AC94" s="3"/>
    </row>
    <row r="95" spans="2:47" x14ac:dyDescent="0.3">
      <c r="C95" s="3"/>
      <c r="D95" s="3"/>
      <c r="E95" s="3"/>
      <c r="F95" s="3"/>
      <c r="G95" s="3"/>
      <c r="H95" s="3"/>
      <c r="I95" s="3"/>
      <c r="J95" s="3"/>
      <c r="K95" s="3"/>
      <c r="L95" s="3"/>
      <c r="M95" s="3"/>
      <c r="N95" s="3"/>
      <c r="O95" s="3"/>
      <c r="P95" s="3"/>
      <c r="Q95" s="3"/>
      <c r="R95" s="3"/>
      <c r="S95" s="3"/>
      <c r="T95" s="3"/>
      <c r="U95" s="3"/>
      <c r="V95" s="83"/>
      <c r="W95" s="83"/>
      <c r="X95" s="83"/>
      <c r="Y95" s="83"/>
      <c r="Z95" s="3"/>
      <c r="AA95" s="3"/>
      <c r="AB95" s="3"/>
      <c r="AC95" s="3"/>
    </row>
    <row r="96" spans="2:47" x14ac:dyDescent="0.3">
      <c r="C96" s="3"/>
      <c r="D96" s="3"/>
      <c r="E96" s="3"/>
      <c r="F96" s="3"/>
      <c r="G96" s="3"/>
      <c r="H96" s="3"/>
      <c r="I96" s="3"/>
      <c r="J96" s="3"/>
      <c r="K96" s="3"/>
      <c r="L96" s="3"/>
      <c r="M96" s="3"/>
      <c r="N96" s="3"/>
      <c r="O96" s="3"/>
      <c r="P96" s="3"/>
      <c r="Q96" s="3"/>
      <c r="R96" s="3"/>
      <c r="S96" s="3"/>
      <c r="T96" s="3"/>
      <c r="U96" s="3"/>
      <c r="V96" s="300" t="s">
        <v>20</v>
      </c>
      <c r="W96" s="301"/>
      <c r="X96" s="301"/>
      <c r="Y96" s="302"/>
      <c r="Z96" s="3"/>
      <c r="AA96" s="3"/>
      <c r="AB96" s="3"/>
      <c r="AC96" s="3"/>
    </row>
    <row r="97" spans="1:47" x14ac:dyDescent="0.3">
      <c r="B97" s="162" t="s">
        <v>11</v>
      </c>
      <c r="C97" s="163" t="s">
        <v>23</v>
      </c>
      <c r="D97" s="163" t="s">
        <v>32</v>
      </c>
      <c r="E97" s="163" t="s">
        <v>24</v>
      </c>
      <c r="F97" s="163" t="s">
        <v>25</v>
      </c>
      <c r="G97" s="163" t="s">
        <v>28</v>
      </c>
      <c r="H97" s="163" t="s">
        <v>27</v>
      </c>
      <c r="I97" s="163" t="s">
        <v>26</v>
      </c>
      <c r="J97" s="3"/>
      <c r="K97" s="3"/>
      <c r="L97" s="163" t="s">
        <v>11</v>
      </c>
      <c r="M97" s="163" t="s">
        <v>30</v>
      </c>
      <c r="N97" s="163" t="s">
        <v>34</v>
      </c>
      <c r="O97" s="163" t="s">
        <v>35</v>
      </c>
      <c r="P97" s="163" t="s">
        <v>37</v>
      </c>
      <c r="Q97" s="163" t="s">
        <v>38</v>
      </c>
      <c r="R97" s="163" t="s">
        <v>39</v>
      </c>
      <c r="S97" s="163" t="s">
        <v>47</v>
      </c>
      <c r="T97" s="3"/>
      <c r="U97" s="3"/>
      <c r="V97" s="221" t="s">
        <v>11</v>
      </c>
      <c r="W97" s="221" t="s">
        <v>17</v>
      </c>
      <c r="X97" s="221" t="s">
        <v>18</v>
      </c>
      <c r="Y97" s="221" t="s">
        <v>44</v>
      </c>
      <c r="Z97" s="3"/>
      <c r="AA97" s="3"/>
      <c r="AB97" s="3"/>
      <c r="AC97" s="3"/>
      <c r="AG97" s="8"/>
      <c r="AI97" s="8"/>
      <c r="AK97" s="8"/>
      <c r="AM97" s="8"/>
      <c r="AO97" s="8"/>
      <c r="AQ97" s="8"/>
    </row>
    <row r="98" spans="1:47" x14ac:dyDescent="0.3">
      <c r="B98" s="162" t="s">
        <v>13</v>
      </c>
      <c r="C98" s="4">
        <v>0.62739999999999996</v>
      </c>
      <c r="D98" s="4">
        <v>2.1215999999999999</v>
      </c>
      <c r="E98" s="4">
        <v>1.3611</v>
      </c>
      <c r="F98" s="4">
        <v>1.11E-2</v>
      </c>
      <c r="G98" s="4">
        <v>2.0434999999999999</v>
      </c>
      <c r="H98" s="4">
        <v>0.1</v>
      </c>
      <c r="I98" s="4">
        <v>1.0089999999999999</v>
      </c>
      <c r="J98" s="3"/>
      <c r="K98" s="3"/>
      <c r="L98" s="163" t="s">
        <v>13</v>
      </c>
      <c r="M98" s="41">
        <f>I98/0.01026</f>
        <v>98.343079922027286</v>
      </c>
      <c r="N98" s="4">
        <f>(M98*G98/H98)/1000000/F98</f>
        <v>0.18104872416275922</v>
      </c>
      <c r="O98" s="4">
        <f>N98*D98/C98</f>
        <v>0.61222979468235572</v>
      </c>
      <c r="P98" s="4">
        <f>N98*0.1478+1.333</f>
        <v>1.3597590014312557</v>
      </c>
      <c r="Q98" s="41">
        <f>E98-(P98-1.333)</f>
        <v>1.3343409985687442</v>
      </c>
      <c r="R98" s="41">
        <f>(Q98-1.333)/0.1376</f>
        <v>9.7456291333158137E-3</v>
      </c>
      <c r="S98" s="4">
        <f>R98*D98/C98</f>
        <v>3.2955573428821855E-2</v>
      </c>
      <c r="T98" s="3"/>
      <c r="U98" s="3"/>
      <c r="V98" s="221" t="s">
        <v>13</v>
      </c>
      <c r="W98" s="7">
        <f>O98</f>
        <v>0.61222979468235572</v>
      </c>
      <c r="X98" s="7">
        <f>S98</f>
        <v>3.2955573428821855E-2</v>
      </c>
      <c r="Y98" s="7">
        <f>1-X98-W98</f>
        <v>0.35481463188882245</v>
      </c>
      <c r="Z98" s="3"/>
      <c r="AA98" s="3"/>
      <c r="AB98" s="3"/>
      <c r="AC98" s="3"/>
      <c r="AG98" s="8"/>
      <c r="AI98" s="8"/>
      <c r="AK98" s="8"/>
      <c r="AM98" s="8"/>
      <c r="AO98" s="8"/>
      <c r="AQ98" s="8"/>
    </row>
    <row r="99" spans="1:47" x14ac:dyDescent="0.3">
      <c r="B99" s="162" t="s">
        <v>14</v>
      </c>
      <c r="C99" s="4">
        <v>0.62770000000000004</v>
      </c>
      <c r="D99" s="4">
        <v>2.1202000000000001</v>
      </c>
      <c r="E99" s="4">
        <v>1.3614999999999999</v>
      </c>
      <c r="F99" s="4">
        <v>1.12E-2</v>
      </c>
      <c r="G99" s="4">
        <v>2.0392999999999999</v>
      </c>
      <c r="H99" s="4">
        <v>0.1</v>
      </c>
      <c r="I99" s="4">
        <v>0.96499999999999997</v>
      </c>
      <c r="J99" s="3"/>
      <c r="K99" s="3"/>
      <c r="L99" s="163" t="s">
        <v>14</v>
      </c>
      <c r="M99" s="41">
        <f t="shared" ref="M99:M100" si="34">I99/0.01026</f>
        <v>94.054580896686161</v>
      </c>
      <c r="N99" s="4">
        <f>(M99*G99/H99)/1000000/F99</f>
        <v>0.17125491680590366</v>
      </c>
      <c r="O99" s="4">
        <f>N99*D99/C99</f>
        <v>0.57845256430122183</v>
      </c>
      <c r="P99" s="4">
        <f>N99*0.1478+1.333</f>
        <v>1.3583114767039126</v>
      </c>
      <c r="Q99" s="41">
        <f t="shared" ref="Q99:Q100" si="35">E99-(P99-1.333)</f>
        <v>1.3361885232960873</v>
      </c>
      <c r="R99" s="41">
        <f t="shared" ref="R99:R100" si="36">(Q99-1.333)/0.1376</f>
        <v>2.3172407675053196E-2</v>
      </c>
      <c r="S99" s="4">
        <f>R99*D99/C99</f>
        <v>7.8270095193002681E-2</v>
      </c>
      <c r="T99" s="3"/>
      <c r="U99" s="3"/>
      <c r="V99" s="221" t="s">
        <v>14</v>
      </c>
      <c r="W99" s="7">
        <f>O99</f>
        <v>0.57845256430122183</v>
      </c>
      <c r="X99" s="7">
        <f>S99</f>
        <v>7.8270095193002681E-2</v>
      </c>
      <c r="Y99" s="7">
        <f>1-X99-W99</f>
        <v>0.34327734050577552</v>
      </c>
      <c r="Z99" s="3"/>
      <c r="AA99" s="3"/>
      <c r="AB99" s="3"/>
      <c r="AC99" s="3"/>
      <c r="AG99" s="8"/>
      <c r="AI99" s="8"/>
      <c r="AK99" s="8"/>
      <c r="AM99" s="8"/>
      <c r="AO99" s="8"/>
      <c r="AQ99" s="8"/>
    </row>
    <row r="100" spans="1:47" x14ac:dyDescent="0.3">
      <c r="B100" s="162" t="s">
        <v>15</v>
      </c>
      <c r="C100" s="4">
        <v>0.62870000000000004</v>
      </c>
      <c r="D100" s="4">
        <v>2.1206999999999998</v>
      </c>
      <c r="E100" s="4">
        <v>1.3613999999999999</v>
      </c>
      <c r="F100" s="4">
        <v>1.03E-2</v>
      </c>
      <c r="G100" s="4">
        <v>2.0402</v>
      </c>
      <c r="H100" s="4">
        <v>0.1</v>
      </c>
      <c r="I100" s="4">
        <v>0.98299999999999998</v>
      </c>
      <c r="J100" s="3"/>
      <c r="K100" s="3"/>
      <c r="L100" s="163" t="s">
        <v>15</v>
      </c>
      <c r="M100" s="41">
        <f t="shared" si="34"/>
        <v>95.808966861598435</v>
      </c>
      <c r="N100" s="4">
        <f>(M100*G100/H100)/1000000/F100</f>
        <v>0.18977616911750789</v>
      </c>
      <c r="O100" s="4">
        <f>N100*D100/C100</f>
        <v>0.64014366446238091</v>
      </c>
      <c r="P100" s="4">
        <f>N100*0.1478+1.333</f>
        <v>1.3610489177955676</v>
      </c>
      <c r="Q100" s="41">
        <f t="shared" si="35"/>
        <v>1.3333510822044323</v>
      </c>
      <c r="R100" s="41">
        <f t="shared" si="36"/>
        <v>2.5514695089561227E-3</v>
      </c>
      <c r="S100" s="4">
        <f>R100*D100/C100</f>
        <v>8.606491788839269E-3</v>
      </c>
      <c r="T100" s="3"/>
      <c r="U100" s="3"/>
      <c r="V100" s="221" t="s">
        <v>15</v>
      </c>
      <c r="W100" s="7">
        <f>O100</f>
        <v>0.64014366446238091</v>
      </c>
      <c r="X100" s="7">
        <f>S100</f>
        <v>8.606491788839269E-3</v>
      </c>
      <c r="Y100" s="7">
        <f>1-X100-W100</f>
        <v>0.35124984374877977</v>
      </c>
      <c r="Z100" s="163" t="s">
        <v>69</v>
      </c>
      <c r="AA100" s="163" t="s">
        <v>8</v>
      </c>
      <c r="AB100" s="203"/>
      <c r="AC100" s="203"/>
      <c r="AG100" s="8"/>
      <c r="AI100" s="8"/>
      <c r="AK100" s="8"/>
      <c r="AM100" s="8"/>
      <c r="AO100" s="8"/>
      <c r="AQ100" s="8"/>
    </row>
    <row r="101" spans="1:47" x14ac:dyDescent="0.3">
      <c r="B101" s="162" t="s">
        <v>22</v>
      </c>
      <c r="C101" s="4">
        <f>AVERAGE(C98:C100)</f>
        <v>0.62793333333333334</v>
      </c>
      <c r="D101" s="4">
        <f>C101+1.5</f>
        <v>2.1279333333333335</v>
      </c>
      <c r="E101" s="4">
        <f>AVERAGE(E98:E100)</f>
        <v>1.3613333333333333</v>
      </c>
      <c r="F101" s="4">
        <f>AVERAGE(F98:F100)</f>
        <v>1.0866666666666669E-2</v>
      </c>
      <c r="G101" s="4">
        <f>AVERAGE(G98:G100)</f>
        <v>2.0409999999999999</v>
      </c>
      <c r="H101" s="4">
        <f>AVERAGE(H98:H100)</f>
        <v>0.10000000000000002</v>
      </c>
      <c r="I101" s="4">
        <f>AVERAGE(I98:I100)</f>
        <v>0.98566666666666658</v>
      </c>
      <c r="J101" s="3"/>
      <c r="K101" s="3"/>
      <c r="L101" s="163" t="s">
        <v>22</v>
      </c>
      <c r="M101" s="4">
        <f>AVERAGE(M98:M100)</f>
        <v>96.068875893437294</v>
      </c>
      <c r="N101" s="4">
        <f>AVERAGE(N98:N100)</f>
        <v>0.1806932700287236</v>
      </c>
      <c r="O101" s="4">
        <f>AVERAGE(O98:O100)</f>
        <v>0.61027534114865289</v>
      </c>
      <c r="P101" s="4">
        <f>AVERAGE(P98:P100)</f>
        <v>1.3597064653102453</v>
      </c>
      <c r="Q101" s="4">
        <f t="shared" ref="Q101:R101" si="37">AVERAGE(Q98:Q100)</f>
        <v>1.3346268680230879</v>
      </c>
      <c r="R101" s="4">
        <f t="shared" si="37"/>
        <v>1.182316877244171E-2</v>
      </c>
      <c r="S101" s="70">
        <f>AVERAGE(S98,S99)</f>
        <v>5.5612834310912268E-2</v>
      </c>
      <c r="T101" s="3"/>
      <c r="U101" s="3"/>
      <c r="V101" s="221" t="s">
        <v>22</v>
      </c>
      <c r="W101" s="7">
        <f>AVERAGE(W100)</f>
        <v>0.64014366446238091</v>
      </c>
      <c r="X101" s="7">
        <f>AVERAGE(X100)</f>
        <v>8.606491788839269E-3</v>
      </c>
      <c r="Y101" s="7">
        <f>AVERAGE(Y100)</f>
        <v>0.35124984374877977</v>
      </c>
      <c r="Z101" s="41">
        <f>C101/0.5</f>
        <v>1.2558666666666667</v>
      </c>
      <c r="AA101" s="41">
        <f>C102/0.5</f>
        <v>1.3613718571108713E-3</v>
      </c>
      <c r="AB101" s="203"/>
      <c r="AC101" s="203"/>
      <c r="AG101" s="8"/>
      <c r="AI101" s="8"/>
      <c r="AK101" s="8"/>
      <c r="AM101" s="8"/>
      <c r="AO101" s="8"/>
      <c r="AQ101" s="8"/>
    </row>
    <row r="102" spans="1:47" x14ac:dyDescent="0.3">
      <c r="B102" s="162" t="s">
        <v>8</v>
      </c>
      <c r="C102" s="4">
        <f t="shared" ref="C102:I102" si="38">_xlfn.STDEV.S(C98:C100)</f>
        <v>6.8068592855543566E-4</v>
      </c>
      <c r="D102" s="4">
        <f t="shared" si="38"/>
        <v>7.0945988845970149E-4</v>
      </c>
      <c r="E102" s="4">
        <f t="shared" si="38"/>
        <v>2.0816659994659034E-4</v>
      </c>
      <c r="F102" s="4">
        <f t="shared" si="38"/>
        <v>4.9328828623162481E-4</v>
      </c>
      <c r="G102" s="4">
        <f t="shared" si="38"/>
        <v>2.2113344387495655E-3</v>
      </c>
      <c r="H102" s="4">
        <f t="shared" si="38"/>
        <v>1.6996749443881478E-17</v>
      </c>
      <c r="I102" s="4">
        <f t="shared" si="38"/>
        <v>2.2120880030716036E-2</v>
      </c>
      <c r="J102" s="3"/>
      <c r="K102" s="3"/>
      <c r="L102" s="163" t="s">
        <v>8</v>
      </c>
      <c r="M102" s="4">
        <f t="shared" ref="M102:R102" si="39">_xlfn.STDEV.S(M98:M100)</f>
        <v>2.1560311920775876</v>
      </c>
      <c r="N102" s="4">
        <f t="shared" si="39"/>
        <v>9.2657410674256667E-3</v>
      </c>
      <c r="O102" s="4">
        <f t="shared" si="39"/>
        <v>3.0891954878820693E-2</v>
      </c>
      <c r="P102" s="4">
        <f t="shared" si="39"/>
        <v>1.3694765297654436E-3</v>
      </c>
      <c r="Q102" s="4">
        <f t="shared" si="39"/>
        <v>1.4401593647399246E-3</v>
      </c>
      <c r="R102" s="4">
        <f t="shared" si="39"/>
        <v>1.0466274453051778E-2</v>
      </c>
      <c r="S102" s="4">
        <f>_xlfn.STDEV.S(S99:S100)</f>
        <v>4.925960636897421E-2</v>
      </c>
      <c r="T102" s="3"/>
      <c r="U102" s="3"/>
      <c r="V102" s="221" t="s">
        <v>8</v>
      </c>
      <c r="W102" s="7">
        <f>_xlfn.STDEV.S(W98:W100)</f>
        <v>3.0891954878820693E-2</v>
      </c>
      <c r="X102" s="7">
        <f>_xlfn.STDEV.S(X98:X100)</f>
        <v>3.5353692166164491E-2</v>
      </c>
      <c r="Y102" s="7">
        <f>_xlfn.STDEV.S(Y98:Y100)</f>
        <v>5.9073064208716875E-3</v>
      </c>
      <c r="Z102" s="41">
        <f>C102/0.5</f>
        <v>1.3613718571108713E-3</v>
      </c>
      <c r="AA102" s="4"/>
      <c r="AB102" s="203"/>
      <c r="AC102" s="203"/>
      <c r="AG102" s="8"/>
      <c r="AI102" s="8"/>
      <c r="AK102" s="8"/>
      <c r="AM102" s="8"/>
      <c r="AO102" s="8"/>
      <c r="AQ102" s="8"/>
    </row>
    <row r="103" spans="1:47" x14ac:dyDescent="0.3">
      <c r="C103" s="3"/>
      <c r="D103" s="3"/>
      <c r="E103" s="3"/>
      <c r="F103" s="3"/>
      <c r="G103" s="3"/>
      <c r="H103" s="3"/>
      <c r="I103" s="3"/>
      <c r="J103" s="3"/>
      <c r="K103" s="3"/>
      <c r="L103" s="3"/>
      <c r="M103" s="3"/>
      <c r="N103" s="3"/>
      <c r="O103" s="3"/>
      <c r="P103" s="3"/>
      <c r="Q103" s="3"/>
      <c r="R103" s="3"/>
      <c r="S103" s="3"/>
      <c r="T103" s="3"/>
      <c r="U103" s="3"/>
      <c r="V103" s="83"/>
      <c r="W103" s="83"/>
      <c r="X103" s="83"/>
      <c r="Y103" s="83"/>
      <c r="Z103" s="3"/>
      <c r="AA103" s="3"/>
      <c r="AB103" s="3"/>
      <c r="AC103" s="3"/>
      <c r="AG103" s="8"/>
      <c r="AI103" s="8"/>
      <c r="AK103" s="8"/>
      <c r="AM103" s="8"/>
      <c r="AO103" s="8"/>
      <c r="AQ103" s="8"/>
    </row>
    <row r="104" spans="1:47" x14ac:dyDescent="0.3">
      <c r="C104" s="3"/>
      <c r="D104" s="3"/>
      <c r="E104" s="3"/>
      <c r="F104" s="3"/>
      <c r="G104" s="3"/>
      <c r="H104" s="3"/>
      <c r="I104" s="3"/>
      <c r="J104" s="3"/>
      <c r="K104" s="3"/>
      <c r="L104" s="3"/>
      <c r="M104" s="3"/>
      <c r="N104" s="3"/>
      <c r="O104" s="3"/>
      <c r="P104" s="3"/>
      <c r="Q104" s="3"/>
      <c r="R104" s="3"/>
      <c r="S104" s="3"/>
      <c r="T104" s="3"/>
      <c r="U104" s="3"/>
      <c r="V104" s="83"/>
      <c r="W104" s="83"/>
      <c r="X104" s="83"/>
      <c r="Y104" s="83"/>
      <c r="Z104" s="3"/>
      <c r="AA104" s="3"/>
      <c r="AB104" s="3"/>
      <c r="AC104" s="3"/>
      <c r="AG104" s="8"/>
      <c r="AI104" s="8"/>
      <c r="AK104" s="8"/>
      <c r="AM104" s="8"/>
      <c r="AO104" s="8"/>
      <c r="AQ104" s="8"/>
    </row>
    <row r="105" spans="1:47" x14ac:dyDescent="0.3">
      <c r="C105" s="3"/>
      <c r="D105" s="3"/>
      <c r="E105" s="3"/>
      <c r="F105" s="3"/>
      <c r="G105" s="3"/>
      <c r="H105" s="3"/>
      <c r="I105" s="3"/>
      <c r="J105" s="3"/>
      <c r="K105" s="3"/>
      <c r="L105" s="3"/>
      <c r="M105" s="3"/>
      <c r="N105" s="3"/>
      <c r="O105" s="3"/>
      <c r="P105" s="3"/>
      <c r="Q105" s="3"/>
      <c r="R105" s="3"/>
      <c r="S105" s="3"/>
      <c r="T105" s="3"/>
      <c r="U105" s="3"/>
      <c r="V105" s="83"/>
      <c r="W105" s="83">
        <f>W92</f>
        <v>0.1275901410544604</v>
      </c>
      <c r="X105" s="83">
        <f>X92</f>
        <v>0.30791031364825089</v>
      </c>
      <c r="Y105" s="83"/>
      <c r="Z105" s="3"/>
      <c r="AA105" s="3"/>
      <c r="AB105" s="3"/>
      <c r="AC105" s="3"/>
    </row>
    <row r="106" spans="1:47" x14ac:dyDescent="0.3">
      <c r="A106" s="17"/>
      <c r="B106" s="17"/>
      <c r="C106" s="19"/>
      <c r="D106" s="19"/>
      <c r="E106" s="19"/>
      <c r="F106" s="19"/>
      <c r="G106" s="19"/>
      <c r="H106" s="19"/>
      <c r="I106" s="19"/>
      <c r="J106" s="19"/>
      <c r="K106" s="19"/>
      <c r="L106" s="19"/>
      <c r="M106" s="19"/>
      <c r="N106" s="19"/>
      <c r="O106" s="19"/>
      <c r="P106" s="19"/>
      <c r="Q106" s="19"/>
      <c r="R106" s="19"/>
      <c r="S106" s="19"/>
      <c r="T106" s="19"/>
      <c r="U106" s="19"/>
      <c r="V106" s="20"/>
      <c r="W106" s="83">
        <f>W101</f>
        <v>0.64014366446238091</v>
      </c>
      <c r="X106" s="83">
        <f>X101</f>
        <v>8.606491788839269E-3</v>
      </c>
      <c r="Y106" s="20"/>
      <c r="Z106" s="19"/>
      <c r="AA106" s="19"/>
      <c r="AB106" s="19"/>
      <c r="AC106" s="19"/>
      <c r="AD106" s="17"/>
      <c r="AE106" s="17"/>
      <c r="AF106" s="17"/>
      <c r="AG106" s="17"/>
      <c r="AH106" s="17"/>
      <c r="AI106" s="17"/>
      <c r="AJ106" s="17"/>
      <c r="AK106" s="17"/>
      <c r="AL106" s="17"/>
      <c r="AM106" s="17"/>
      <c r="AN106" s="17"/>
      <c r="AO106" s="17"/>
      <c r="AP106" s="17"/>
      <c r="AQ106" s="17"/>
      <c r="AR106" s="17"/>
      <c r="AS106" s="17"/>
      <c r="AT106" s="17"/>
      <c r="AU106" s="17"/>
    </row>
    <row r="107" spans="1:47" x14ac:dyDescent="0.3">
      <c r="A107" s="17"/>
      <c r="B107" s="17"/>
      <c r="C107" s="19"/>
      <c r="D107" s="19"/>
      <c r="E107" s="19"/>
      <c r="F107" s="19"/>
      <c r="G107" s="19"/>
      <c r="H107" s="19"/>
      <c r="I107" s="19"/>
      <c r="J107" s="19"/>
      <c r="K107" s="19"/>
      <c r="L107" s="19"/>
      <c r="M107" s="19"/>
      <c r="N107" s="19"/>
      <c r="O107" s="19"/>
      <c r="P107" s="19"/>
      <c r="Q107" s="19"/>
      <c r="R107" s="19"/>
      <c r="S107" s="19"/>
      <c r="T107" s="19"/>
      <c r="U107" s="19"/>
      <c r="V107" s="20"/>
      <c r="W107" s="83">
        <f>J85</f>
        <v>0.3</v>
      </c>
      <c r="X107" s="83">
        <f>K85</f>
        <v>0.19999999999999998</v>
      </c>
      <c r="Y107" s="20"/>
      <c r="Z107" s="19"/>
      <c r="AA107" s="19"/>
      <c r="AB107" s="19"/>
      <c r="AC107" s="19"/>
      <c r="AD107" s="17"/>
      <c r="AE107" s="17"/>
      <c r="AF107" s="17"/>
      <c r="AG107" s="17"/>
      <c r="AH107" s="17"/>
      <c r="AI107" s="17"/>
      <c r="AJ107" s="17"/>
      <c r="AK107" s="17"/>
      <c r="AL107" s="17"/>
      <c r="AM107" s="17"/>
      <c r="AN107" s="17"/>
      <c r="AO107" s="17"/>
      <c r="AP107" s="17"/>
      <c r="AQ107" s="17"/>
      <c r="AR107" s="17"/>
      <c r="AS107" s="17"/>
      <c r="AT107" s="17"/>
      <c r="AU107" s="17"/>
    </row>
    <row r="108" spans="1:47" x14ac:dyDescent="0.3">
      <c r="A108" s="17"/>
      <c r="B108" s="17"/>
      <c r="C108" s="19"/>
      <c r="D108" s="19"/>
      <c r="E108" s="19"/>
      <c r="F108" s="19"/>
      <c r="G108" s="19"/>
      <c r="H108" s="19"/>
      <c r="I108" s="19"/>
      <c r="J108" s="19"/>
      <c r="K108" s="19"/>
      <c r="L108" s="19"/>
      <c r="M108" s="19"/>
      <c r="N108" s="19"/>
      <c r="O108" s="19"/>
      <c r="P108" s="19"/>
      <c r="Q108" s="19"/>
      <c r="R108" s="19"/>
      <c r="S108" s="19"/>
      <c r="T108" s="19"/>
      <c r="U108" s="19"/>
      <c r="V108" s="20"/>
      <c r="W108" s="20"/>
      <c r="X108" s="20"/>
      <c r="Y108" s="20"/>
      <c r="Z108" s="19"/>
      <c r="AA108" s="19"/>
      <c r="AB108" s="19"/>
      <c r="AC108" s="19"/>
      <c r="AD108" s="17"/>
      <c r="AE108" s="17"/>
      <c r="AF108" s="17"/>
      <c r="AG108" s="17"/>
      <c r="AH108" s="17"/>
      <c r="AI108" s="17"/>
      <c r="AJ108" s="17"/>
      <c r="AK108" s="17"/>
      <c r="AL108" s="17"/>
      <c r="AM108" s="17"/>
      <c r="AN108" s="17"/>
      <c r="AO108" s="17"/>
      <c r="AP108" s="17"/>
      <c r="AQ108" s="17"/>
      <c r="AR108" s="17"/>
      <c r="AS108" s="17"/>
      <c r="AT108" s="17"/>
      <c r="AU108" s="17"/>
    </row>
    <row r="109" spans="1:47" x14ac:dyDescent="0.3">
      <c r="A109" s="17"/>
      <c r="B109" s="17"/>
      <c r="C109" s="19"/>
      <c r="D109" s="19"/>
      <c r="E109" s="19"/>
      <c r="F109" s="19"/>
      <c r="G109" s="19"/>
      <c r="H109" s="19"/>
      <c r="I109" s="19"/>
      <c r="J109" s="19"/>
      <c r="K109" s="19"/>
      <c r="L109" s="19"/>
      <c r="M109" s="19"/>
      <c r="N109" s="19"/>
      <c r="O109" s="19"/>
      <c r="P109" s="19"/>
      <c r="Q109" s="19"/>
      <c r="R109" s="19"/>
      <c r="S109" s="19"/>
      <c r="T109" s="19"/>
      <c r="U109" s="19"/>
      <c r="V109" s="20"/>
      <c r="W109" s="20"/>
      <c r="X109" s="20"/>
      <c r="Y109" s="20"/>
      <c r="Z109" s="19"/>
      <c r="AA109" s="19"/>
      <c r="AB109" s="19"/>
      <c r="AC109" s="19"/>
      <c r="AD109" s="17"/>
      <c r="AE109" s="17"/>
      <c r="AF109" s="17"/>
      <c r="AG109" s="17"/>
      <c r="AH109" s="17"/>
      <c r="AI109" s="17"/>
      <c r="AJ109" s="17"/>
      <c r="AK109" s="17"/>
      <c r="AL109" s="17"/>
      <c r="AM109" s="17"/>
      <c r="AN109" s="17"/>
      <c r="AO109" s="17"/>
      <c r="AP109" s="17"/>
      <c r="AQ109" s="17"/>
      <c r="AR109" s="17"/>
      <c r="AS109" s="17"/>
      <c r="AT109" s="17"/>
      <c r="AU109" s="17"/>
    </row>
    <row r="110" spans="1:47" x14ac:dyDescent="0.3">
      <c r="A110" s="215" t="s">
        <v>54</v>
      </c>
      <c r="C110" s="3"/>
      <c r="D110" s="3"/>
      <c r="E110" s="3"/>
      <c r="F110" s="3"/>
      <c r="G110" s="3"/>
      <c r="H110" s="3"/>
      <c r="I110" s="3"/>
      <c r="J110" s="3"/>
      <c r="K110" s="3"/>
      <c r="L110" s="3"/>
      <c r="M110" s="3"/>
      <c r="N110" s="3"/>
      <c r="O110" s="3"/>
      <c r="P110" s="3"/>
      <c r="Q110" s="3"/>
      <c r="R110" s="3"/>
      <c r="S110" s="3"/>
      <c r="T110" s="3"/>
      <c r="U110" s="3"/>
      <c r="V110" s="83"/>
      <c r="W110" s="83" t="str">
        <f>W97</f>
        <v>MDX %</v>
      </c>
      <c r="X110" s="83" t="str">
        <f>X97</f>
        <v>PEG %</v>
      </c>
      <c r="Y110" s="83"/>
      <c r="Z110" s="3"/>
      <c r="AA110" s="19"/>
      <c r="AB110" s="19"/>
      <c r="AC110" s="19"/>
      <c r="AD110" s="17"/>
      <c r="AE110" s="17"/>
      <c r="AF110" s="17"/>
      <c r="AG110" s="17"/>
      <c r="AH110" s="17"/>
      <c r="AI110" s="17"/>
      <c r="AJ110" s="17"/>
      <c r="AK110" s="17"/>
      <c r="AL110" s="17"/>
      <c r="AM110" s="17"/>
      <c r="AN110" s="17"/>
      <c r="AO110" s="17"/>
      <c r="AP110" s="17"/>
      <c r="AQ110" s="17"/>
      <c r="AR110" s="17"/>
      <c r="AS110" s="17"/>
      <c r="AT110" s="17"/>
      <c r="AU110" s="17"/>
    </row>
    <row r="111" spans="1:47" x14ac:dyDescent="0.3">
      <c r="B111" s="162"/>
      <c r="C111" s="304" t="s">
        <v>19</v>
      </c>
      <c r="D111" s="304"/>
      <c r="E111" s="304"/>
      <c r="F111" s="204"/>
      <c r="G111" s="129"/>
      <c r="H111" s="129"/>
      <c r="I111" s="163"/>
      <c r="J111" s="304" t="s">
        <v>20</v>
      </c>
      <c r="K111" s="304"/>
      <c r="L111" s="163"/>
      <c r="M111" s="3"/>
      <c r="N111" s="3"/>
      <c r="O111" s="3"/>
      <c r="P111" s="3"/>
      <c r="Q111" s="3"/>
      <c r="R111" s="3"/>
      <c r="S111" s="3"/>
      <c r="T111" s="3"/>
      <c r="U111" s="3"/>
      <c r="V111" s="83"/>
      <c r="W111" s="83">
        <f>W106</f>
        <v>0.64014366446238091</v>
      </c>
      <c r="X111" s="83">
        <f>X106</f>
        <v>8.606491788839269E-3</v>
      </c>
      <c r="Y111" s="83"/>
      <c r="Z111" s="3"/>
      <c r="AA111" s="19"/>
      <c r="AB111" s="19"/>
      <c r="AC111" s="19"/>
      <c r="AD111" s="17"/>
      <c r="AE111" s="17"/>
      <c r="AF111" s="17"/>
      <c r="AG111" s="17"/>
      <c r="AH111" s="17"/>
      <c r="AI111" s="17"/>
      <c r="AJ111" s="17"/>
      <c r="AK111" s="17"/>
      <c r="AL111" s="17"/>
      <c r="AM111" s="17"/>
      <c r="AN111" s="17"/>
      <c r="AO111" s="17"/>
      <c r="AP111" s="17"/>
      <c r="AQ111" s="17"/>
      <c r="AR111" s="17"/>
      <c r="AS111" s="17"/>
      <c r="AT111" s="17"/>
      <c r="AU111" s="17"/>
    </row>
    <row r="112" spans="1:47" x14ac:dyDescent="0.3">
      <c r="B112" s="162" t="s">
        <v>12</v>
      </c>
      <c r="C112" s="163" t="s">
        <v>51</v>
      </c>
      <c r="D112" s="163" t="s">
        <v>40</v>
      </c>
      <c r="E112" s="163" t="s">
        <v>21</v>
      </c>
      <c r="F112" s="3"/>
      <c r="G112" s="3"/>
      <c r="H112" s="3"/>
      <c r="I112" s="163" t="s">
        <v>12</v>
      </c>
      <c r="J112" s="163" t="s">
        <v>17</v>
      </c>
      <c r="K112" s="163" t="s">
        <v>18</v>
      </c>
      <c r="L112" s="163" t="s">
        <v>44</v>
      </c>
      <c r="M112" s="3"/>
      <c r="N112" s="3"/>
      <c r="O112" s="3"/>
      <c r="P112" s="3"/>
      <c r="Q112" s="3"/>
      <c r="R112" s="3"/>
      <c r="S112" s="3"/>
      <c r="T112" s="3"/>
      <c r="U112" s="3"/>
      <c r="V112" s="83"/>
      <c r="W112" s="83">
        <f>J90</f>
        <v>0</v>
      </c>
      <c r="X112" s="83">
        <f>K90</f>
        <v>0</v>
      </c>
      <c r="Y112" s="83"/>
      <c r="Z112" s="3"/>
      <c r="AA112" s="19"/>
      <c r="AB112" s="19"/>
      <c r="AC112" s="19"/>
      <c r="AD112" s="17"/>
      <c r="AE112" s="17"/>
      <c r="AF112" s="17"/>
      <c r="AG112" s="17"/>
      <c r="AH112" s="17"/>
      <c r="AI112" s="17"/>
      <c r="AJ112" s="17"/>
      <c r="AK112" s="17"/>
      <c r="AL112" s="17"/>
      <c r="AM112" s="17"/>
      <c r="AN112" s="17"/>
      <c r="AO112" s="17"/>
      <c r="AP112" s="17"/>
      <c r="AQ112" s="17"/>
      <c r="AR112" s="17"/>
      <c r="AS112" s="17"/>
      <c r="AT112" s="17"/>
      <c r="AU112" s="17"/>
    </row>
    <row r="113" spans="2:47" x14ac:dyDescent="0.3">
      <c r="B113" s="162" t="s">
        <v>13</v>
      </c>
      <c r="C113" s="4">
        <v>5.03</v>
      </c>
      <c r="D113" s="4">
        <v>5.0199999999999996</v>
      </c>
      <c r="E113" s="4">
        <f>SUM(C113:D113)</f>
        <v>10.050000000000001</v>
      </c>
      <c r="F113" s="3"/>
      <c r="G113" s="3"/>
      <c r="H113" s="3"/>
      <c r="I113" s="163" t="s">
        <v>13</v>
      </c>
      <c r="J113" s="7">
        <f>C113*0.6/E113</f>
        <v>0.30029850746268655</v>
      </c>
      <c r="K113" s="7">
        <f>(D113*0.2)/E113</f>
        <v>9.9900497512437805E-2</v>
      </c>
      <c r="L113" s="7">
        <f>1-K113-J113</f>
        <v>0.59980099502487572</v>
      </c>
      <c r="M113" s="3"/>
      <c r="N113" s="3"/>
      <c r="O113" s="3"/>
      <c r="P113" s="3"/>
      <c r="Q113" s="3"/>
      <c r="R113" s="3"/>
      <c r="S113" s="3"/>
      <c r="T113" s="3"/>
      <c r="U113" s="3"/>
      <c r="V113" s="207" t="s">
        <v>12</v>
      </c>
      <c r="W113" s="207" t="s">
        <v>17</v>
      </c>
      <c r="X113" s="207" t="s">
        <v>18</v>
      </c>
      <c r="Y113" s="207" t="s">
        <v>44</v>
      </c>
      <c r="Z113" s="3"/>
      <c r="AA113" s="19"/>
      <c r="AB113" s="19"/>
      <c r="AC113" s="19"/>
      <c r="AD113" s="17"/>
      <c r="AE113" s="17"/>
      <c r="AF113" s="17"/>
      <c r="AG113" s="17"/>
      <c r="AH113" s="17"/>
      <c r="AI113" s="17"/>
      <c r="AJ113" s="17"/>
      <c r="AK113" s="17"/>
      <c r="AL113" s="17"/>
      <c r="AM113" s="17"/>
      <c r="AN113" s="17"/>
      <c r="AO113" s="17"/>
      <c r="AP113" s="17"/>
      <c r="AQ113" s="17"/>
      <c r="AR113" s="17"/>
      <c r="AS113" s="17"/>
      <c r="AT113" s="17"/>
      <c r="AU113" s="17"/>
    </row>
    <row r="114" spans="2:47" x14ac:dyDescent="0.3">
      <c r="B114" s="2"/>
      <c r="C114" s="4"/>
      <c r="D114" s="4"/>
      <c r="E114" s="4"/>
      <c r="F114" s="3"/>
      <c r="G114" s="3"/>
      <c r="H114" s="3"/>
      <c r="I114" s="163"/>
      <c r="J114" s="7"/>
      <c r="K114" s="7"/>
      <c r="L114" s="7"/>
      <c r="M114" s="3"/>
      <c r="N114" s="3"/>
      <c r="O114" s="3"/>
      <c r="P114" s="3"/>
      <c r="Q114" s="3"/>
      <c r="R114" s="3"/>
      <c r="S114" s="3"/>
      <c r="T114" s="3"/>
      <c r="U114" s="3"/>
      <c r="V114" s="207" t="s">
        <v>13</v>
      </c>
      <c r="W114" s="207">
        <f>J116</f>
        <v>0.30029850746268655</v>
      </c>
      <c r="X114" s="207">
        <f>K116</f>
        <v>9.9900497512437805E-2</v>
      </c>
      <c r="Y114" s="207">
        <f>L116</f>
        <v>0.59980099502487572</v>
      </c>
      <c r="Z114" s="3"/>
      <c r="AA114" s="19"/>
      <c r="AB114" s="19"/>
      <c r="AC114" s="19"/>
      <c r="AD114" s="17"/>
      <c r="AE114" s="17"/>
      <c r="AF114" s="17"/>
      <c r="AG114" s="17"/>
      <c r="AH114" s="17"/>
      <c r="AI114" s="17"/>
      <c r="AJ114" s="17"/>
      <c r="AK114" s="17"/>
      <c r="AL114" s="17"/>
      <c r="AM114" s="17"/>
      <c r="AN114" s="17"/>
      <c r="AO114" s="17"/>
      <c r="AP114" s="17"/>
      <c r="AQ114" s="17"/>
      <c r="AR114" s="17"/>
      <c r="AS114" s="17"/>
      <c r="AT114" s="17"/>
      <c r="AU114" s="17"/>
    </row>
    <row r="115" spans="2:47" x14ac:dyDescent="0.3">
      <c r="B115" s="2"/>
      <c r="C115" s="4"/>
      <c r="D115" s="4"/>
      <c r="E115" s="4"/>
      <c r="F115" s="3"/>
      <c r="G115" s="3"/>
      <c r="H115" s="3"/>
      <c r="I115" s="163"/>
      <c r="J115" s="7"/>
      <c r="K115" s="7"/>
      <c r="L115" s="7"/>
      <c r="M115" s="3"/>
      <c r="N115" s="3"/>
      <c r="O115" s="3"/>
      <c r="P115" s="3" t="s">
        <v>1</v>
      </c>
      <c r="Q115" s="3" t="s">
        <v>42</v>
      </c>
      <c r="R115" s="3"/>
      <c r="S115" s="3"/>
      <c r="T115" s="3"/>
      <c r="U115" s="3"/>
      <c r="V115" s="207" t="s">
        <v>53</v>
      </c>
      <c r="W115" s="207">
        <f>W123</f>
        <v>0.13852663503088306</v>
      </c>
      <c r="X115" s="207">
        <f>X123</f>
        <v>0.18894888454608902</v>
      </c>
      <c r="Y115" s="207">
        <f>Y123</f>
        <v>0.67252448042302804</v>
      </c>
      <c r="Z115" s="3"/>
      <c r="AA115" s="19"/>
      <c r="AB115" s="19"/>
      <c r="AC115" s="19"/>
      <c r="AD115" s="17"/>
      <c r="AE115" s="17"/>
      <c r="AF115" s="17"/>
      <c r="AG115" s="17"/>
      <c r="AH115" s="17"/>
      <c r="AI115" s="17"/>
      <c r="AJ115" s="17"/>
      <c r="AK115" s="17"/>
      <c r="AL115" s="17"/>
      <c r="AM115" s="17"/>
      <c r="AN115" s="17"/>
      <c r="AO115" s="17"/>
      <c r="AP115" s="17"/>
      <c r="AQ115" s="17"/>
      <c r="AR115" s="17"/>
      <c r="AS115" s="17"/>
      <c r="AT115" s="17"/>
      <c r="AU115" s="17"/>
    </row>
    <row r="116" spans="2:47" x14ac:dyDescent="0.3">
      <c r="C116" s="3"/>
      <c r="D116" s="3"/>
      <c r="E116" s="3"/>
      <c r="F116" s="3"/>
      <c r="G116" s="3"/>
      <c r="H116" s="3"/>
      <c r="I116" s="163" t="s">
        <v>22</v>
      </c>
      <c r="J116" s="7">
        <f>AVERAGE(J113:J115)</f>
        <v>0.30029850746268655</v>
      </c>
      <c r="K116" s="7">
        <f>AVERAGE(K113:K115)</f>
        <v>9.9900497512437805E-2</v>
      </c>
      <c r="L116" s="7">
        <f>AVERAGE(L113:L115)</f>
        <v>0.59980099502487572</v>
      </c>
      <c r="M116" s="3"/>
      <c r="N116" s="3"/>
      <c r="O116" s="3"/>
      <c r="P116" s="3" t="s">
        <v>0</v>
      </c>
      <c r="Q116" s="3" t="s">
        <v>59</v>
      </c>
      <c r="R116" s="3"/>
      <c r="S116" s="3"/>
      <c r="T116" s="3"/>
      <c r="U116" s="3"/>
      <c r="V116" s="207" t="s">
        <v>14</v>
      </c>
      <c r="W116" s="207">
        <f>W132</f>
        <v>0.48533153600175966</v>
      </c>
      <c r="X116" s="207">
        <v>1E-3</v>
      </c>
      <c r="Y116" s="207">
        <f>Y132</f>
        <v>0.51016495756070568</v>
      </c>
      <c r="Z116" s="3"/>
      <c r="AA116" s="19"/>
      <c r="AB116" s="19"/>
      <c r="AC116" s="19"/>
      <c r="AD116" s="17"/>
      <c r="AE116" s="17"/>
      <c r="AF116" s="17"/>
      <c r="AG116" s="17"/>
      <c r="AH116" s="17"/>
      <c r="AI116" s="17"/>
      <c r="AJ116" s="17"/>
      <c r="AK116" s="17"/>
      <c r="AL116" s="17"/>
      <c r="AM116" s="17"/>
      <c r="AN116" s="17"/>
      <c r="AO116" s="17"/>
      <c r="AP116" s="17"/>
      <c r="AQ116" s="17"/>
      <c r="AR116" s="17"/>
      <c r="AS116" s="17"/>
      <c r="AT116" s="17"/>
      <c r="AU116" s="17"/>
    </row>
    <row r="117" spans="2:47" x14ac:dyDescent="0.3">
      <c r="B117" t="s">
        <v>31</v>
      </c>
      <c r="C117" s="3"/>
      <c r="D117" s="3"/>
      <c r="E117" s="3"/>
      <c r="F117" s="3"/>
      <c r="G117" s="3"/>
      <c r="H117" s="3"/>
      <c r="I117" s="163" t="s">
        <v>8</v>
      </c>
      <c r="J117" s="7" t="e">
        <f>_xlfn.STDEV.S(J113:J115)</f>
        <v>#DIV/0!</v>
      </c>
      <c r="K117" s="7" t="e">
        <f>_xlfn.STDEV.S(K113:K115)</f>
        <v>#DIV/0!</v>
      </c>
      <c r="L117" s="7" t="e">
        <f>_xlfn.STDEV.S(L113:L115)</f>
        <v>#DIV/0!</v>
      </c>
      <c r="M117" s="3"/>
      <c r="N117" s="3"/>
      <c r="O117" s="3"/>
      <c r="P117" s="3"/>
      <c r="Q117" s="3"/>
      <c r="R117" s="3"/>
      <c r="S117" s="3"/>
      <c r="T117" s="3"/>
      <c r="U117" s="3"/>
      <c r="V117" s="83"/>
      <c r="W117" s="83"/>
      <c r="X117" s="83"/>
      <c r="Y117" s="83"/>
      <c r="Z117" s="3"/>
      <c r="AA117" s="19"/>
      <c r="AB117" s="19"/>
      <c r="AC117" s="19"/>
      <c r="AD117" s="17"/>
      <c r="AE117" s="17"/>
      <c r="AF117" s="17"/>
      <c r="AG117" s="17"/>
      <c r="AH117" s="17"/>
      <c r="AI117" s="17"/>
      <c r="AJ117" s="17"/>
      <c r="AK117" s="17"/>
      <c r="AL117" s="17"/>
      <c r="AM117" s="17"/>
      <c r="AN117" s="17"/>
      <c r="AO117" s="17"/>
      <c r="AP117" s="17"/>
      <c r="AQ117" s="17"/>
      <c r="AR117" s="17"/>
      <c r="AS117" s="17"/>
      <c r="AT117" s="17"/>
      <c r="AU117" s="17"/>
    </row>
    <row r="118" spans="2:47" x14ac:dyDescent="0.3">
      <c r="B118">
        <v>1.5</v>
      </c>
      <c r="C118" s="3"/>
      <c r="D118" s="3"/>
      <c r="E118" s="3"/>
      <c r="F118" s="3"/>
      <c r="G118" s="3"/>
      <c r="H118" s="3"/>
      <c r="I118" s="3"/>
      <c r="J118" s="83"/>
      <c r="K118" s="83"/>
      <c r="L118" s="83"/>
      <c r="M118" s="3"/>
      <c r="N118" s="3"/>
      <c r="O118" s="3"/>
      <c r="P118" s="3"/>
      <c r="Q118" s="3"/>
      <c r="R118" s="3"/>
      <c r="S118" s="3"/>
      <c r="T118" s="3"/>
      <c r="U118" s="3"/>
      <c r="V118" s="218" t="s">
        <v>20</v>
      </c>
      <c r="W118" s="219"/>
      <c r="X118" s="219"/>
      <c r="Y118" s="220"/>
      <c r="Z118" s="3"/>
      <c r="AA118" s="19"/>
      <c r="AB118" s="19"/>
      <c r="AC118" s="19"/>
      <c r="AD118" s="17"/>
      <c r="AE118" s="17"/>
      <c r="AF118" s="17"/>
      <c r="AG118" s="17"/>
      <c r="AH118" s="17"/>
      <c r="AI118" s="17"/>
      <c r="AJ118" s="17"/>
      <c r="AK118" s="17"/>
      <c r="AL118" s="17"/>
      <c r="AM118" s="17"/>
      <c r="AN118" s="17"/>
      <c r="AO118" s="17"/>
      <c r="AP118" s="17"/>
      <c r="AQ118" s="17"/>
      <c r="AR118" s="17"/>
      <c r="AS118" s="17"/>
      <c r="AT118" s="17"/>
      <c r="AU118" s="17"/>
    </row>
    <row r="119" spans="2:47" x14ac:dyDescent="0.3">
      <c r="B119" s="162" t="s">
        <v>10</v>
      </c>
      <c r="C119" s="163" t="s">
        <v>23</v>
      </c>
      <c r="D119" s="163" t="s">
        <v>32</v>
      </c>
      <c r="E119" s="163" t="s">
        <v>24</v>
      </c>
      <c r="F119" s="163" t="s">
        <v>33</v>
      </c>
      <c r="G119" s="163" t="s">
        <v>28</v>
      </c>
      <c r="H119" s="163" t="s">
        <v>27</v>
      </c>
      <c r="I119" s="163" t="s">
        <v>26</v>
      </c>
      <c r="J119" s="3"/>
      <c r="K119" s="3"/>
      <c r="L119" s="163" t="s">
        <v>10</v>
      </c>
      <c r="M119" s="163" t="s">
        <v>30</v>
      </c>
      <c r="N119" s="163" t="s">
        <v>36</v>
      </c>
      <c r="O119" s="163" t="s">
        <v>35</v>
      </c>
      <c r="P119" s="163" t="s">
        <v>37</v>
      </c>
      <c r="Q119" s="163" t="s">
        <v>38</v>
      </c>
      <c r="R119" s="163" t="s">
        <v>39</v>
      </c>
      <c r="S119" s="163" t="s">
        <v>47</v>
      </c>
      <c r="T119" s="3"/>
      <c r="U119" s="3"/>
      <c r="V119" s="221" t="s">
        <v>10</v>
      </c>
      <c r="W119" s="221" t="s">
        <v>17</v>
      </c>
      <c r="X119" s="221" t="s">
        <v>18</v>
      </c>
      <c r="Y119" s="221" t="s">
        <v>44</v>
      </c>
      <c r="Z119" s="3"/>
      <c r="AA119" s="19"/>
      <c r="AB119" s="19"/>
      <c r="AC119" s="19"/>
      <c r="AD119" s="17"/>
      <c r="AE119" s="17"/>
      <c r="AF119" s="17"/>
      <c r="AG119" s="17"/>
      <c r="AH119" s="17"/>
      <c r="AI119" s="17"/>
      <c r="AJ119" s="17"/>
      <c r="AK119" s="17"/>
      <c r="AL119" s="17"/>
      <c r="AM119" s="17"/>
      <c r="AN119" s="17"/>
      <c r="AO119" s="17"/>
      <c r="AP119" s="17"/>
      <c r="AQ119" s="17"/>
      <c r="AR119" s="17"/>
      <c r="AS119" s="17"/>
      <c r="AT119" s="17"/>
      <c r="AU119" s="17"/>
    </row>
    <row r="120" spans="2:47" x14ac:dyDescent="0.3">
      <c r="B120" s="162" t="s">
        <v>13</v>
      </c>
      <c r="C120" s="4">
        <v>0.53700000000000003</v>
      </c>
      <c r="D120" s="4">
        <v>2.0287000000000002</v>
      </c>
      <c r="E120" s="4">
        <v>1.3452999999999999</v>
      </c>
      <c r="F120" s="4">
        <v>1.06E-2</v>
      </c>
      <c r="G120" s="4">
        <v>2.0162</v>
      </c>
      <c r="H120" s="4">
        <v>0.1</v>
      </c>
      <c r="I120" s="4">
        <v>0.21099999999999999</v>
      </c>
      <c r="J120" s="3"/>
      <c r="K120" s="3"/>
      <c r="L120" s="163" t="s">
        <v>13</v>
      </c>
      <c r="M120" s="41">
        <f>I120/0.01026</f>
        <v>20.565302144249511</v>
      </c>
      <c r="N120" s="4">
        <f>(M120*G120/H120)/1000000/F120</f>
        <v>3.9116756776637604E-2</v>
      </c>
      <c r="O120" s="4">
        <f>N120*D120/C120</f>
        <v>0.1477768425936028</v>
      </c>
      <c r="P120" s="4">
        <f>N120*0.1478+1.333</f>
        <v>1.338781456651587</v>
      </c>
      <c r="Q120" s="41">
        <f>E120-(P120-1.333)</f>
        <v>1.3395185433484129</v>
      </c>
      <c r="R120" s="41">
        <f>(Q120-1.333)/0.1374</f>
        <v>4.7442091327605192E-2</v>
      </c>
      <c r="S120" s="4">
        <f>R120*D120/C120</f>
        <v>0.17922862323335692</v>
      </c>
      <c r="T120" s="3"/>
      <c r="U120" s="3"/>
      <c r="V120" s="221" t="s">
        <v>13</v>
      </c>
      <c r="W120" s="7">
        <f>O120</f>
        <v>0.1477768425936028</v>
      </c>
      <c r="X120" s="7">
        <f>S120</f>
        <v>0.17922862323335692</v>
      </c>
      <c r="Y120" s="7">
        <f>1-X120-W120</f>
        <v>0.67299453417304034</v>
      </c>
      <c r="Z120" s="3"/>
      <c r="AA120" s="19"/>
      <c r="AB120" s="19"/>
      <c r="AC120" s="19"/>
      <c r="AD120" s="17"/>
      <c r="AE120" s="17"/>
      <c r="AF120" s="17"/>
      <c r="AG120" s="17"/>
      <c r="AH120" s="17"/>
      <c r="AI120" s="17"/>
      <c r="AJ120" s="17"/>
      <c r="AK120" s="17"/>
      <c r="AL120" s="17"/>
      <c r="AM120" s="17"/>
      <c r="AN120" s="17"/>
      <c r="AO120" s="17"/>
      <c r="AP120" s="17"/>
      <c r="AQ120" s="17"/>
      <c r="AR120" s="17"/>
      <c r="AS120" s="17"/>
      <c r="AT120" s="17"/>
      <c r="AU120" s="17"/>
    </row>
    <row r="121" spans="2:47" x14ac:dyDescent="0.3">
      <c r="B121" s="162" t="s">
        <v>14</v>
      </c>
      <c r="C121" s="4">
        <v>0.54430000000000001</v>
      </c>
      <c r="D121" s="4">
        <v>2.0348000000000002</v>
      </c>
      <c r="E121" s="4">
        <v>1.3454999999999999</v>
      </c>
      <c r="F121" s="4">
        <v>1.0699999999999999E-2</v>
      </c>
      <c r="G121" s="4">
        <v>2.0143</v>
      </c>
      <c r="H121" s="4">
        <v>0.1</v>
      </c>
      <c r="I121" s="4">
        <v>0.20799999999999999</v>
      </c>
      <c r="J121" s="3"/>
      <c r="K121" s="3"/>
      <c r="L121" s="163" t="s">
        <v>14</v>
      </c>
      <c r="M121" s="41">
        <f t="shared" ref="M121:M122" si="40">I121/0.01026</f>
        <v>20.2729044834308</v>
      </c>
      <c r="N121" s="4">
        <f>(M121*G121/H121)/1000000/F121</f>
        <v>3.8164216356051078E-2</v>
      </c>
      <c r="O121" s="4">
        <f>N121*D121/C121</f>
        <v>0.14267232673395691</v>
      </c>
      <c r="P121" s="4">
        <f>N121*0.1478+1.333</f>
        <v>1.3386406711774244</v>
      </c>
      <c r="Q121" s="41">
        <f t="shared" ref="Q121:Q122" si="41">E121-(P121-1.333)</f>
        <v>1.3398593288225755</v>
      </c>
      <c r="R121" s="41">
        <f t="shared" ref="R121:R122" si="42">(Q121-1.333)/0.1374</f>
        <v>4.9922334953242803E-2</v>
      </c>
      <c r="S121" s="4">
        <f>R121*D121/C121</f>
        <v>0.18662863708039401</v>
      </c>
      <c r="T121" s="3"/>
      <c r="U121" s="3"/>
      <c r="V121" s="221" t="s">
        <v>14</v>
      </c>
      <c r="W121" s="7">
        <f>O121</f>
        <v>0.14267232673395691</v>
      </c>
      <c r="X121" s="7">
        <f>S121</f>
        <v>0.18662863708039401</v>
      </c>
      <c r="Y121" s="7">
        <f>1-X121-W121</f>
        <v>0.67069903618564908</v>
      </c>
      <c r="Z121" s="3"/>
      <c r="AA121" s="19"/>
      <c r="AB121" s="19"/>
      <c r="AC121" s="19"/>
      <c r="AD121" s="17"/>
      <c r="AE121" s="17"/>
      <c r="AF121" s="17"/>
      <c r="AG121" s="17"/>
      <c r="AH121" s="17"/>
      <c r="AI121" s="17"/>
      <c r="AJ121" s="17"/>
      <c r="AK121" s="17"/>
      <c r="AL121" s="17"/>
      <c r="AM121" s="17"/>
      <c r="AN121" s="17"/>
      <c r="AO121" s="17"/>
      <c r="AP121" s="17"/>
      <c r="AQ121" s="17"/>
      <c r="AR121" s="17"/>
      <c r="AS121" s="17"/>
      <c r="AT121" s="17"/>
      <c r="AU121" s="17"/>
    </row>
    <row r="122" spans="2:47" x14ac:dyDescent="0.3">
      <c r="B122" s="162" t="s">
        <v>15</v>
      </c>
      <c r="C122" s="4">
        <v>0.54259999999999997</v>
      </c>
      <c r="D122" s="4">
        <v>2.0341</v>
      </c>
      <c r="E122" s="4">
        <v>1.3452999999999999</v>
      </c>
      <c r="F122" s="4">
        <v>1.17E-2</v>
      </c>
      <c r="G122" s="4">
        <v>2.0135000000000001</v>
      </c>
      <c r="H122" s="4">
        <v>0.1</v>
      </c>
      <c r="I122" s="4">
        <v>0.19900000000000001</v>
      </c>
      <c r="J122" s="3"/>
      <c r="K122" s="3"/>
      <c r="L122" s="163" t="s">
        <v>15</v>
      </c>
      <c r="M122" s="41">
        <f t="shared" si="40"/>
        <v>19.395711500974659</v>
      </c>
      <c r="N122" s="4">
        <f>(M122*G122/H122)/1000000/F122</f>
        <v>3.3378859065993569E-2</v>
      </c>
      <c r="O122" s="4">
        <f>N122*D122/C122</f>
        <v>0.12513073576508943</v>
      </c>
      <c r="P122" s="4">
        <f>N122*0.1478+1.333</f>
        <v>1.3379333953699537</v>
      </c>
      <c r="Q122" s="41">
        <f t="shared" si="41"/>
        <v>1.3403666046300462</v>
      </c>
      <c r="R122" s="41">
        <f t="shared" si="42"/>
        <v>5.3614298617512636E-2</v>
      </c>
      <c r="S122" s="4">
        <f>R122*D122/C122</f>
        <v>0.20098939332451615</v>
      </c>
      <c r="T122" s="3"/>
      <c r="U122" s="3"/>
      <c r="V122" s="221" t="s">
        <v>15</v>
      </c>
      <c r="W122" s="7">
        <f>O122</f>
        <v>0.12513073576508943</v>
      </c>
      <c r="X122" s="7">
        <f>S122</f>
        <v>0.20098939332451615</v>
      </c>
      <c r="Y122" s="7">
        <f>1-X122-W122</f>
        <v>0.67387987091039436</v>
      </c>
      <c r="Z122" s="163" t="s">
        <v>69</v>
      </c>
      <c r="AA122" s="163" t="s">
        <v>8</v>
      </c>
      <c r="AB122" s="19"/>
      <c r="AC122" s="19"/>
      <c r="AD122" s="17"/>
      <c r="AE122" s="17"/>
      <c r="AF122" s="17"/>
      <c r="AG122" s="17"/>
      <c r="AH122" s="17"/>
      <c r="AI122" s="17"/>
      <c r="AJ122" s="17"/>
      <c r="AK122" s="17"/>
      <c r="AL122" s="17"/>
      <c r="AM122" s="17"/>
      <c r="AN122" s="17"/>
      <c r="AO122" s="17"/>
      <c r="AP122" s="17"/>
      <c r="AQ122" s="17"/>
      <c r="AR122" s="17"/>
      <c r="AS122" s="17"/>
      <c r="AT122" s="17"/>
      <c r="AU122" s="17"/>
    </row>
    <row r="123" spans="2:47" x14ac:dyDescent="0.3">
      <c r="B123" s="162" t="s">
        <v>22</v>
      </c>
      <c r="C123" s="4">
        <f>AVERAGE(C120:C122)</f>
        <v>0.5413</v>
      </c>
      <c r="D123" s="4">
        <f>C123+1.5</f>
        <v>2.0413000000000001</v>
      </c>
      <c r="E123" s="4">
        <f>AVERAGE(E120:E122)</f>
        <v>1.3453666666666664</v>
      </c>
      <c r="F123" s="4">
        <f>AVERAGE(F120:F122)</f>
        <v>1.1000000000000001E-2</v>
      </c>
      <c r="G123" s="4">
        <f>AVERAGE(G120:G122)</f>
        <v>2.0146666666666668</v>
      </c>
      <c r="H123" s="4">
        <f>AVERAGE(H120:H122)</f>
        <v>0.10000000000000002</v>
      </c>
      <c r="I123" s="4">
        <f>AVERAGE(I120:I122)</f>
        <v>0.20599999999999999</v>
      </c>
      <c r="J123" s="3"/>
      <c r="K123" s="3"/>
      <c r="L123" s="163" t="s">
        <v>22</v>
      </c>
      <c r="M123" s="4">
        <f>AVERAGE(M120:M122)</f>
        <v>20.077972709551656</v>
      </c>
      <c r="N123" s="4">
        <f>AVERAGE(N120:N122)</f>
        <v>3.6886610732894086E-2</v>
      </c>
      <c r="O123" s="4">
        <f>AVERAGE(O121:O122)</f>
        <v>0.13390153124952317</v>
      </c>
      <c r="P123" s="4">
        <f>AVERAGE(P121:P122)</f>
        <v>1.3382870332736889</v>
      </c>
      <c r="Q123" s="4">
        <f>AVERAGE(Q121:Q122)</f>
        <v>1.340112966726311</v>
      </c>
      <c r="R123" s="4">
        <f>AVERAGE(R121:R122)</f>
        <v>5.1768316785377716E-2</v>
      </c>
      <c r="S123" s="70">
        <f>AVERAGE(S120,S121)</f>
        <v>0.18292863015687547</v>
      </c>
      <c r="T123" s="13"/>
      <c r="U123" s="3"/>
      <c r="V123" s="221" t="s">
        <v>22</v>
      </c>
      <c r="W123" s="7">
        <f>AVERAGE(W120:W122)</f>
        <v>0.13852663503088306</v>
      </c>
      <c r="X123" s="7">
        <f>AVERAGE(X120:X122)</f>
        <v>0.18894888454608902</v>
      </c>
      <c r="Y123" s="7">
        <f>AVERAGE(Y120:Y122)</f>
        <v>0.67252448042302804</v>
      </c>
      <c r="Z123" s="41">
        <f>C123/0.5</f>
        <v>1.0826</v>
      </c>
      <c r="AA123" s="41">
        <f>C124/0.5</f>
        <v>7.6393717019136694E-3</v>
      </c>
      <c r="AB123" s="19"/>
      <c r="AC123" s="19"/>
      <c r="AD123" s="21"/>
      <c r="AE123" s="17"/>
      <c r="AF123" s="17"/>
      <c r="AG123" s="17"/>
      <c r="AH123" s="17"/>
      <c r="AI123" s="17"/>
      <c r="AJ123" s="17"/>
      <c r="AK123" s="17"/>
      <c r="AL123" s="17"/>
      <c r="AM123" s="17"/>
      <c r="AN123" s="17"/>
      <c r="AO123" s="17"/>
      <c r="AP123" s="17"/>
      <c r="AQ123" s="17"/>
      <c r="AR123" s="17"/>
      <c r="AS123" s="17"/>
      <c r="AT123" s="17"/>
      <c r="AU123" s="17"/>
    </row>
    <row r="124" spans="2:47" x14ac:dyDescent="0.3">
      <c r="B124" s="162" t="s">
        <v>8</v>
      </c>
      <c r="C124" s="4">
        <f t="shared" ref="C124:I124" si="43">_xlfn.STDEV.S(C120:C122)</f>
        <v>3.8196858509568347E-3</v>
      </c>
      <c r="D124" s="4">
        <f t="shared" si="43"/>
        <v>3.3381631675718135E-3</v>
      </c>
      <c r="E124" s="4">
        <f t="shared" si="43"/>
        <v>1.1547005383791243E-4</v>
      </c>
      <c r="F124" s="4">
        <f t="shared" si="43"/>
        <v>6.0827625302982229E-4</v>
      </c>
      <c r="G124" s="4">
        <f t="shared" si="43"/>
        <v>1.3868429375142846E-3</v>
      </c>
      <c r="H124" s="4">
        <f t="shared" si="43"/>
        <v>1.6996749443881478E-17</v>
      </c>
      <c r="I124" s="4">
        <f t="shared" si="43"/>
        <v>6.2449979983983887E-3</v>
      </c>
      <c r="J124" s="3"/>
      <c r="K124" s="3"/>
      <c r="L124" s="163" t="s">
        <v>8</v>
      </c>
      <c r="M124" s="4">
        <f>_xlfn.STDEV.S(M120:M122)</f>
        <v>0.60867426884974551</v>
      </c>
      <c r="N124" s="4">
        <f>_xlfn.STDEV.S(N120:N122)</f>
        <v>3.0749105077538916E-3</v>
      </c>
      <c r="O124" s="4">
        <f>_xlfn.STDEV.S(O121:O122)</f>
        <v>1.2403777926886897E-2</v>
      </c>
      <c r="P124" s="4">
        <f>_xlfn.STDEV.S(P121:P122)</f>
        <v>5.0011951963168982E-4</v>
      </c>
      <c r="Q124" s="4">
        <f>_xlfn.STDEV.S(Q121:Q122)</f>
        <v>3.586981633943959E-4</v>
      </c>
      <c r="R124" s="4">
        <f>_xlfn.STDEV.S(R121:R122)</f>
        <v>2.6106125428995331E-3</v>
      </c>
      <c r="S124" s="4">
        <f>_xlfn.STDEV.S(S121:S122)</f>
        <v>1.0154588123185822E-2</v>
      </c>
      <c r="T124" s="3"/>
      <c r="U124" s="3"/>
      <c r="V124" s="221" t="s">
        <v>8</v>
      </c>
      <c r="W124" s="7">
        <f>_xlfn.STDEV.S(W120:W122)</f>
        <v>1.1878619801761969E-2</v>
      </c>
      <c r="X124" s="7">
        <f>_xlfn.STDEV.S(X120:X122)</f>
        <v>1.1064377070880252E-2</v>
      </c>
      <c r="Y124" s="7">
        <f>_xlfn.STDEV.S(Y120:Y122)</f>
        <v>1.6416882415555951E-3</v>
      </c>
      <c r="Z124" s="41">
        <f>C124/0.5</f>
        <v>7.6393717019136694E-3</v>
      </c>
      <c r="AA124" s="4"/>
      <c r="AB124" s="19"/>
      <c r="AC124" s="19"/>
      <c r="AD124" s="21"/>
      <c r="AE124" s="17"/>
      <c r="AF124" s="17"/>
      <c r="AG124" s="17"/>
      <c r="AH124" s="17"/>
      <c r="AI124" s="17"/>
      <c r="AJ124" s="17"/>
      <c r="AK124" s="17"/>
      <c r="AL124" s="17"/>
      <c r="AM124" s="17"/>
      <c r="AN124" s="17"/>
      <c r="AO124" s="17"/>
      <c r="AP124" s="17"/>
      <c r="AQ124" s="17"/>
      <c r="AR124" s="17"/>
      <c r="AS124" s="17"/>
      <c r="AT124" s="17"/>
      <c r="AU124" s="17"/>
    </row>
    <row r="125" spans="2:47" x14ac:dyDescent="0.3">
      <c r="C125" s="3"/>
      <c r="D125" s="3"/>
      <c r="E125" s="3"/>
      <c r="F125" s="3"/>
      <c r="G125" s="3"/>
      <c r="H125" s="3"/>
      <c r="I125" s="3"/>
      <c r="J125" s="3"/>
      <c r="K125" s="3"/>
      <c r="L125" s="3"/>
      <c r="M125" s="3"/>
      <c r="N125" s="3"/>
      <c r="O125" s="3"/>
      <c r="P125" s="3"/>
      <c r="Q125" s="3"/>
      <c r="R125" s="3"/>
      <c r="S125" s="3"/>
      <c r="T125" s="3"/>
      <c r="U125" s="3"/>
      <c r="V125" s="197"/>
      <c r="W125" s="83"/>
      <c r="X125" s="83"/>
      <c r="Y125" s="83"/>
      <c r="Z125" s="3"/>
      <c r="AA125" s="19"/>
      <c r="AB125" s="19"/>
      <c r="AC125" s="19"/>
      <c r="AD125" s="21"/>
      <c r="AE125" s="17"/>
      <c r="AF125" s="17"/>
      <c r="AG125" s="17"/>
      <c r="AH125" s="17"/>
      <c r="AI125" s="17"/>
      <c r="AJ125" s="17"/>
      <c r="AK125" s="17"/>
      <c r="AL125" s="17"/>
      <c r="AM125" s="17"/>
      <c r="AN125" s="17"/>
      <c r="AO125" s="17"/>
      <c r="AP125" s="17"/>
      <c r="AQ125" s="17"/>
      <c r="AR125" s="17"/>
      <c r="AS125" s="17"/>
      <c r="AT125" s="17"/>
      <c r="AU125" s="17"/>
    </row>
    <row r="126" spans="2:47" x14ac:dyDescent="0.3">
      <c r="C126" s="3"/>
      <c r="D126" s="3"/>
      <c r="E126" s="3"/>
      <c r="F126" s="3"/>
      <c r="G126" s="3"/>
      <c r="H126" s="3"/>
      <c r="I126" s="3"/>
      <c r="J126" s="3"/>
      <c r="K126" s="3"/>
      <c r="L126" s="3"/>
      <c r="M126" s="3"/>
      <c r="N126" s="3"/>
      <c r="O126" s="3"/>
      <c r="P126" s="3"/>
      <c r="Q126" s="3"/>
      <c r="R126" s="3"/>
      <c r="S126" s="3"/>
      <c r="T126" s="3"/>
      <c r="U126" s="3"/>
      <c r="V126" s="83"/>
      <c r="W126" s="83"/>
      <c r="X126" s="83"/>
      <c r="Y126" s="83"/>
      <c r="Z126" s="3"/>
      <c r="AA126" s="19"/>
      <c r="AB126" s="19"/>
      <c r="AC126" s="19"/>
      <c r="AD126" s="17"/>
      <c r="AE126" s="17"/>
      <c r="AF126" s="17"/>
      <c r="AG126" s="17"/>
      <c r="AH126" s="17"/>
      <c r="AI126" s="17"/>
      <c r="AJ126" s="17"/>
      <c r="AK126" s="17"/>
      <c r="AL126" s="17"/>
      <c r="AM126" s="17"/>
      <c r="AN126" s="17"/>
      <c r="AO126" s="17"/>
      <c r="AP126" s="17"/>
      <c r="AQ126" s="17"/>
      <c r="AR126" s="17"/>
      <c r="AS126" s="17"/>
      <c r="AT126" s="17"/>
      <c r="AU126" s="17"/>
    </row>
    <row r="127" spans="2:47" x14ac:dyDescent="0.3">
      <c r="C127" s="3"/>
      <c r="D127" s="3"/>
      <c r="E127" s="3"/>
      <c r="F127" s="3"/>
      <c r="G127" s="3"/>
      <c r="H127" s="3"/>
      <c r="I127" s="3"/>
      <c r="J127" s="3"/>
      <c r="K127" s="3"/>
      <c r="L127" s="3"/>
      <c r="M127" s="3"/>
      <c r="N127" s="3"/>
      <c r="O127" s="3"/>
      <c r="P127" s="3"/>
      <c r="Q127" s="3"/>
      <c r="R127" s="3"/>
      <c r="S127" s="3"/>
      <c r="T127" s="3"/>
      <c r="U127" s="3"/>
      <c r="V127" s="300" t="s">
        <v>20</v>
      </c>
      <c r="W127" s="301"/>
      <c r="X127" s="301"/>
      <c r="Y127" s="302"/>
      <c r="Z127" s="3"/>
      <c r="AA127" s="19"/>
      <c r="AB127" s="19"/>
      <c r="AC127" s="19"/>
      <c r="AD127" s="17"/>
      <c r="AE127" s="17"/>
      <c r="AF127" s="17"/>
      <c r="AG127" s="17"/>
      <c r="AH127" s="17"/>
      <c r="AI127" s="17"/>
      <c r="AJ127" s="17"/>
      <c r="AK127" s="17"/>
      <c r="AL127" s="17"/>
      <c r="AM127" s="17"/>
      <c r="AN127" s="17"/>
      <c r="AO127" s="17"/>
      <c r="AP127" s="17"/>
      <c r="AQ127" s="17"/>
      <c r="AR127" s="17"/>
      <c r="AS127" s="17"/>
      <c r="AT127" s="17"/>
      <c r="AU127" s="17"/>
    </row>
    <row r="128" spans="2:47" x14ac:dyDescent="0.3">
      <c r="B128" s="162" t="s">
        <v>11</v>
      </c>
      <c r="C128" s="163" t="s">
        <v>23</v>
      </c>
      <c r="D128" s="163" t="s">
        <v>32</v>
      </c>
      <c r="E128" s="163" t="s">
        <v>24</v>
      </c>
      <c r="F128" s="163" t="s">
        <v>25</v>
      </c>
      <c r="G128" s="163" t="s">
        <v>28</v>
      </c>
      <c r="H128" s="163" t="s">
        <v>27</v>
      </c>
      <c r="I128" s="163" t="s">
        <v>26</v>
      </c>
      <c r="J128" s="3"/>
      <c r="K128" s="3"/>
      <c r="L128" s="163" t="s">
        <v>11</v>
      </c>
      <c r="M128" s="163" t="s">
        <v>30</v>
      </c>
      <c r="N128" s="163" t="s">
        <v>34</v>
      </c>
      <c r="O128" s="163" t="s">
        <v>35</v>
      </c>
      <c r="P128" s="163" t="s">
        <v>37</v>
      </c>
      <c r="Q128" s="163" t="s">
        <v>38</v>
      </c>
      <c r="R128" s="163" t="s">
        <v>39</v>
      </c>
      <c r="S128" s="163" t="s">
        <v>47</v>
      </c>
      <c r="T128" s="3"/>
      <c r="U128" s="3"/>
      <c r="V128" s="221" t="s">
        <v>11</v>
      </c>
      <c r="W128" s="221" t="s">
        <v>17</v>
      </c>
      <c r="X128" s="221" t="s">
        <v>18</v>
      </c>
      <c r="Y128" s="221" t="s">
        <v>44</v>
      </c>
      <c r="Z128" s="3"/>
      <c r="AA128" s="19"/>
      <c r="AB128" s="19"/>
      <c r="AC128" s="19"/>
      <c r="AD128" s="17"/>
      <c r="AE128" s="17"/>
      <c r="AF128" s="17"/>
      <c r="AG128" s="17"/>
      <c r="AH128" s="17"/>
      <c r="AI128" s="17"/>
      <c r="AJ128" s="17"/>
      <c r="AK128" s="17"/>
      <c r="AL128" s="17"/>
      <c r="AM128" s="17"/>
      <c r="AN128" s="17"/>
      <c r="AO128" s="17"/>
      <c r="AP128" s="17"/>
      <c r="AQ128" s="17"/>
      <c r="AR128" s="17"/>
      <c r="AS128" s="17"/>
      <c r="AT128" s="17"/>
      <c r="AU128" s="17"/>
    </row>
    <row r="129" spans="1:47" x14ac:dyDescent="0.3">
      <c r="B129" s="162" t="s">
        <v>13</v>
      </c>
      <c r="C129" s="4">
        <v>0.61160000000000003</v>
      </c>
      <c r="D129" s="4">
        <v>2.1032999999999999</v>
      </c>
      <c r="E129" s="4">
        <v>1.3536999999999999</v>
      </c>
      <c r="F129" s="4">
        <v>1.04E-2</v>
      </c>
      <c r="G129" s="4">
        <v>2.0125000000000002</v>
      </c>
      <c r="H129" s="4">
        <v>0.1</v>
      </c>
      <c r="I129" s="4">
        <v>0.78900000000000003</v>
      </c>
      <c r="J129" s="3"/>
      <c r="K129" s="3"/>
      <c r="L129" s="163" t="s">
        <v>13</v>
      </c>
      <c r="M129" s="41">
        <f>I129/0.01026</f>
        <v>76.900584795321635</v>
      </c>
      <c r="N129" s="4">
        <f>(M129*G129/H129)/1000000/F129</f>
        <v>0.14881002586594694</v>
      </c>
      <c r="O129" s="4">
        <f>N129*D129/C129</f>
        <v>0.51175952812924486</v>
      </c>
      <c r="P129" s="4">
        <f>N129*0.1478+1.333</f>
        <v>1.3549941218229868</v>
      </c>
      <c r="Q129" s="41">
        <f>E129-(P129-1.333)</f>
        <v>1.331705878177013</v>
      </c>
      <c r="R129" s="41">
        <f>(Q129-1.333)/0.1374</f>
        <v>-9.4186449999049335E-3</v>
      </c>
      <c r="S129" s="4">
        <f>R129*D129/C129</f>
        <v>-3.2390837194735192E-2</v>
      </c>
      <c r="T129" s="3"/>
      <c r="U129" s="3"/>
      <c r="V129" s="221" t="s">
        <v>13</v>
      </c>
      <c r="W129" s="7">
        <f>O129</f>
        <v>0.51175952812924486</v>
      </c>
      <c r="X129" s="7">
        <f>S129</f>
        <v>-3.2390837194735192E-2</v>
      </c>
      <c r="Y129" s="7">
        <f>1-X129-W129</f>
        <v>0.52063130906549038</v>
      </c>
      <c r="Z129" s="3"/>
      <c r="AA129" s="19"/>
      <c r="AB129" s="19"/>
      <c r="AC129" s="19"/>
      <c r="AD129" s="17"/>
      <c r="AE129" s="17"/>
      <c r="AF129" s="17"/>
      <c r="AG129" s="17"/>
      <c r="AH129" s="17"/>
      <c r="AI129" s="17"/>
      <c r="AJ129" s="17"/>
      <c r="AK129" s="17"/>
      <c r="AL129" s="17"/>
      <c r="AM129" s="17"/>
      <c r="AN129" s="17"/>
      <c r="AO129" s="17"/>
      <c r="AP129" s="17"/>
      <c r="AQ129" s="17"/>
      <c r="AR129" s="17"/>
      <c r="AS129" s="17"/>
      <c r="AT129" s="17"/>
      <c r="AU129" s="17"/>
    </row>
    <row r="130" spans="1:47" x14ac:dyDescent="0.3">
      <c r="B130" s="162" t="s">
        <v>14</v>
      </c>
      <c r="C130" s="4">
        <v>0.60589999999999999</v>
      </c>
      <c r="D130" s="4">
        <v>2.0966</v>
      </c>
      <c r="E130" s="4">
        <v>1.3541000000000001</v>
      </c>
      <c r="F130" s="4">
        <v>1.1299999999999999E-2</v>
      </c>
      <c r="G130" s="4">
        <v>2.0167000000000002</v>
      </c>
      <c r="H130" s="4">
        <v>0.1</v>
      </c>
      <c r="I130" s="4">
        <v>0.76800000000000002</v>
      </c>
      <c r="J130" s="3"/>
      <c r="K130" s="3"/>
      <c r="L130" s="163" t="s">
        <v>14</v>
      </c>
      <c r="M130" s="41">
        <f t="shared" ref="M130:M131" si="44">I130/0.01026</f>
        <v>74.853801169590639</v>
      </c>
      <c r="N130" s="4">
        <f>(M130*G130/H130)/1000000/F130</f>
        <v>0.13359085028204731</v>
      </c>
      <c r="O130" s="4">
        <f>N130*D130/C130</f>
        <v>0.4622653518754587</v>
      </c>
      <c r="P130" s="4">
        <f>N130*0.1478+1.333</f>
        <v>1.3527447276716866</v>
      </c>
      <c r="Q130" s="41">
        <f>E130-(P130-1.333)</f>
        <v>1.3343552723283134</v>
      </c>
      <c r="R130" s="41">
        <f>(Q130-1.333)/0.1374</f>
        <v>9.8636996238242389E-3</v>
      </c>
      <c r="S130" s="4">
        <f>R130*D130/C130</f>
        <v>3.4131428670258951E-2</v>
      </c>
      <c r="T130" s="3"/>
      <c r="U130" s="3"/>
      <c r="V130" s="221" t="s">
        <v>14</v>
      </c>
      <c r="W130" s="7">
        <f>O130</f>
        <v>0.4622653518754587</v>
      </c>
      <c r="X130" s="7">
        <f>S130</f>
        <v>3.4131428670258951E-2</v>
      </c>
      <c r="Y130" s="7">
        <f>1-X130-W130</f>
        <v>0.50360321945428232</v>
      </c>
      <c r="Z130" s="3"/>
      <c r="AA130" s="19"/>
      <c r="AB130" s="19"/>
      <c r="AC130" s="19"/>
      <c r="AD130" s="17"/>
      <c r="AE130" s="17"/>
      <c r="AF130" s="17"/>
      <c r="AG130" s="17"/>
      <c r="AH130" s="17"/>
      <c r="AI130" s="17"/>
      <c r="AJ130" s="17"/>
      <c r="AK130" s="17"/>
      <c r="AL130" s="17"/>
      <c r="AM130" s="17"/>
      <c r="AN130" s="17"/>
      <c r="AO130" s="17"/>
      <c r="AP130" s="17"/>
      <c r="AQ130" s="17"/>
      <c r="AR130" s="17"/>
      <c r="AS130" s="17"/>
      <c r="AT130" s="17"/>
      <c r="AU130" s="17"/>
    </row>
    <row r="131" spans="1:47" x14ac:dyDescent="0.3">
      <c r="B131" s="162" t="s">
        <v>15</v>
      </c>
      <c r="C131" s="4">
        <v>0.59640000000000004</v>
      </c>
      <c r="D131" s="4">
        <v>2.0889000000000002</v>
      </c>
      <c r="E131" s="4">
        <v>1.3537999999999999</v>
      </c>
      <c r="F131" s="4">
        <v>1.06E-2</v>
      </c>
      <c r="G131" s="4">
        <v>2.0087999999999999</v>
      </c>
      <c r="H131" s="4">
        <v>0.1</v>
      </c>
      <c r="I131" s="4">
        <v>0.745</v>
      </c>
      <c r="J131" s="3"/>
      <c r="K131" s="3"/>
      <c r="L131" s="163" t="s">
        <v>15</v>
      </c>
      <c r="M131" s="41">
        <f t="shared" si="44"/>
        <v>72.61208576998051</v>
      </c>
      <c r="N131" s="4">
        <f>(M131*G131/H131)/1000000/F131</f>
        <v>0.1376067527308838</v>
      </c>
      <c r="O131" s="4">
        <f>N131*D131/C131</f>
        <v>0.48196972800057541</v>
      </c>
      <c r="P131" s="4">
        <f>N131*0.1478+1.333</f>
        <v>1.3533382780536245</v>
      </c>
      <c r="Q131" s="41">
        <f t="shared" ref="Q131" si="45">E131-(P131-1.333)</f>
        <v>1.3334617219463754</v>
      </c>
      <c r="R131" s="41">
        <f t="shared" ref="R131" si="46">(Q131-1.333)/0.1374</f>
        <v>3.3604217349009679E-3</v>
      </c>
      <c r="S131" s="4">
        <f>R131*D131/C131</f>
        <v>1.1769927837080202E-2</v>
      </c>
      <c r="T131" s="3"/>
      <c r="U131" s="3"/>
      <c r="V131" s="221" t="s">
        <v>15</v>
      </c>
      <c r="W131" s="7">
        <f>O131</f>
        <v>0.48196972800057541</v>
      </c>
      <c r="X131" s="7">
        <f>S131</f>
        <v>1.1769927837080202E-2</v>
      </c>
      <c r="Y131" s="7">
        <f>1-X131-W131</f>
        <v>0.50626034416234433</v>
      </c>
      <c r="Z131" s="163" t="s">
        <v>69</v>
      </c>
      <c r="AA131" s="163" t="s">
        <v>8</v>
      </c>
      <c r="AB131" s="19"/>
      <c r="AC131" s="19"/>
      <c r="AD131" s="17"/>
      <c r="AE131" s="17"/>
      <c r="AF131" s="17"/>
      <c r="AG131" s="17"/>
      <c r="AH131" s="17"/>
      <c r="AI131" s="17"/>
      <c r="AJ131" s="17"/>
      <c r="AK131" s="17"/>
      <c r="AL131" s="17"/>
      <c r="AM131" s="17"/>
      <c r="AN131" s="17"/>
      <c r="AO131" s="17"/>
      <c r="AP131" s="17"/>
      <c r="AQ131" s="17"/>
      <c r="AR131" s="17"/>
      <c r="AS131" s="17"/>
      <c r="AT131" s="17"/>
      <c r="AU131" s="17"/>
    </row>
    <row r="132" spans="1:47" x14ac:dyDescent="0.3">
      <c r="B132" s="162" t="s">
        <v>22</v>
      </c>
      <c r="C132" s="4">
        <f>AVERAGE(C129:C131)</f>
        <v>0.60463333333333336</v>
      </c>
      <c r="D132" s="4">
        <f>C132+1.5</f>
        <v>2.1046333333333331</v>
      </c>
      <c r="E132" s="4">
        <f>AVERAGE(E129:E131)</f>
        <v>1.3538666666666666</v>
      </c>
      <c r="F132" s="4">
        <f>AVERAGE(F129:F131)</f>
        <v>1.0766666666666666E-2</v>
      </c>
      <c r="G132" s="4">
        <f>AVERAGE(G129:G131)</f>
        <v>2.0126666666666666</v>
      </c>
      <c r="H132" s="4">
        <f>AVERAGE(H129:H131)</f>
        <v>0.10000000000000002</v>
      </c>
      <c r="I132" s="4">
        <f>AVERAGE(I129:I131)</f>
        <v>0.76733333333333331</v>
      </c>
      <c r="J132" s="3"/>
      <c r="K132" s="3"/>
      <c r="L132" s="163" t="s">
        <v>22</v>
      </c>
      <c r="M132" s="4">
        <f t="shared" ref="M132:R132" si="47">AVERAGE(M129:M131)</f>
        <v>74.788823911630928</v>
      </c>
      <c r="N132" s="4">
        <f t="shared" si="47"/>
        <v>0.14000254295962603</v>
      </c>
      <c r="O132" s="4">
        <f t="shared" si="47"/>
        <v>0.48533153600175966</v>
      </c>
      <c r="P132" s="4">
        <f t="shared" si="47"/>
        <v>1.3536923758494328</v>
      </c>
      <c r="Q132" s="4">
        <f t="shared" si="47"/>
        <v>1.3331742908172339</v>
      </c>
      <c r="R132" s="4">
        <f t="shared" si="47"/>
        <v>1.2684921196067578E-3</v>
      </c>
      <c r="S132" s="70">
        <f>AVERAGE(S129,S130)</f>
        <v>8.7029573776187946E-4</v>
      </c>
      <c r="T132" s="3"/>
      <c r="U132" s="3"/>
      <c r="V132" s="221" t="s">
        <v>22</v>
      </c>
      <c r="W132" s="7">
        <f>AVERAGE(W129:W131)</f>
        <v>0.48533153600175966</v>
      </c>
      <c r="X132" s="7">
        <f>ABS(AVERAGE(X129:X131))</f>
        <v>4.5035064375346535E-3</v>
      </c>
      <c r="Y132" s="7">
        <f>ABS(AVERAGE(Y129:Y131))</f>
        <v>0.51016495756070568</v>
      </c>
      <c r="Z132" s="41">
        <f>C132/0.5</f>
        <v>1.2092666666666667</v>
      </c>
      <c r="AA132" s="41">
        <f>C133/0.5</f>
        <v>1.5357517160444029E-2</v>
      </c>
      <c r="AB132" s="19"/>
      <c r="AC132" s="19"/>
      <c r="AD132" s="17"/>
      <c r="AE132" s="17"/>
      <c r="AF132" s="17"/>
      <c r="AG132" s="17"/>
      <c r="AH132" s="17"/>
      <c r="AI132" s="17"/>
      <c r="AJ132" s="17"/>
      <c r="AK132" s="17"/>
      <c r="AL132" s="17"/>
      <c r="AM132" s="17"/>
      <c r="AN132" s="17"/>
      <c r="AO132" s="17"/>
      <c r="AP132" s="17"/>
      <c r="AQ132" s="17"/>
      <c r="AR132" s="17"/>
      <c r="AS132" s="17"/>
      <c r="AT132" s="17"/>
      <c r="AU132" s="17"/>
    </row>
    <row r="133" spans="1:47" x14ac:dyDescent="0.3">
      <c r="B133" s="162" t="s">
        <v>8</v>
      </c>
      <c r="C133" s="4">
        <f t="shared" ref="C133:I133" si="48">_xlfn.STDEV.S(C129:C131)</f>
        <v>7.6787585802220145E-3</v>
      </c>
      <c r="D133" s="4">
        <f>_xlfn.STDEV.S(D130:D131)</f>
        <v>5.4447222151362872E-3</v>
      </c>
      <c r="E133" s="4">
        <f t="shared" si="48"/>
        <v>2.0816659994671478E-4</v>
      </c>
      <c r="F133" s="4">
        <f t="shared" si="48"/>
        <v>4.7258156262526064E-4</v>
      </c>
      <c r="G133" s="4">
        <f t="shared" si="48"/>
        <v>3.9526362510777869E-3</v>
      </c>
      <c r="H133" s="4">
        <f t="shared" si="48"/>
        <v>1.6996749443881478E-17</v>
      </c>
      <c r="I133" s="4">
        <f t="shared" si="48"/>
        <v>2.2007574453658772E-2</v>
      </c>
      <c r="J133" s="3"/>
      <c r="K133" s="3"/>
      <c r="L133" s="163" t="s">
        <v>8</v>
      </c>
      <c r="M133" s="4">
        <f t="shared" ref="M133:R133" si="49">_xlfn.STDEV.S(M129:M131)</f>
        <v>2.1449877635144952</v>
      </c>
      <c r="N133" s="4">
        <f t="shared" si="49"/>
        <v>7.887375005570239E-3</v>
      </c>
      <c r="O133" s="4">
        <f t="shared" si="49"/>
        <v>2.4917758437263821E-2</v>
      </c>
      <c r="P133" s="4">
        <f t="shared" si="49"/>
        <v>1.16575402582322E-3</v>
      </c>
      <c r="Q133" s="4">
        <f t="shared" si="49"/>
        <v>1.3478816093173065E-3</v>
      </c>
      <c r="R133" s="4">
        <f t="shared" si="49"/>
        <v>9.8099098203588524E-3</v>
      </c>
      <c r="S133" s="4">
        <f>_xlfn.STDEV.S(S130:S131)</f>
        <v>1.5811968876649325E-2</v>
      </c>
      <c r="T133" s="3"/>
      <c r="U133" s="3"/>
      <c r="V133" s="221" t="s">
        <v>8</v>
      </c>
      <c r="W133" s="7">
        <f>_xlfn.STDEV.S(W129:W131)</f>
        <v>2.4917758437263821E-2</v>
      </c>
      <c r="X133" s="7">
        <f>_xlfn.STDEV.S(X129:X131)</f>
        <v>3.3851198264168894E-2</v>
      </c>
      <c r="Y133" s="7">
        <f>_xlfn.STDEV.S(Y129:Y131)</f>
        <v>9.160975018786488E-3</v>
      </c>
      <c r="Z133" s="41">
        <f>C133/0.5</f>
        <v>1.5357517160444029E-2</v>
      </c>
      <c r="AA133" s="4"/>
      <c r="AB133" s="19"/>
      <c r="AC133" s="19"/>
      <c r="AD133" s="17"/>
      <c r="AE133" s="17"/>
      <c r="AF133" s="17"/>
      <c r="AG133" s="17"/>
      <c r="AH133" s="17"/>
      <c r="AI133" s="17"/>
      <c r="AJ133" s="17"/>
      <c r="AK133" s="17"/>
      <c r="AL133" s="17"/>
      <c r="AM133" s="17"/>
      <c r="AN133" s="17"/>
      <c r="AO133" s="17"/>
      <c r="AP133" s="17"/>
      <c r="AQ133" s="17"/>
      <c r="AR133" s="17"/>
      <c r="AS133" s="17"/>
      <c r="AT133" s="17"/>
      <c r="AU133" s="17"/>
    </row>
    <row r="134" spans="1:47" x14ac:dyDescent="0.3">
      <c r="C134" s="3"/>
      <c r="D134" s="3"/>
      <c r="E134" s="3"/>
      <c r="F134" s="3"/>
      <c r="G134" s="3"/>
      <c r="H134" s="3"/>
      <c r="I134" s="3"/>
      <c r="J134" s="3"/>
      <c r="K134" s="3"/>
      <c r="L134" s="3"/>
      <c r="M134" s="3"/>
      <c r="N134" s="3"/>
      <c r="O134" s="3"/>
      <c r="P134" s="3"/>
      <c r="Q134" s="3"/>
      <c r="R134" s="3"/>
      <c r="S134" s="3"/>
      <c r="T134" s="3"/>
      <c r="U134" s="3"/>
      <c r="V134" s="3"/>
      <c r="W134" s="3"/>
      <c r="X134" s="3"/>
      <c r="Y134" s="3"/>
      <c r="Z134" s="3"/>
      <c r="AA134" s="19"/>
      <c r="AB134" s="19"/>
      <c r="AC134" s="19"/>
      <c r="AD134" s="17"/>
      <c r="AE134" s="17"/>
      <c r="AF134" s="17"/>
      <c r="AG134" s="17"/>
      <c r="AH134" s="17"/>
      <c r="AI134" s="17"/>
      <c r="AJ134" s="17"/>
      <c r="AK134" s="17"/>
      <c r="AL134" s="17"/>
      <c r="AM134" s="17"/>
      <c r="AN134" s="17"/>
      <c r="AO134" s="17"/>
      <c r="AP134" s="17"/>
      <c r="AQ134" s="17"/>
      <c r="AR134" s="17"/>
      <c r="AS134" s="17"/>
      <c r="AT134" s="17"/>
      <c r="AU134" s="17"/>
    </row>
    <row r="135" spans="1:47" x14ac:dyDescent="0.3">
      <c r="A135" s="17"/>
      <c r="B135" s="17"/>
      <c r="C135" s="19"/>
      <c r="D135" s="19"/>
      <c r="E135" s="19"/>
      <c r="F135" s="19"/>
      <c r="G135" s="19"/>
      <c r="H135" s="19"/>
      <c r="I135" s="19"/>
      <c r="J135" s="19"/>
      <c r="K135" s="19"/>
      <c r="L135" s="19"/>
      <c r="M135" s="19"/>
      <c r="N135" s="19"/>
      <c r="O135" s="19"/>
      <c r="P135" s="19"/>
      <c r="Q135" s="19"/>
      <c r="R135" s="19"/>
      <c r="S135" s="19"/>
      <c r="T135" s="19"/>
      <c r="U135" s="19"/>
      <c r="V135" s="19"/>
      <c r="W135" s="19"/>
      <c r="X135" s="19"/>
      <c r="Y135" s="19"/>
      <c r="Z135" s="19"/>
      <c r="AA135" s="19"/>
      <c r="AB135" s="19"/>
      <c r="AC135" s="19"/>
      <c r="AD135" s="17"/>
      <c r="AE135" s="17"/>
      <c r="AF135" s="17"/>
      <c r="AG135" s="17"/>
      <c r="AH135" s="17"/>
      <c r="AI135" s="17"/>
      <c r="AJ135" s="17"/>
      <c r="AK135" s="17"/>
      <c r="AL135" s="17"/>
      <c r="AM135" s="17"/>
      <c r="AN135" s="17"/>
      <c r="AO135" s="17"/>
      <c r="AP135" s="17"/>
      <c r="AQ135" s="17"/>
      <c r="AR135" s="17"/>
      <c r="AS135" s="17"/>
      <c r="AT135" s="17"/>
      <c r="AU135" s="17"/>
    </row>
    <row r="136" spans="1:47" x14ac:dyDescent="0.3">
      <c r="A136" s="17"/>
      <c r="B136" s="17"/>
      <c r="C136" s="19"/>
      <c r="D136" s="19"/>
      <c r="E136" s="19"/>
      <c r="F136" s="19"/>
      <c r="G136" s="19"/>
      <c r="H136" s="19"/>
      <c r="I136" s="19"/>
      <c r="J136" s="19"/>
      <c r="K136" s="19"/>
      <c r="L136" s="19"/>
      <c r="M136" s="19"/>
      <c r="N136" s="19"/>
      <c r="O136" s="19"/>
      <c r="P136" s="19"/>
      <c r="Q136" s="19"/>
      <c r="R136" s="19"/>
      <c r="S136" s="19"/>
      <c r="T136" s="19"/>
      <c r="U136" s="19"/>
      <c r="V136" s="19"/>
      <c r="W136" s="3">
        <f>W123</f>
        <v>0.13852663503088306</v>
      </c>
      <c r="X136" s="3">
        <f>X123</f>
        <v>0.18894888454608902</v>
      </c>
      <c r="Y136" s="19"/>
      <c r="Z136" s="19"/>
      <c r="AA136" s="19"/>
      <c r="AB136" s="19"/>
      <c r="AC136" s="19"/>
      <c r="AD136" s="17"/>
      <c r="AE136" s="17"/>
      <c r="AF136" s="17"/>
      <c r="AG136" s="17"/>
      <c r="AH136" s="17"/>
      <c r="AI136" s="17"/>
      <c r="AJ136" s="17"/>
      <c r="AK136" s="17"/>
      <c r="AL136" s="17"/>
      <c r="AM136" s="17"/>
      <c r="AN136" s="17"/>
      <c r="AO136" s="17"/>
      <c r="AP136" s="17"/>
      <c r="AQ136" s="17"/>
      <c r="AR136" s="17"/>
      <c r="AS136" s="17"/>
      <c r="AT136" s="17"/>
      <c r="AU136" s="17"/>
    </row>
    <row r="137" spans="1:47" x14ac:dyDescent="0.3">
      <c r="A137" s="17"/>
      <c r="B137" s="17"/>
      <c r="C137" s="19"/>
      <c r="D137" s="19"/>
      <c r="E137" s="19"/>
      <c r="F137" s="19"/>
      <c r="G137" s="19"/>
      <c r="H137" s="19"/>
      <c r="I137" s="19"/>
      <c r="J137" s="19"/>
      <c r="K137" s="19"/>
      <c r="L137" s="19"/>
      <c r="M137" s="19"/>
      <c r="N137" s="19"/>
      <c r="O137" s="19"/>
      <c r="P137" s="19"/>
      <c r="Q137" s="19"/>
      <c r="R137" s="19"/>
      <c r="S137" s="19"/>
      <c r="T137" s="19"/>
      <c r="U137" s="19"/>
      <c r="V137" s="19"/>
      <c r="W137" s="3">
        <f>W132</f>
        <v>0.48533153600175966</v>
      </c>
      <c r="X137" s="3">
        <f>X132</f>
        <v>4.5035064375346535E-3</v>
      </c>
      <c r="Y137" s="19"/>
      <c r="Z137" s="19"/>
      <c r="AA137" s="19"/>
      <c r="AB137" s="19"/>
      <c r="AC137" s="19"/>
      <c r="AD137" s="17"/>
      <c r="AE137" s="17"/>
      <c r="AF137" s="17"/>
      <c r="AG137" s="17"/>
      <c r="AH137" s="17"/>
      <c r="AI137" s="17"/>
      <c r="AJ137" s="17"/>
      <c r="AK137" s="17"/>
      <c r="AL137" s="17"/>
      <c r="AM137" s="17"/>
      <c r="AN137" s="17"/>
      <c r="AO137" s="17"/>
      <c r="AP137" s="17"/>
      <c r="AQ137" s="17"/>
      <c r="AR137" s="17"/>
      <c r="AS137" s="17"/>
      <c r="AT137" s="17"/>
      <c r="AU137" s="17"/>
    </row>
    <row r="138" spans="1:47" x14ac:dyDescent="0.3">
      <c r="A138" s="17"/>
      <c r="B138" s="17"/>
      <c r="C138" s="19"/>
      <c r="D138" s="19"/>
      <c r="E138" s="19"/>
      <c r="F138" s="19"/>
      <c r="G138" s="19"/>
      <c r="H138" s="19"/>
      <c r="I138" s="19"/>
      <c r="J138" s="19"/>
      <c r="K138" s="19"/>
      <c r="L138" s="19"/>
      <c r="M138" s="19"/>
      <c r="N138" s="19"/>
      <c r="O138" s="19"/>
      <c r="P138" s="19"/>
      <c r="Q138" s="19"/>
      <c r="R138" s="19"/>
      <c r="S138" s="19"/>
      <c r="T138" s="19"/>
      <c r="U138" s="19"/>
      <c r="V138" s="19"/>
      <c r="W138" s="3">
        <f>J116</f>
        <v>0.30029850746268655</v>
      </c>
      <c r="X138" s="3">
        <f>K116</f>
        <v>9.9900497512437805E-2</v>
      </c>
      <c r="Y138" s="19"/>
      <c r="Z138" s="19"/>
      <c r="AA138" s="19"/>
      <c r="AB138" s="19"/>
      <c r="AC138" s="19"/>
      <c r="AD138" s="17"/>
      <c r="AE138" s="17"/>
      <c r="AF138" s="17"/>
      <c r="AG138" s="17"/>
      <c r="AH138" s="17"/>
      <c r="AI138" s="17"/>
      <c r="AJ138" s="17"/>
      <c r="AK138" s="17"/>
      <c r="AL138" s="17"/>
      <c r="AM138" s="17"/>
      <c r="AN138" s="17"/>
      <c r="AO138" s="17"/>
      <c r="AP138" s="17"/>
      <c r="AQ138" s="17"/>
      <c r="AR138" s="17"/>
      <c r="AS138" s="17"/>
      <c r="AT138" s="17"/>
      <c r="AU138" s="17"/>
    </row>
    <row r="139" spans="1:47" x14ac:dyDescent="0.3">
      <c r="A139" s="17"/>
      <c r="B139" s="17"/>
      <c r="C139" s="19"/>
      <c r="D139" s="19"/>
      <c r="E139" s="19"/>
      <c r="F139" s="19"/>
      <c r="G139" s="19"/>
      <c r="H139" s="19"/>
      <c r="I139" s="19"/>
      <c r="J139" s="19"/>
      <c r="K139" s="19"/>
      <c r="L139" s="19"/>
      <c r="M139" s="19"/>
      <c r="N139" s="19"/>
      <c r="O139" s="19"/>
      <c r="P139" s="19"/>
      <c r="Q139" s="19"/>
      <c r="R139" s="19"/>
      <c r="S139" s="19"/>
      <c r="T139" s="19"/>
      <c r="U139" s="19"/>
      <c r="V139" s="19"/>
      <c r="W139" s="19"/>
      <c r="X139" s="19"/>
      <c r="Y139" s="19"/>
      <c r="Z139" s="19"/>
      <c r="AA139" s="19"/>
      <c r="AB139" s="19"/>
      <c r="AC139" s="19"/>
      <c r="AD139" s="17"/>
      <c r="AE139" s="17"/>
      <c r="AF139" s="17"/>
      <c r="AG139" s="17"/>
      <c r="AH139" s="17"/>
      <c r="AI139" s="17"/>
      <c r="AJ139" s="17"/>
      <c r="AK139" s="17"/>
      <c r="AL139" s="17"/>
      <c r="AM139" s="17"/>
      <c r="AN139" s="17"/>
      <c r="AO139" s="17"/>
      <c r="AP139" s="17"/>
      <c r="AQ139" s="17"/>
      <c r="AR139" s="17"/>
      <c r="AS139" s="17"/>
      <c r="AT139" s="17"/>
      <c r="AU139" s="17"/>
    </row>
    <row r="140" spans="1:47" x14ac:dyDescent="0.3">
      <c r="A140" s="17"/>
      <c r="B140" s="17"/>
      <c r="C140" s="19"/>
      <c r="D140" s="19"/>
      <c r="E140" s="19"/>
      <c r="F140" s="19"/>
      <c r="G140" s="19"/>
      <c r="H140" s="19"/>
      <c r="I140" s="19"/>
      <c r="J140" s="19"/>
      <c r="K140" s="19"/>
      <c r="L140" s="19"/>
      <c r="M140" s="19"/>
      <c r="N140" s="19"/>
      <c r="O140" s="19"/>
      <c r="P140" s="19"/>
      <c r="Q140" s="19"/>
      <c r="R140" s="19"/>
      <c r="S140" s="19"/>
      <c r="T140" s="19"/>
      <c r="U140" s="19"/>
      <c r="V140" s="19"/>
      <c r="W140" s="19"/>
      <c r="X140" s="19"/>
      <c r="Y140" s="19"/>
      <c r="Z140" s="19"/>
      <c r="AA140" s="19"/>
      <c r="AB140" s="19"/>
      <c r="AC140" s="19"/>
      <c r="AD140" s="17"/>
      <c r="AE140" s="17"/>
      <c r="AF140" s="17"/>
      <c r="AG140" s="17"/>
      <c r="AH140" s="17"/>
      <c r="AI140" s="17"/>
      <c r="AJ140" s="17"/>
      <c r="AK140" s="17"/>
      <c r="AL140" s="17"/>
      <c r="AM140" s="17"/>
      <c r="AN140" s="17"/>
      <c r="AO140" s="17"/>
      <c r="AP140" s="17"/>
      <c r="AQ140" s="17"/>
      <c r="AR140" s="17"/>
      <c r="AS140" s="17"/>
      <c r="AT140" s="17"/>
      <c r="AU140" s="17"/>
    </row>
    <row r="141" spans="1:47" x14ac:dyDescent="0.3">
      <c r="A141" s="17"/>
      <c r="B141" s="17"/>
      <c r="C141" s="19"/>
      <c r="D141" s="19"/>
      <c r="E141" s="19"/>
      <c r="F141" s="19"/>
      <c r="G141" s="19"/>
      <c r="H141" s="19"/>
      <c r="I141" s="19"/>
      <c r="J141" s="19"/>
      <c r="K141" s="19"/>
      <c r="L141" s="19"/>
      <c r="M141" s="19"/>
      <c r="N141" s="19"/>
      <c r="O141" s="19"/>
      <c r="P141" s="19"/>
      <c r="Q141" s="19"/>
      <c r="R141" s="19"/>
      <c r="S141" s="19"/>
      <c r="T141" s="19"/>
      <c r="U141" s="19"/>
      <c r="V141" s="19"/>
      <c r="W141" s="19"/>
      <c r="X141" s="19"/>
      <c r="Y141" s="19"/>
      <c r="Z141" s="19"/>
      <c r="AA141" s="19"/>
      <c r="AB141" s="19"/>
      <c r="AC141" s="19"/>
      <c r="AD141" s="17"/>
      <c r="AE141" s="17"/>
      <c r="AF141" s="17"/>
      <c r="AG141" s="17"/>
      <c r="AH141" s="17"/>
      <c r="AI141" s="17"/>
      <c r="AJ141" s="17"/>
      <c r="AK141" s="17"/>
      <c r="AL141" s="17"/>
      <c r="AM141" s="17"/>
      <c r="AN141" s="17"/>
      <c r="AO141" s="17"/>
      <c r="AP141" s="17"/>
      <c r="AQ141" s="17"/>
      <c r="AR141" s="17"/>
      <c r="AS141" s="17"/>
      <c r="AT141" s="17"/>
      <c r="AU141" s="17"/>
    </row>
    <row r="142" spans="1:47" x14ac:dyDescent="0.3">
      <c r="A142" s="17"/>
      <c r="B142" s="17"/>
      <c r="C142" s="299"/>
      <c r="D142" s="299"/>
      <c r="E142" s="299"/>
      <c r="F142" s="194"/>
      <c r="G142" s="194"/>
      <c r="H142" s="194"/>
      <c r="I142" s="19"/>
      <c r="J142" s="299"/>
      <c r="K142" s="299"/>
      <c r="L142" s="19"/>
      <c r="M142" s="19"/>
      <c r="N142" s="19"/>
      <c r="O142" s="19"/>
      <c r="P142" s="19"/>
      <c r="Q142" s="19"/>
      <c r="R142" s="19"/>
      <c r="S142" s="19"/>
      <c r="T142" s="19"/>
      <c r="U142" s="19"/>
      <c r="V142" s="19"/>
      <c r="W142" s="19"/>
      <c r="X142" s="19"/>
      <c r="Y142" s="19"/>
      <c r="Z142" s="19"/>
      <c r="AA142" s="19"/>
      <c r="AB142" s="19"/>
      <c r="AC142" s="19"/>
      <c r="AD142" s="17"/>
      <c r="AE142" s="17"/>
      <c r="AF142" s="17"/>
      <c r="AG142" s="17"/>
      <c r="AH142" s="17"/>
      <c r="AI142" s="17"/>
      <c r="AJ142" s="17"/>
      <c r="AK142" s="17"/>
      <c r="AL142" s="17"/>
      <c r="AM142" s="17"/>
      <c r="AN142" s="17"/>
      <c r="AO142" s="17"/>
      <c r="AP142" s="17"/>
      <c r="AQ142" s="17"/>
      <c r="AR142" s="17"/>
      <c r="AS142" s="17"/>
      <c r="AT142" s="17"/>
      <c r="AU142" s="17"/>
    </row>
    <row r="143" spans="1:47" x14ac:dyDescent="0.3">
      <c r="A143" s="17"/>
      <c r="B143" s="17"/>
      <c r="C143" s="19"/>
      <c r="D143" s="19"/>
      <c r="E143" s="19"/>
      <c r="F143" s="19"/>
      <c r="G143" s="19"/>
      <c r="H143" s="19"/>
      <c r="I143" s="19"/>
      <c r="J143" s="19"/>
      <c r="K143" s="19"/>
      <c r="L143" s="19"/>
      <c r="M143" s="19"/>
      <c r="N143" s="19"/>
      <c r="O143" s="19"/>
      <c r="P143" s="19"/>
      <c r="Q143" s="19"/>
      <c r="R143" s="19"/>
      <c r="S143" s="19"/>
      <c r="T143" s="19"/>
      <c r="U143" s="19"/>
      <c r="V143" s="19"/>
      <c r="W143" s="19"/>
      <c r="X143" s="19"/>
      <c r="Y143" s="19"/>
      <c r="Z143" s="19"/>
      <c r="AA143" s="19"/>
      <c r="AB143" s="19"/>
      <c r="AC143" s="19"/>
      <c r="AD143" s="17"/>
      <c r="AE143" s="17"/>
      <c r="AF143" s="17"/>
      <c r="AG143" s="17"/>
      <c r="AH143" s="17"/>
      <c r="AI143" s="17"/>
      <c r="AJ143" s="17"/>
      <c r="AK143" s="17"/>
      <c r="AL143" s="17"/>
      <c r="AM143" s="17"/>
      <c r="AN143" s="17"/>
      <c r="AO143" s="17"/>
      <c r="AP143" s="17"/>
      <c r="AQ143" s="17"/>
      <c r="AR143" s="17"/>
      <c r="AS143" s="17"/>
      <c r="AT143" s="17"/>
      <c r="AU143" s="17"/>
    </row>
    <row r="144" spans="1:47" x14ac:dyDescent="0.3">
      <c r="A144" s="17"/>
      <c r="B144" s="17"/>
      <c r="C144" s="19"/>
      <c r="D144" s="19"/>
      <c r="E144" s="19"/>
      <c r="F144" s="19"/>
      <c r="G144" s="19"/>
      <c r="H144" s="19"/>
      <c r="I144" s="19"/>
      <c r="J144" s="205"/>
      <c r="K144" s="205"/>
      <c r="L144" s="205"/>
      <c r="M144" s="19"/>
      <c r="N144" s="19"/>
      <c r="O144" s="19"/>
      <c r="P144" s="19"/>
      <c r="Q144" s="19"/>
      <c r="R144" s="19"/>
      <c r="S144" s="19"/>
      <c r="T144" s="19"/>
      <c r="U144" s="19"/>
      <c r="V144" s="19"/>
      <c r="W144" s="19"/>
      <c r="X144" s="19"/>
      <c r="Y144" s="19"/>
      <c r="Z144" s="19"/>
      <c r="AA144" s="19"/>
      <c r="AB144" s="19"/>
      <c r="AC144" s="19"/>
      <c r="AD144" s="17"/>
      <c r="AE144" s="17"/>
      <c r="AF144" s="17"/>
      <c r="AG144" s="17"/>
      <c r="AH144" s="17"/>
      <c r="AI144" s="17"/>
      <c r="AJ144" s="17"/>
      <c r="AK144" s="17"/>
      <c r="AL144" s="17"/>
      <c r="AM144" s="17"/>
      <c r="AN144" s="17"/>
      <c r="AO144" s="17"/>
      <c r="AP144" s="17"/>
      <c r="AQ144" s="17"/>
      <c r="AR144" s="17"/>
      <c r="AS144" s="17"/>
      <c r="AT144" s="17"/>
      <c r="AU144" s="17"/>
    </row>
    <row r="145" spans="1:47" x14ac:dyDescent="0.3">
      <c r="A145" s="17"/>
      <c r="B145" s="17"/>
      <c r="C145" s="19"/>
      <c r="D145" s="19"/>
      <c r="E145" s="19"/>
      <c r="F145" s="19"/>
      <c r="G145" s="19"/>
      <c r="H145" s="19"/>
      <c r="I145" s="19"/>
      <c r="J145" s="205"/>
      <c r="K145" s="205"/>
      <c r="L145" s="205"/>
      <c r="M145" s="19"/>
      <c r="N145" s="19"/>
      <c r="O145" s="19"/>
      <c r="P145" s="19"/>
      <c r="Q145" s="19"/>
      <c r="R145" s="19"/>
      <c r="S145" s="19"/>
      <c r="T145" s="19"/>
      <c r="U145" s="19"/>
      <c r="V145" s="19"/>
      <c r="W145" s="19"/>
      <c r="X145" s="19"/>
      <c r="Y145" s="19"/>
      <c r="Z145" s="19"/>
      <c r="AA145" s="19"/>
      <c r="AB145" s="19"/>
      <c r="AC145" s="19"/>
      <c r="AD145" s="17"/>
      <c r="AE145" s="17"/>
      <c r="AF145" s="17"/>
      <c r="AG145" s="17"/>
      <c r="AH145" s="17"/>
      <c r="AI145" s="17"/>
      <c r="AJ145" s="17"/>
      <c r="AK145" s="17"/>
      <c r="AL145" s="17"/>
      <c r="AM145" s="17"/>
      <c r="AN145" s="17"/>
      <c r="AO145" s="17"/>
      <c r="AP145" s="17"/>
      <c r="AQ145" s="17"/>
      <c r="AR145" s="17"/>
      <c r="AS145" s="17"/>
      <c r="AT145" s="17"/>
      <c r="AU145" s="17"/>
    </row>
    <row r="146" spans="1:47" x14ac:dyDescent="0.3">
      <c r="A146" s="17"/>
      <c r="B146" s="17"/>
      <c r="C146" s="19"/>
      <c r="D146" s="19"/>
      <c r="E146" s="19"/>
      <c r="F146" s="19"/>
      <c r="G146" s="19"/>
      <c r="H146" s="19"/>
      <c r="I146" s="19"/>
      <c r="J146" s="205"/>
      <c r="K146" s="205"/>
      <c r="L146" s="205"/>
      <c r="M146" s="19"/>
      <c r="N146" s="19"/>
      <c r="O146" s="19"/>
      <c r="P146" s="19"/>
      <c r="Q146" s="19"/>
      <c r="R146" s="19"/>
      <c r="S146" s="19"/>
      <c r="T146" s="19"/>
      <c r="U146" s="19"/>
      <c r="V146" s="19"/>
      <c r="W146" s="19"/>
      <c r="X146" s="19"/>
      <c r="Y146" s="19"/>
      <c r="Z146" s="19"/>
      <c r="AA146" s="19"/>
      <c r="AB146" s="19"/>
      <c r="AC146" s="19"/>
      <c r="AD146" s="17"/>
      <c r="AE146" s="17"/>
      <c r="AF146" s="17"/>
      <c r="AG146" s="17"/>
      <c r="AH146" s="17"/>
      <c r="AI146" s="17"/>
      <c r="AJ146" s="17"/>
      <c r="AK146" s="17"/>
      <c r="AL146" s="17"/>
      <c r="AM146" s="17"/>
      <c r="AN146" s="17"/>
      <c r="AO146" s="17"/>
      <c r="AP146" s="17"/>
      <c r="AQ146" s="17"/>
      <c r="AR146" s="17"/>
      <c r="AS146" s="17"/>
      <c r="AT146" s="17"/>
      <c r="AU146" s="17"/>
    </row>
    <row r="147" spans="1:47" x14ac:dyDescent="0.3">
      <c r="A147" s="17"/>
      <c r="B147" s="17"/>
      <c r="C147" s="19"/>
      <c r="D147" s="19"/>
      <c r="E147" s="19"/>
      <c r="F147" s="19"/>
      <c r="G147" s="19"/>
      <c r="H147" s="19"/>
      <c r="I147" s="19"/>
      <c r="J147" s="205"/>
      <c r="K147" s="205"/>
      <c r="L147" s="205"/>
      <c r="M147" s="19"/>
      <c r="N147" s="19"/>
      <c r="O147" s="19"/>
      <c r="P147" s="19"/>
      <c r="Q147" s="19"/>
      <c r="R147" s="19"/>
      <c r="S147" s="19"/>
      <c r="T147" s="19"/>
      <c r="U147" s="19"/>
      <c r="V147" s="19"/>
      <c r="W147" s="19"/>
      <c r="X147" s="19"/>
      <c r="Y147" s="19"/>
      <c r="Z147" s="19"/>
      <c r="AA147" s="19"/>
      <c r="AB147" s="19"/>
      <c r="AC147" s="19"/>
      <c r="AD147" s="17"/>
      <c r="AE147" s="17"/>
      <c r="AF147" s="17"/>
      <c r="AG147" s="17"/>
      <c r="AH147" s="17"/>
      <c r="AI147" s="17"/>
      <c r="AJ147" s="17"/>
      <c r="AK147" s="17"/>
      <c r="AL147" s="17"/>
      <c r="AM147" s="17"/>
      <c r="AN147" s="17"/>
      <c r="AO147" s="17"/>
      <c r="AP147" s="17"/>
      <c r="AQ147" s="17"/>
      <c r="AR147" s="17"/>
      <c r="AS147" s="17"/>
      <c r="AT147" s="17"/>
      <c r="AU147" s="17"/>
    </row>
    <row r="148" spans="1:47" x14ac:dyDescent="0.3">
      <c r="A148" s="17"/>
      <c r="B148" s="17"/>
      <c r="C148" s="19"/>
      <c r="D148" s="19"/>
      <c r="E148" s="19"/>
      <c r="F148" s="19"/>
      <c r="G148" s="19"/>
      <c r="H148" s="19"/>
      <c r="I148" s="19"/>
      <c r="J148" s="19"/>
      <c r="K148" s="19"/>
      <c r="L148" s="19"/>
      <c r="M148" s="19"/>
      <c r="N148" s="19"/>
      <c r="O148" s="19"/>
      <c r="P148" s="19"/>
      <c r="Q148" s="19"/>
      <c r="R148" s="19"/>
      <c r="S148" s="19"/>
      <c r="T148" s="19"/>
      <c r="U148" s="19"/>
      <c r="V148" s="19"/>
      <c r="W148" s="19"/>
      <c r="X148" s="19"/>
      <c r="Y148" s="19"/>
      <c r="Z148" s="19"/>
      <c r="AA148" s="19"/>
      <c r="AB148" s="19"/>
      <c r="AC148" s="19"/>
      <c r="AD148" s="17"/>
      <c r="AE148" s="17"/>
      <c r="AF148" s="17"/>
      <c r="AG148" s="17"/>
      <c r="AH148" s="17"/>
      <c r="AI148" s="17"/>
      <c r="AJ148" s="17"/>
      <c r="AK148" s="17"/>
      <c r="AL148" s="17"/>
      <c r="AM148" s="17"/>
      <c r="AN148" s="17"/>
      <c r="AO148" s="17"/>
      <c r="AP148" s="17"/>
      <c r="AQ148" s="17"/>
      <c r="AR148" s="17"/>
      <c r="AS148" s="17"/>
      <c r="AT148" s="17"/>
      <c r="AU148" s="17"/>
    </row>
    <row r="149" spans="1:47" x14ac:dyDescent="0.3">
      <c r="A149" s="17"/>
      <c r="B149" s="17"/>
      <c r="C149" s="19"/>
      <c r="D149" s="19"/>
      <c r="E149" s="19"/>
      <c r="F149" s="19"/>
      <c r="G149" s="19"/>
      <c r="H149" s="19"/>
      <c r="I149" s="19"/>
      <c r="J149" s="19"/>
      <c r="K149" s="19"/>
      <c r="L149" s="19"/>
      <c r="M149" s="19"/>
      <c r="N149" s="19"/>
      <c r="O149" s="19"/>
      <c r="P149" s="19"/>
      <c r="Q149" s="19"/>
      <c r="R149" s="19"/>
      <c r="S149" s="19"/>
      <c r="T149" s="19"/>
      <c r="U149" s="19"/>
      <c r="V149" s="206"/>
      <c r="W149" s="206"/>
      <c r="X149" s="206"/>
      <c r="Y149" s="206"/>
      <c r="Z149" s="19"/>
      <c r="AA149" s="19"/>
      <c r="AB149" s="19"/>
      <c r="AC149" s="19"/>
      <c r="AD149" s="17"/>
      <c r="AE149" s="17"/>
      <c r="AF149" s="17"/>
      <c r="AG149" s="17"/>
      <c r="AH149" s="17"/>
      <c r="AI149" s="17"/>
      <c r="AJ149" s="17"/>
      <c r="AK149" s="17"/>
      <c r="AL149" s="17"/>
      <c r="AM149" s="17"/>
      <c r="AN149" s="17"/>
      <c r="AO149" s="17"/>
      <c r="AP149" s="17"/>
      <c r="AQ149" s="17"/>
      <c r="AR149" s="17"/>
      <c r="AS149" s="17"/>
      <c r="AT149" s="17"/>
      <c r="AU149" s="17"/>
    </row>
    <row r="150" spans="1:47" x14ac:dyDescent="0.3">
      <c r="A150" s="17"/>
      <c r="B150" s="17"/>
      <c r="C150" s="19"/>
      <c r="D150" s="19"/>
      <c r="E150" s="19"/>
      <c r="F150" s="19"/>
      <c r="G150" s="19"/>
      <c r="H150" s="19"/>
      <c r="I150" s="19"/>
      <c r="J150" s="19"/>
      <c r="K150" s="19"/>
      <c r="L150" s="19"/>
      <c r="M150" s="19"/>
      <c r="N150" s="19"/>
      <c r="O150" s="19"/>
      <c r="P150" s="19"/>
      <c r="Q150" s="19"/>
      <c r="R150" s="19"/>
      <c r="S150" s="19"/>
      <c r="T150" s="19"/>
      <c r="U150" s="19"/>
      <c r="V150" s="19"/>
      <c r="W150" s="19"/>
      <c r="X150" s="19"/>
      <c r="Y150" s="19"/>
      <c r="Z150" s="19"/>
      <c r="AA150" s="19"/>
      <c r="AB150" s="19"/>
      <c r="AC150" s="19"/>
      <c r="AD150" s="17"/>
      <c r="AE150" s="17"/>
      <c r="AF150" s="17"/>
      <c r="AG150" s="17"/>
      <c r="AH150" s="17"/>
      <c r="AI150" s="17"/>
      <c r="AJ150" s="17"/>
      <c r="AK150" s="17"/>
      <c r="AL150" s="17"/>
      <c r="AM150" s="17"/>
      <c r="AN150" s="17"/>
      <c r="AO150" s="17"/>
      <c r="AP150" s="17"/>
      <c r="AQ150" s="17"/>
      <c r="AR150" s="17"/>
      <c r="AS150" s="17"/>
      <c r="AT150" s="17"/>
      <c r="AU150" s="17"/>
    </row>
    <row r="151" spans="1:47" x14ac:dyDescent="0.3">
      <c r="A151" s="17"/>
      <c r="B151" s="17"/>
      <c r="C151" s="19"/>
      <c r="D151" s="19"/>
      <c r="E151" s="19"/>
      <c r="F151" s="19"/>
      <c r="G151" s="19"/>
      <c r="H151" s="19"/>
      <c r="I151" s="19"/>
      <c r="J151" s="19"/>
      <c r="K151" s="19"/>
      <c r="L151" s="19"/>
      <c r="M151" s="19"/>
      <c r="N151" s="19"/>
      <c r="O151" s="19"/>
      <c r="P151" s="19"/>
      <c r="Q151" s="19"/>
      <c r="R151" s="19"/>
      <c r="S151" s="19"/>
      <c r="T151" s="19"/>
      <c r="U151" s="19"/>
      <c r="V151" s="19"/>
      <c r="W151" s="205"/>
      <c r="X151" s="205"/>
      <c r="Y151" s="205"/>
      <c r="Z151" s="19"/>
      <c r="AA151" s="19"/>
      <c r="AB151" s="19"/>
      <c r="AC151" s="19"/>
      <c r="AD151" s="21"/>
      <c r="AE151" s="17"/>
      <c r="AF151" s="17"/>
      <c r="AG151" s="17"/>
      <c r="AH151" s="17"/>
      <c r="AI151" s="17"/>
      <c r="AJ151" s="17"/>
      <c r="AK151" s="17"/>
      <c r="AL151" s="17"/>
      <c r="AM151" s="17"/>
      <c r="AN151" s="17"/>
      <c r="AO151" s="17"/>
      <c r="AP151" s="17"/>
      <c r="AQ151" s="17"/>
      <c r="AR151" s="17"/>
      <c r="AS151" s="17"/>
      <c r="AT151" s="17"/>
      <c r="AU151" s="17"/>
    </row>
    <row r="152" spans="1:47" x14ac:dyDescent="0.3">
      <c r="A152" s="17"/>
      <c r="B152" s="17"/>
      <c r="C152" s="19"/>
      <c r="D152" s="19"/>
      <c r="E152" s="19"/>
      <c r="F152" s="19"/>
      <c r="G152" s="19"/>
      <c r="H152" s="19"/>
      <c r="I152" s="19"/>
      <c r="J152" s="19"/>
      <c r="K152" s="19"/>
      <c r="L152" s="19"/>
      <c r="M152" s="19"/>
      <c r="N152" s="19"/>
      <c r="O152" s="19"/>
      <c r="P152" s="19"/>
      <c r="Q152" s="19"/>
      <c r="R152" s="19"/>
      <c r="S152" s="19"/>
      <c r="T152" s="19"/>
      <c r="U152" s="19"/>
      <c r="V152" s="19"/>
      <c r="W152" s="205"/>
      <c r="X152" s="205"/>
      <c r="Y152" s="205"/>
      <c r="Z152" s="19"/>
      <c r="AA152" s="19"/>
      <c r="AB152" s="19"/>
      <c r="AC152" s="19"/>
      <c r="AD152" s="21"/>
      <c r="AE152" s="17"/>
      <c r="AF152" s="17"/>
      <c r="AG152" s="17"/>
      <c r="AH152" s="17"/>
      <c r="AI152" s="17"/>
      <c r="AJ152" s="17"/>
      <c r="AK152" s="17"/>
      <c r="AL152" s="17"/>
      <c r="AM152" s="17"/>
      <c r="AN152" s="17"/>
      <c r="AO152" s="17"/>
      <c r="AP152" s="17"/>
      <c r="AQ152" s="17"/>
      <c r="AR152" s="17"/>
      <c r="AS152" s="17"/>
      <c r="AT152" s="17"/>
      <c r="AU152" s="17"/>
    </row>
    <row r="153" spans="1:47" x14ac:dyDescent="0.3">
      <c r="A153" s="17"/>
      <c r="B153" s="17"/>
      <c r="C153" s="19"/>
      <c r="D153" s="19"/>
      <c r="E153" s="19"/>
      <c r="F153" s="19"/>
      <c r="G153" s="19"/>
      <c r="H153" s="19"/>
      <c r="I153" s="19"/>
      <c r="J153" s="19"/>
      <c r="K153" s="19"/>
      <c r="L153" s="19"/>
      <c r="M153" s="19"/>
      <c r="N153" s="19"/>
      <c r="O153" s="19"/>
      <c r="P153" s="19"/>
      <c r="Q153" s="19"/>
      <c r="R153" s="19"/>
      <c r="S153" s="19"/>
      <c r="T153" s="19"/>
      <c r="U153" s="19"/>
      <c r="V153" s="19"/>
      <c r="W153" s="205"/>
      <c r="X153" s="205"/>
      <c r="Y153" s="205"/>
      <c r="Z153" s="19"/>
      <c r="AA153" s="19"/>
      <c r="AB153" s="19"/>
      <c r="AC153" s="19"/>
      <c r="AD153" s="21"/>
      <c r="AE153" s="17"/>
      <c r="AF153" s="17"/>
      <c r="AG153" s="17"/>
      <c r="AH153" s="17"/>
      <c r="AI153" s="17"/>
      <c r="AJ153" s="17"/>
      <c r="AK153" s="17"/>
      <c r="AL153" s="17"/>
      <c r="AM153" s="17"/>
      <c r="AN153" s="17"/>
      <c r="AO153" s="17"/>
      <c r="AP153" s="17"/>
      <c r="AQ153" s="17"/>
      <c r="AR153" s="17"/>
      <c r="AS153" s="17"/>
      <c r="AT153" s="17"/>
      <c r="AU153" s="17"/>
    </row>
    <row r="154" spans="1:47" x14ac:dyDescent="0.3">
      <c r="A154" s="17"/>
      <c r="B154" s="17"/>
      <c r="C154" s="19"/>
      <c r="D154" s="19"/>
      <c r="E154" s="19"/>
      <c r="F154" s="19"/>
      <c r="G154" s="19"/>
      <c r="H154" s="19"/>
      <c r="I154" s="19"/>
      <c r="J154" s="19"/>
      <c r="K154" s="19"/>
      <c r="L154" s="19"/>
      <c r="M154" s="19"/>
      <c r="N154" s="19"/>
      <c r="O154" s="19"/>
      <c r="P154" s="19"/>
      <c r="Q154" s="19"/>
      <c r="R154" s="19"/>
      <c r="S154" s="205"/>
      <c r="T154" s="19"/>
      <c r="U154" s="19"/>
      <c r="V154" s="19"/>
      <c r="W154" s="205"/>
      <c r="X154" s="205"/>
      <c r="Y154" s="205"/>
      <c r="Z154" s="19"/>
      <c r="AA154" s="19"/>
      <c r="AB154" s="19"/>
      <c r="AC154" s="19"/>
      <c r="AD154" s="17"/>
      <c r="AE154" s="17"/>
      <c r="AF154" s="17"/>
      <c r="AG154" s="17"/>
      <c r="AH154" s="17"/>
      <c r="AI154" s="17"/>
      <c r="AJ154" s="17"/>
      <c r="AK154" s="17"/>
      <c r="AL154" s="17"/>
      <c r="AM154" s="17"/>
      <c r="AN154" s="17"/>
      <c r="AO154" s="17"/>
      <c r="AP154" s="17"/>
      <c r="AQ154" s="17"/>
      <c r="AR154" s="17"/>
      <c r="AS154" s="17"/>
      <c r="AT154" s="17"/>
      <c r="AU154" s="17"/>
    </row>
    <row r="155" spans="1:47" x14ac:dyDescent="0.3">
      <c r="A155" s="17"/>
      <c r="B155" s="17"/>
      <c r="C155" s="19"/>
      <c r="D155" s="19"/>
      <c r="E155" s="19"/>
      <c r="F155" s="19"/>
      <c r="G155" s="19"/>
      <c r="H155" s="19"/>
      <c r="I155" s="19"/>
      <c r="J155" s="19"/>
      <c r="K155" s="19"/>
      <c r="L155" s="19"/>
      <c r="M155" s="19"/>
      <c r="N155" s="19"/>
      <c r="O155" s="19"/>
      <c r="P155" s="19"/>
      <c r="Q155" s="19"/>
      <c r="R155" s="19"/>
      <c r="S155" s="19"/>
      <c r="T155" s="19"/>
      <c r="U155" s="19"/>
      <c r="V155" s="19"/>
      <c r="W155" s="205"/>
      <c r="X155" s="205"/>
      <c r="Y155" s="205"/>
      <c r="Z155" s="19"/>
      <c r="AA155" s="19"/>
      <c r="AB155" s="19"/>
      <c r="AC155" s="19"/>
      <c r="AD155" s="17"/>
      <c r="AE155" s="17"/>
      <c r="AF155" s="17"/>
      <c r="AG155" s="17"/>
      <c r="AH155" s="17"/>
      <c r="AI155" s="17"/>
      <c r="AJ155" s="17"/>
      <c r="AK155" s="17"/>
      <c r="AL155" s="17"/>
      <c r="AM155" s="17"/>
      <c r="AN155" s="17"/>
      <c r="AO155" s="17"/>
      <c r="AP155" s="17"/>
      <c r="AQ155" s="17"/>
      <c r="AR155" s="17"/>
      <c r="AS155" s="17"/>
      <c r="AT155" s="17"/>
      <c r="AU155" s="17"/>
    </row>
    <row r="156" spans="1:47" x14ac:dyDescent="0.3">
      <c r="A156" s="17"/>
      <c r="B156" s="17"/>
      <c r="C156" s="19"/>
      <c r="D156" s="19"/>
      <c r="E156" s="19"/>
      <c r="F156" s="19"/>
      <c r="G156" s="19"/>
      <c r="H156" s="19"/>
      <c r="I156" s="19"/>
      <c r="J156" s="19"/>
      <c r="K156" s="19"/>
      <c r="L156" s="19"/>
      <c r="M156" s="19"/>
      <c r="N156" s="19"/>
      <c r="O156" s="19"/>
      <c r="P156" s="19"/>
      <c r="Q156" s="19"/>
      <c r="R156" s="19"/>
      <c r="S156" s="19"/>
      <c r="T156" s="19"/>
      <c r="U156" s="19"/>
      <c r="V156" s="19"/>
      <c r="W156" s="19"/>
      <c r="X156" s="19"/>
      <c r="Y156" s="19"/>
      <c r="Z156" s="19"/>
      <c r="AA156" s="19"/>
      <c r="AB156" s="19"/>
      <c r="AC156" s="19"/>
      <c r="AD156" s="17"/>
      <c r="AE156" s="17"/>
      <c r="AF156" s="17"/>
      <c r="AG156" s="17"/>
      <c r="AH156" s="21"/>
      <c r="AI156" s="21"/>
      <c r="AJ156" s="17"/>
      <c r="AK156" s="17"/>
      <c r="AL156" s="17"/>
      <c r="AM156" s="17"/>
      <c r="AN156" s="17"/>
      <c r="AO156" s="17"/>
      <c r="AP156" s="17"/>
      <c r="AQ156" s="17"/>
      <c r="AR156" s="17"/>
      <c r="AS156" s="17"/>
      <c r="AT156" s="17"/>
      <c r="AU156" s="17"/>
    </row>
    <row r="157" spans="1:47" x14ac:dyDescent="0.3">
      <c r="A157" s="17"/>
      <c r="B157" s="17"/>
      <c r="C157" s="19"/>
      <c r="D157" s="19"/>
      <c r="E157" s="19"/>
      <c r="F157" s="19"/>
      <c r="G157" s="19"/>
      <c r="H157" s="19"/>
      <c r="I157" s="19"/>
      <c r="J157" s="19"/>
      <c r="K157" s="19"/>
      <c r="L157" s="19"/>
      <c r="M157" s="19"/>
      <c r="N157" s="19"/>
      <c r="O157" s="19"/>
      <c r="P157" s="19"/>
      <c r="Q157" s="19"/>
      <c r="R157" s="19"/>
      <c r="S157" s="19"/>
      <c r="T157" s="19"/>
      <c r="U157" s="19"/>
      <c r="V157" s="19"/>
      <c r="W157" s="19"/>
      <c r="X157" s="19"/>
      <c r="Y157" s="19"/>
      <c r="Z157" s="19"/>
      <c r="AA157" s="19"/>
      <c r="AB157" s="19"/>
      <c r="AC157" s="19"/>
      <c r="AD157" s="17"/>
      <c r="AE157" s="17"/>
      <c r="AF157" s="17"/>
      <c r="AG157" s="17"/>
      <c r="AH157" s="21"/>
      <c r="AI157" s="21"/>
      <c r="AJ157" s="17"/>
      <c r="AK157" s="17"/>
      <c r="AL157" s="17"/>
      <c r="AM157" s="17"/>
      <c r="AN157" s="17"/>
      <c r="AO157" s="17"/>
      <c r="AP157" s="17"/>
      <c r="AQ157" s="17"/>
      <c r="AR157" s="17"/>
      <c r="AS157" s="17"/>
      <c r="AT157" s="17"/>
      <c r="AU157" s="17"/>
    </row>
    <row r="158" spans="1:47" x14ac:dyDescent="0.3">
      <c r="A158" s="17"/>
      <c r="B158" s="17"/>
      <c r="C158" s="19"/>
      <c r="D158" s="19"/>
      <c r="E158" s="19"/>
      <c r="F158" s="19"/>
      <c r="G158" s="19"/>
      <c r="H158" s="19"/>
      <c r="I158" s="19"/>
      <c r="J158" s="19"/>
      <c r="K158" s="19"/>
      <c r="L158" s="19"/>
      <c r="M158" s="19"/>
      <c r="N158" s="19"/>
      <c r="O158" s="19"/>
      <c r="P158" s="19"/>
      <c r="Q158" s="19"/>
      <c r="R158" s="19"/>
      <c r="S158" s="19"/>
      <c r="T158" s="19"/>
      <c r="U158" s="19"/>
      <c r="V158" s="299"/>
      <c r="W158" s="299"/>
      <c r="X158" s="299"/>
      <c r="Y158" s="299"/>
      <c r="Z158" s="19"/>
      <c r="AA158" s="19"/>
      <c r="AB158" s="19"/>
      <c r="AC158" s="19"/>
      <c r="AD158" s="17"/>
      <c r="AE158" s="17"/>
      <c r="AF158" s="17"/>
      <c r="AG158" s="17"/>
      <c r="AH158" s="21"/>
      <c r="AI158" s="21"/>
      <c r="AJ158" s="17"/>
      <c r="AK158" s="17"/>
      <c r="AL158" s="17"/>
      <c r="AM158" s="17"/>
      <c r="AN158" s="17"/>
      <c r="AO158" s="17"/>
      <c r="AP158" s="17"/>
      <c r="AQ158" s="17"/>
      <c r="AR158" s="17"/>
      <c r="AS158" s="17"/>
      <c r="AT158" s="17"/>
      <c r="AU158" s="17"/>
    </row>
    <row r="159" spans="1:47" x14ac:dyDescent="0.3">
      <c r="A159" s="17"/>
      <c r="B159" s="17"/>
      <c r="C159" s="19"/>
      <c r="D159" s="19"/>
      <c r="E159" s="19"/>
      <c r="F159" s="19"/>
      <c r="G159" s="19"/>
      <c r="H159" s="19"/>
      <c r="I159" s="19"/>
      <c r="J159" s="19"/>
      <c r="K159" s="19"/>
      <c r="L159" s="19"/>
      <c r="M159" s="19"/>
      <c r="N159" s="19"/>
      <c r="O159" s="19"/>
      <c r="P159" s="19"/>
      <c r="Q159" s="19"/>
      <c r="R159" s="19"/>
      <c r="S159" s="19"/>
      <c r="T159" s="19"/>
      <c r="U159" s="19"/>
      <c r="V159" s="19"/>
      <c r="W159" s="19"/>
      <c r="X159" s="19"/>
      <c r="Y159" s="19"/>
      <c r="Z159" s="19"/>
      <c r="AA159" s="19"/>
      <c r="AB159" s="19"/>
      <c r="AC159" s="19"/>
      <c r="AD159" s="17"/>
      <c r="AE159" s="17"/>
      <c r="AF159" s="17"/>
      <c r="AG159" s="17"/>
      <c r="AH159" s="21"/>
      <c r="AI159" s="21"/>
      <c r="AJ159" s="17"/>
      <c r="AK159" s="17"/>
      <c r="AL159" s="17"/>
      <c r="AM159" s="17"/>
      <c r="AN159" s="17"/>
      <c r="AO159" s="17"/>
      <c r="AP159" s="17"/>
      <c r="AQ159" s="17"/>
      <c r="AR159" s="17"/>
      <c r="AS159" s="17"/>
      <c r="AT159" s="17"/>
      <c r="AU159" s="17"/>
    </row>
    <row r="160" spans="1:47" x14ac:dyDescent="0.3">
      <c r="A160" s="17"/>
      <c r="B160" s="17"/>
      <c r="C160" s="19"/>
      <c r="D160" s="19"/>
      <c r="E160" s="19"/>
      <c r="F160" s="19"/>
      <c r="G160" s="19"/>
      <c r="H160" s="19"/>
      <c r="I160" s="19"/>
      <c r="J160" s="19"/>
      <c r="K160" s="19"/>
      <c r="L160" s="19"/>
      <c r="M160" s="19"/>
      <c r="N160" s="19"/>
      <c r="O160" s="19"/>
      <c r="P160" s="19"/>
      <c r="Q160" s="19"/>
      <c r="R160" s="19"/>
      <c r="S160" s="19"/>
      <c r="T160" s="19"/>
      <c r="U160" s="19"/>
      <c r="V160" s="19"/>
      <c r="W160" s="205"/>
      <c r="X160" s="205"/>
      <c r="Y160" s="205"/>
      <c r="Z160" s="19"/>
      <c r="AA160" s="19"/>
      <c r="AB160" s="19"/>
      <c r="AC160" s="19"/>
      <c r="AD160" s="17"/>
      <c r="AE160" s="17"/>
      <c r="AF160" s="17"/>
      <c r="AG160" s="17"/>
      <c r="AH160" s="21"/>
      <c r="AI160" s="21"/>
      <c r="AJ160" s="17"/>
      <c r="AK160" s="17"/>
      <c r="AL160" s="17"/>
      <c r="AM160" s="17"/>
      <c r="AN160" s="17"/>
      <c r="AO160" s="17"/>
      <c r="AP160" s="17"/>
      <c r="AQ160" s="17"/>
      <c r="AR160" s="17"/>
      <c r="AS160" s="17"/>
      <c r="AT160" s="17"/>
      <c r="AU160" s="17"/>
    </row>
    <row r="161" spans="1:47" x14ac:dyDescent="0.3">
      <c r="A161" s="17"/>
      <c r="B161" s="17"/>
      <c r="C161" s="19"/>
      <c r="D161" s="19"/>
      <c r="E161" s="19"/>
      <c r="F161" s="19"/>
      <c r="G161" s="19"/>
      <c r="H161" s="19"/>
      <c r="I161" s="19"/>
      <c r="J161" s="19"/>
      <c r="K161" s="19"/>
      <c r="L161" s="19"/>
      <c r="M161" s="19"/>
      <c r="N161" s="19"/>
      <c r="O161" s="19"/>
      <c r="P161" s="19"/>
      <c r="Q161" s="19"/>
      <c r="R161" s="19"/>
      <c r="S161" s="19"/>
      <c r="T161" s="19"/>
      <c r="U161" s="19"/>
      <c r="V161" s="19"/>
      <c r="W161" s="205"/>
      <c r="X161" s="205"/>
      <c r="Y161" s="205"/>
      <c r="Z161" s="19"/>
      <c r="AA161" s="19"/>
      <c r="AB161" s="19"/>
      <c r="AC161" s="19"/>
      <c r="AD161" s="17"/>
      <c r="AE161" s="17"/>
      <c r="AF161" s="17"/>
      <c r="AG161" s="17"/>
      <c r="AH161" s="21"/>
      <c r="AI161" s="21"/>
      <c r="AJ161" s="17"/>
      <c r="AK161" s="17"/>
      <c r="AL161" s="17"/>
      <c r="AM161" s="17"/>
      <c r="AN161" s="17"/>
      <c r="AO161" s="17"/>
      <c r="AP161" s="17"/>
      <c r="AQ161" s="17"/>
      <c r="AR161" s="17"/>
      <c r="AS161" s="17"/>
      <c r="AT161" s="17"/>
      <c r="AU161" s="17"/>
    </row>
    <row r="162" spans="1:47" x14ac:dyDescent="0.3">
      <c r="A162" s="17"/>
      <c r="B162" s="17"/>
      <c r="C162" s="19"/>
      <c r="D162" s="19"/>
      <c r="E162" s="19"/>
      <c r="F162" s="19"/>
      <c r="G162" s="19"/>
      <c r="H162" s="19"/>
      <c r="I162" s="19"/>
      <c r="J162" s="19"/>
      <c r="K162" s="19"/>
      <c r="L162" s="19"/>
      <c r="M162" s="19"/>
      <c r="N162" s="19"/>
      <c r="O162" s="19"/>
      <c r="P162" s="19"/>
      <c r="Q162" s="19"/>
      <c r="R162" s="19"/>
      <c r="S162" s="19"/>
      <c r="T162" s="19"/>
      <c r="U162" s="19"/>
      <c r="V162" s="19"/>
      <c r="W162" s="205"/>
      <c r="X162" s="205"/>
      <c r="Y162" s="205"/>
      <c r="Z162" s="19"/>
      <c r="AA162" s="19"/>
      <c r="AB162" s="19"/>
      <c r="AC162" s="19"/>
      <c r="AD162" s="17"/>
      <c r="AE162" s="17"/>
      <c r="AF162" s="17"/>
      <c r="AG162" s="17"/>
      <c r="AH162" s="21"/>
      <c r="AI162" s="21"/>
      <c r="AJ162" s="17"/>
      <c r="AK162" s="17"/>
      <c r="AL162" s="17"/>
      <c r="AM162" s="17"/>
      <c r="AN162" s="17"/>
      <c r="AO162" s="17"/>
      <c r="AP162" s="17"/>
      <c r="AQ162" s="17"/>
      <c r="AR162" s="17"/>
      <c r="AS162" s="17"/>
      <c r="AT162" s="17"/>
      <c r="AU162" s="17"/>
    </row>
    <row r="163" spans="1:47" x14ac:dyDescent="0.3">
      <c r="A163" s="17"/>
      <c r="B163" s="17"/>
      <c r="C163" s="19"/>
      <c r="D163" s="19"/>
      <c r="E163" s="19"/>
      <c r="F163" s="19"/>
      <c r="G163" s="19"/>
      <c r="H163" s="19"/>
      <c r="I163" s="19"/>
      <c r="J163" s="19"/>
      <c r="K163" s="19"/>
      <c r="L163" s="19"/>
      <c r="M163" s="19"/>
      <c r="N163" s="19"/>
      <c r="O163" s="19"/>
      <c r="P163" s="19"/>
      <c r="Q163" s="19"/>
      <c r="R163" s="19"/>
      <c r="S163" s="205"/>
      <c r="T163" s="19"/>
      <c r="U163" s="19"/>
      <c r="V163" s="19"/>
      <c r="W163" s="205"/>
      <c r="X163" s="205"/>
      <c r="Y163" s="205"/>
      <c r="Z163" s="19"/>
      <c r="AA163" s="19"/>
      <c r="AB163" s="19"/>
      <c r="AC163" s="19"/>
      <c r="AD163" s="17"/>
      <c r="AE163" s="17"/>
      <c r="AF163" s="17"/>
      <c r="AG163" s="17"/>
      <c r="AH163" s="21"/>
      <c r="AI163" s="21"/>
      <c r="AJ163" s="17"/>
      <c r="AK163" s="17"/>
      <c r="AL163" s="17"/>
      <c r="AM163" s="17"/>
      <c r="AN163" s="17"/>
      <c r="AO163" s="17"/>
      <c r="AP163" s="17"/>
      <c r="AQ163" s="17"/>
      <c r="AR163" s="17"/>
      <c r="AS163" s="17"/>
      <c r="AT163" s="17"/>
      <c r="AU163" s="17"/>
    </row>
    <row r="164" spans="1:47" x14ac:dyDescent="0.3">
      <c r="A164" s="17"/>
      <c r="B164" s="17"/>
      <c r="C164" s="19"/>
      <c r="D164" s="19"/>
      <c r="E164" s="19"/>
      <c r="F164" s="19"/>
      <c r="G164" s="19"/>
      <c r="H164" s="19"/>
      <c r="I164" s="19"/>
      <c r="J164" s="19"/>
      <c r="K164" s="19"/>
      <c r="L164" s="19"/>
      <c r="M164" s="19"/>
      <c r="N164" s="19"/>
      <c r="O164" s="19"/>
      <c r="P164" s="19"/>
      <c r="Q164" s="19"/>
      <c r="R164" s="19"/>
      <c r="S164" s="19"/>
      <c r="T164" s="19"/>
      <c r="U164" s="19"/>
      <c r="V164" s="19"/>
      <c r="W164" s="205"/>
      <c r="X164" s="205"/>
      <c r="Y164" s="205"/>
      <c r="Z164" s="19"/>
      <c r="AA164" s="19"/>
      <c r="AB164" s="19"/>
      <c r="AC164" s="19"/>
      <c r="AD164" s="17"/>
      <c r="AE164" s="17"/>
      <c r="AF164" s="17"/>
      <c r="AG164" s="17"/>
      <c r="AH164" s="17"/>
      <c r="AI164" s="17"/>
      <c r="AJ164" s="17"/>
      <c r="AK164" s="17"/>
      <c r="AL164" s="17"/>
      <c r="AM164" s="17"/>
      <c r="AN164" s="17"/>
      <c r="AO164" s="17"/>
      <c r="AP164" s="17"/>
      <c r="AQ164" s="17"/>
      <c r="AR164" s="17"/>
      <c r="AS164" s="17"/>
      <c r="AT164" s="17"/>
      <c r="AU164" s="17"/>
    </row>
    <row r="165" spans="1:47" x14ac:dyDescent="0.3">
      <c r="A165" s="17"/>
      <c r="B165" s="17"/>
      <c r="C165" s="19"/>
      <c r="D165" s="19"/>
      <c r="E165" s="19"/>
      <c r="F165" s="19"/>
      <c r="G165" s="19"/>
      <c r="H165" s="19"/>
      <c r="I165" s="19"/>
      <c r="J165" s="19"/>
      <c r="K165" s="19"/>
      <c r="L165" s="19"/>
      <c r="M165" s="19"/>
      <c r="N165" s="19"/>
      <c r="O165" s="19"/>
      <c r="P165" s="19"/>
      <c r="Q165" s="19"/>
      <c r="R165" s="19"/>
      <c r="S165" s="19"/>
      <c r="T165" s="19"/>
      <c r="U165" s="19"/>
      <c r="V165" s="19"/>
      <c r="W165" s="19"/>
      <c r="X165" s="19"/>
      <c r="Y165" s="19"/>
      <c r="Z165" s="19"/>
      <c r="AA165" s="19"/>
      <c r="AB165" s="19"/>
      <c r="AC165" s="19"/>
      <c r="AD165" s="17"/>
      <c r="AE165" s="17"/>
      <c r="AF165" s="17"/>
      <c r="AG165" s="17"/>
      <c r="AH165" s="17"/>
      <c r="AI165" s="17"/>
      <c r="AJ165" s="17"/>
      <c r="AK165" s="17"/>
      <c r="AL165" s="17"/>
      <c r="AM165" s="17"/>
      <c r="AN165" s="17"/>
      <c r="AO165" s="17"/>
      <c r="AP165" s="17"/>
      <c r="AQ165" s="17"/>
      <c r="AR165" s="17"/>
      <c r="AS165" s="17"/>
      <c r="AT165" s="17"/>
      <c r="AU165" s="17"/>
    </row>
    <row r="166" spans="1:47" x14ac:dyDescent="0.3">
      <c r="A166" s="17"/>
      <c r="B166" s="17"/>
      <c r="C166" s="19"/>
      <c r="D166" s="19"/>
      <c r="E166" s="19"/>
      <c r="F166" s="19"/>
      <c r="G166" s="19"/>
      <c r="H166" s="19"/>
      <c r="I166" s="19"/>
      <c r="J166" s="19"/>
      <c r="K166" s="19"/>
      <c r="L166" s="19"/>
      <c r="M166" s="19"/>
      <c r="N166" s="19"/>
      <c r="O166" s="19"/>
      <c r="P166" s="19"/>
      <c r="Q166" s="19"/>
      <c r="R166" s="19"/>
      <c r="S166" s="19"/>
      <c r="T166" s="19"/>
      <c r="U166" s="19"/>
      <c r="V166" s="19"/>
      <c r="W166" s="19"/>
      <c r="X166" s="19"/>
      <c r="Y166" s="19"/>
      <c r="Z166" s="19"/>
      <c r="AA166" s="19"/>
      <c r="AB166" s="19"/>
      <c r="AC166" s="19"/>
      <c r="AD166" s="17"/>
      <c r="AE166" s="17"/>
      <c r="AF166" s="17"/>
      <c r="AG166" s="17"/>
      <c r="AH166" s="17"/>
      <c r="AI166" s="17"/>
      <c r="AJ166" s="17"/>
      <c r="AK166" s="17"/>
      <c r="AL166" s="17"/>
      <c r="AM166" s="17"/>
      <c r="AN166" s="17"/>
      <c r="AO166" s="17"/>
      <c r="AP166" s="17"/>
      <c r="AQ166" s="17"/>
      <c r="AR166" s="17"/>
      <c r="AS166" s="17"/>
      <c r="AT166" s="17"/>
      <c r="AU166" s="17"/>
    </row>
    <row r="167" spans="1:47" x14ac:dyDescent="0.3">
      <c r="A167" s="17"/>
      <c r="B167" s="17"/>
      <c r="C167" s="19"/>
      <c r="D167" s="19"/>
      <c r="E167" s="19"/>
      <c r="F167" s="19"/>
      <c r="G167" s="19"/>
      <c r="H167" s="19"/>
      <c r="I167" s="19"/>
      <c r="J167" s="19"/>
      <c r="K167" s="19"/>
      <c r="L167" s="19"/>
      <c r="M167" s="19"/>
      <c r="N167" s="19"/>
      <c r="O167" s="19"/>
      <c r="P167" s="19"/>
      <c r="Q167" s="19"/>
      <c r="R167" s="19"/>
      <c r="S167" s="19"/>
      <c r="T167" s="19"/>
      <c r="U167" s="19"/>
      <c r="V167" s="19"/>
      <c r="W167" s="19"/>
      <c r="X167" s="19"/>
      <c r="Y167" s="19"/>
      <c r="Z167" s="19"/>
      <c r="AA167" s="19"/>
      <c r="AB167" s="19"/>
      <c r="AC167" s="19"/>
      <c r="AD167" s="17"/>
      <c r="AE167" s="17"/>
      <c r="AF167" s="17"/>
      <c r="AG167" s="17"/>
      <c r="AH167" s="17"/>
      <c r="AI167" s="17"/>
      <c r="AJ167" s="17"/>
      <c r="AK167" s="17"/>
      <c r="AL167" s="17"/>
      <c r="AM167" s="17"/>
      <c r="AN167" s="17"/>
      <c r="AO167" s="17"/>
      <c r="AP167" s="17"/>
      <c r="AQ167" s="17"/>
      <c r="AR167" s="17"/>
      <c r="AS167" s="17"/>
      <c r="AT167" s="17"/>
      <c r="AU167" s="17"/>
    </row>
    <row r="168" spans="1:47" x14ac:dyDescent="0.3">
      <c r="A168" s="17"/>
      <c r="B168" s="17"/>
      <c r="C168" s="19"/>
      <c r="D168" s="19"/>
      <c r="E168" s="19"/>
      <c r="F168" s="19"/>
      <c r="G168" s="19"/>
      <c r="H168" s="19"/>
      <c r="I168" s="19"/>
      <c r="J168" s="19"/>
      <c r="K168" s="19"/>
      <c r="L168" s="19"/>
      <c r="M168" s="19"/>
      <c r="N168" s="19"/>
      <c r="O168" s="19"/>
      <c r="P168" s="19"/>
      <c r="Q168" s="19"/>
      <c r="R168" s="19"/>
      <c r="S168" s="19"/>
      <c r="T168" s="19"/>
      <c r="U168" s="19"/>
      <c r="V168" s="19"/>
      <c r="W168" s="19"/>
      <c r="X168" s="19"/>
      <c r="Y168" s="19"/>
      <c r="Z168" s="19"/>
      <c r="AA168" s="19"/>
      <c r="AB168" s="19"/>
      <c r="AC168" s="19"/>
      <c r="AD168" s="17"/>
      <c r="AE168" s="17"/>
      <c r="AF168" s="17"/>
      <c r="AG168" s="17"/>
      <c r="AH168" s="17"/>
      <c r="AI168" s="17"/>
      <c r="AJ168" s="17"/>
      <c r="AK168" s="17"/>
      <c r="AL168" s="17"/>
      <c r="AM168" s="17"/>
      <c r="AN168" s="17"/>
      <c r="AO168" s="17"/>
      <c r="AP168" s="17"/>
      <c r="AQ168" s="17"/>
      <c r="AR168" s="17"/>
      <c r="AS168" s="17"/>
      <c r="AT168" s="17"/>
      <c r="AU168" s="17"/>
    </row>
    <row r="169" spans="1:47" x14ac:dyDescent="0.3">
      <c r="A169" s="17"/>
      <c r="B169" s="17"/>
      <c r="C169" s="299"/>
      <c r="D169" s="299"/>
      <c r="E169" s="299"/>
      <c r="F169" s="194"/>
      <c r="G169" s="194"/>
      <c r="H169" s="194"/>
      <c r="I169" s="19"/>
      <c r="J169" s="299"/>
      <c r="K169" s="299"/>
      <c r="L169" s="19"/>
      <c r="M169" s="19"/>
      <c r="N169" s="19"/>
      <c r="O169" s="19"/>
      <c r="P169" s="19"/>
      <c r="Q169" s="19"/>
      <c r="R169" s="19"/>
      <c r="S169" s="19"/>
      <c r="T169" s="19"/>
      <c r="U169" s="19"/>
      <c r="V169" s="19"/>
      <c r="W169" s="19"/>
      <c r="X169" s="19"/>
      <c r="Y169" s="19"/>
      <c r="Z169" s="19"/>
      <c r="AA169" s="19"/>
      <c r="AB169" s="19"/>
      <c r="AC169" s="19"/>
      <c r="AD169" s="17"/>
      <c r="AE169" s="17"/>
      <c r="AF169" s="17"/>
      <c r="AG169" s="17"/>
      <c r="AH169" s="17"/>
      <c r="AI169" s="17"/>
      <c r="AJ169" s="17"/>
      <c r="AK169" s="17"/>
      <c r="AL169" s="17"/>
      <c r="AM169" s="17"/>
      <c r="AN169" s="17"/>
      <c r="AO169" s="17"/>
      <c r="AP169" s="17"/>
      <c r="AQ169" s="17"/>
      <c r="AR169" s="17"/>
      <c r="AS169" s="17"/>
      <c r="AT169" s="17"/>
      <c r="AU169" s="17"/>
    </row>
    <row r="170" spans="1:47" x14ac:dyDescent="0.3">
      <c r="A170" s="17"/>
      <c r="B170" s="17"/>
      <c r="C170" s="19"/>
      <c r="D170" s="19"/>
      <c r="E170" s="19"/>
      <c r="F170" s="19"/>
      <c r="G170" s="19"/>
      <c r="H170" s="19"/>
      <c r="I170" s="19"/>
      <c r="J170" s="19"/>
      <c r="K170" s="19"/>
      <c r="L170" s="19"/>
      <c r="M170" s="19"/>
      <c r="N170" s="19"/>
      <c r="O170" s="19"/>
      <c r="P170" s="19"/>
      <c r="Q170" s="19"/>
      <c r="R170" s="19"/>
      <c r="S170" s="19"/>
      <c r="T170" s="19"/>
      <c r="U170" s="19"/>
      <c r="V170" s="19"/>
      <c r="W170" s="19"/>
      <c r="X170" s="19"/>
      <c r="Y170" s="19"/>
      <c r="Z170" s="19"/>
      <c r="AA170" s="19"/>
      <c r="AB170" s="19"/>
      <c r="AC170" s="19"/>
      <c r="AD170" s="17"/>
      <c r="AE170" s="17"/>
      <c r="AF170" s="17"/>
      <c r="AG170" s="17"/>
      <c r="AH170" s="17"/>
      <c r="AI170" s="17"/>
      <c r="AJ170" s="17"/>
      <c r="AK170" s="17"/>
      <c r="AL170" s="17"/>
      <c r="AM170" s="17"/>
      <c r="AN170" s="17"/>
      <c r="AO170" s="17"/>
      <c r="AP170" s="17"/>
      <c r="AQ170" s="17"/>
      <c r="AR170" s="17"/>
      <c r="AS170" s="17"/>
      <c r="AT170" s="17"/>
      <c r="AU170" s="17"/>
    </row>
    <row r="171" spans="1:47" x14ac:dyDescent="0.3">
      <c r="A171" s="17"/>
      <c r="B171" s="17"/>
      <c r="C171" s="19"/>
      <c r="D171" s="19"/>
      <c r="E171" s="19"/>
      <c r="F171" s="19"/>
      <c r="G171" s="19"/>
      <c r="H171" s="19"/>
      <c r="I171" s="19"/>
      <c r="J171" s="205"/>
      <c r="K171" s="205"/>
      <c r="L171" s="205"/>
      <c r="M171" s="19"/>
      <c r="N171" s="19"/>
      <c r="O171" s="19"/>
      <c r="P171" s="19"/>
      <c r="Q171" s="19"/>
      <c r="R171" s="19"/>
      <c r="S171" s="19"/>
      <c r="T171" s="19"/>
      <c r="U171" s="19"/>
      <c r="V171" s="19"/>
      <c r="W171" s="19"/>
      <c r="X171" s="19"/>
      <c r="Y171" s="19"/>
      <c r="Z171" s="19"/>
      <c r="AA171" s="19"/>
      <c r="AB171" s="19"/>
      <c r="AC171" s="19"/>
      <c r="AD171" s="17"/>
      <c r="AE171" s="17"/>
      <c r="AF171" s="17"/>
      <c r="AG171" s="17"/>
      <c r="AH171" s="17"/>
      <c r="AI171" s="17"/>
      <c r="AJ171" s="17"/>
      <c r="AK171" s="17"/>
      <c r="AL171" s="17"/>
      <c r="AM171" s="17"/>
      <c r="AN171" s="17"/>
      <c r="AO171" s="17"/>
      <c r="AP171" s="17"/>
      <c r="AQ171" s="17"/>
      <c r="AR171" s="17"/>
      <c r="AS171" s="17"/>
      <c r="AT171" s="17"/>
      <c r="AU171" s="17"/>
    </row>
    <row r="172" spans="1:47" x14ac:dyDescent="0.3">
      <c r="A172" s="17"/>
      <c r="B172" s="17"/>
      <c r="C172" s="19"/>
      <c r="D172" s="19"/>
      <c r="E172" s="19"/>
      <c r="F172" s="19"/>
      <c r="G172" s="19"/>
      <c r="H172" s="19"/>
      <c r="I172" s="19"/>
      <c r="J172" s="205"/>
      <c r="K172" s="205"/>
      <c r="L172" s="205"/>
      <c r="M172" s="19"/>
      <c r="N172" s="19"/>
      <c r="O172" s="19"/>
      <c r="P172" s="19"/>
      <c r="Q172" s="19"/>
      <c r="R172" s="19"/>
      <c r="S172" s="19"/>
      <c r="T172" s="19"/>
      <c r="U172" s="19"/>
      <c r="V172" s="19"/>
      <c r="W172" s="19"/>
      <c r="X172" s="19"/>
      <c r="Y172" s="19"/>
      <c r="Z172" s="19"/>
      <c r="AA172" s="19"/>
      <c r="AB172" s="19"/>
      <c r="AC172" s="19"/>
      <c r="AD172" s="17"/>
      <c r="AE172" s="17"/>
      <c r="AF172" s="17"/>
      <c r="AG172" s="17"/>
      <c r="AH172" s="17"/>
      <c r="AI172" s="17"/>
      <c r="AJ172" s="17"/>
      <c r="AK172" s="17"/>
      <c r="AL172" s="17"/>
      <c r="AM172" s="17"/>
      <c r="AN172" s="17"/>
      <c r="AO172" s="17"/>
      <c r="AP172" s="17"/>
      <c r="AQ172" s="17"/>
      <c r="AR172" s="17"/>
      <c r="AS172" s="17"/>
      <c r="AT172" s="17"/>
      <c r="AU172" s="17"/>
    </row>
    <row r="173" spans="1:47" x14ac:dyDescent="0.3">
      <c r="A173" s="17"/>
      <c r="B173" s="17"/>
      <c r="C173" s="19"/>
      <c r="D173" s="19"/>
      <c r="E173" s="17"/>
      <c r="F173" s="19"/>
      <c r="G173" s="19"/>
      <c r="H173" s="19"/>
      <c r="I173" s="19"/>
      <c r="J173" s="20"/>
      <c r="K173" s="20"/>
      <c r="L173" s="20"/>
      <c r="M173" s="17"/>
      <c r="N173" s="17"/>
      <c r="O173" s="17"/>
      <c r="P173" s="17"/>
      <c r="Q173" s="17"/>
      <c r="R173" s="17"/>
      <c r="S173" s="17"/>
      <c r="T173" s="17"/>
      <c r="U173" s="17"/>
      <c r="V173" s="17"/>
      <c r="W173" s="17"/>
      <c r="X173" s="17"/>
      <c r="Y173" s="17"/>
      <c r="Z173" s="17"/>
      <c r="AA173" s="17"/>
      <c r="AB173" s="17"/>
      <c r="AC173" s="17"/>
      <c r="AD173" s="17"/>
      <c r="AE173" s="17"/>
      <c r="AF173" s="17"/>
      <c r="AG173" s="17"/>
      <c r="AH173" s="17"/>
      <c r="AI173" s="17"/>
      <c r="AJ173" s="17"/>
      <c r="AK173" s="17"/>
      <c r="AL173" s="17"/>
      <c r="AM173" s="17"/>
      <c r="AN173" s="17"/>
      <c r="AO173" s="17"/>
      <c r="AP173" s="17"/>
      <c r="AQ173" s="17"/>
      <c r="AR173" s="17"/>
      <c r="AS173" s="17"/>
      <c r="AT173" s="17"/>
      <c r="AU173" s="17"/>
    </row>
    <row r="174" spans="1:47" x14ac:dyDescent="0.3">
      <c r="A174" s="17"/>
      <c r="B174" s="17"/>
      <c r="C174" s="19"/>
      <c r="D174" s="19"/>
      <c r="E174" s="19"/>
      <c r="F174" s="19"/>
      <c r="G174" s="19"/>
      <c r="H174" s="19"/>
      <c r="I174" s="19"/>
      <c r="J174" s="20"/>
      <c r="K174" s="20"/>
      <c r="L174" s="20"/>
      <c r="M174" s="17"/>
      <c r="N174" s="17"/>
      <c r="O174" s="17"/>
      <c r="P174" s="17"/>
      <c r="Q174" s="17"/>
      <c r="R174" s="17"/>
      <c r="S174" s="17"/>
      <c r="T174" s="17"/>
      <c r="U174" s="17"/>
      <c r="V174" s="17"/>
      <c r="W174" s="21"/>
      <c r="X174" s="21"/>
      <c r="Y174" s="21"/>
      <c r="Z174" s="17"/>
      <c r="AA174" s="17"/>
      <c r="AB174" s="17"/>
      <c r="AC174" s="17"/>
      <c r="AD174" s="17"/>
      <c r="AE174" s="17"/>
      <c r="AF174" s="17"/>
      <c r="AG174" s="17"/>
      <c r="AH174" s="17"/>
      <c r="AI174" s="17"/>
      <c r="AJ174" s="17"/>
      <c r="AK174" s="17"/>
      <c r="AL174" s="17"/>
      <c r="AM174" s="17"/>
      <c r="AN174" s="17"/>
      <c r="AO174" s="17"/>
      <c r="AP174" s="17"/>
      <c r="AQ174" s="17"/>
      <c r="AR174" s="17"/>
      <c r="AS174" s="17"/>
      <c r="AT174" s="17"/>
      <c r="AU174" s="17"/>
    </row>
    <row r="175" spans="1:47" x14ac:dyDescent="0.3">
      <c r="A175" s="17"/>
      <c r="B175" s="17"/>
      <c r="C175" s="19"/>
      <c r="D175" s="19"/>
      <c r="E175" s="19"/>
      <c r="F175" s="19"/>
      <c r="G175" s="19"/>
      <c r="H175" s="19"/>
      <c r="I175" s="19"/>
      <c r="J175" s="19"/>
      <c r="K175" s="19"/>
      <c r="L175" s="19"/>
      <c r="M175" s="17"/>
      <c r="N175" s="17"/>
      <c r="O175" s="17"/>
      <c r="P175" s="17"/>
      <c r="Q175" s="17"/>
      <c r="R175" s="17"/>
      <c r="S175" s="17"/>
      <c r="T175" s="17"/>
      <c r="U175" s="17"/>
      <c r="V175" s="17"/>
      <c r="W175" s="17"/>
      <c r="X175" s="17"/>
      <c r="Y175" s="17"/>
      <c r="Z175" s="17"/>
      <c r="AA175" s="17"/>
      <c r="AB175" s="17"/>
      <c r="AC175" s="17"/>
      <c r="AD175" s="17"/>
      <c r="AE175" s="17"/>
      <c r="AF175" s="17"/>
      <c r="AG175" s="17"/>
      <c r="AH175" s="17"/>
      <c r="AI175" s="17"/>
      <c r="AJ175" s="17"/>
      <c r="AK175" s="17"/>
      <c r="AL175" s="17"/>
      <c r="AM175" s="17"/>
      <c r="AN175" s="17"/>
      <c r="AO175" s="17"/>
      <c r="AP175" s="17"/>
      <c r="AQ175" s="17"/>
      <c r="AR175" s="17"/>
      <c r="AS175" s="17"/>
      <c r="AT175" s="17"/>
      <c r="AU175" s="17"/>
    </row>
    <row r="176" spans="1:47" x14ac:dyDescent="0.3">
      <c r="A176" s="17"/>
      <c r="B176" s="17"/>
      <c r="C176" s="17"/>
      <c r="D176" s="17"/>
      <c r="E176" s="17"/>
      <c r="F176" s="17"/>
      <c r="G176" s="17"/>
      <c r="H176" s="17"/>
      <c r="I176" s="17"/>
      <c r="J176" s="17"/>
      <c r="K176" s="17"/>
      <c r="L176" s="17"/>
      <c r="M176" s="17"/>
      <c r="N176" s="17"/>
      <c r="O176" s="17"/>
      <c r="P176" s="17"/>
      <c r="Q176" s="17"/>
      <c r="R176" s="17"/>
      <c r="S176" s="17"/>
      <c r="T176" s="17"/>
      <c r="U176" s="17"/>
      <c r="V176" s="22"/>
      <c r="W176" s="22"/>
      <c r="X176" s="22"/>
      <c r="Y176" s="22"/>
      <c r="Z176" s="17"/>
      <c r="AA176" s="17"/>
      <c r="AB176" s="17"/>
      <c r="AC176" s="17"/>
      <c r="AD176" s="17"/>
      <c r="AE176" s="17"/>
      <c r="AF176" s="17"/>
      <c r="AG176" s="17"/>
      <c r="AH176" s="17"/>
      <c r="AI176" s="17"/>
      <c r="AJ176" s="17"/>
      <c r="AK176" s="17"/>
      <c r="AL176" s="17"/>
      <c r="AM176" s="17"/>
      <c r="AN176" s="17"/>
      <c r="AO176" s="17"/>
      <c r="AP176" s="17"/>
      <c r="AQ176" s="17"/>
      <c r="AR176" s="17"/>
      <c r="AS176" s="17"/>
      <c r="AT176" s="17"/>
      <c r="AU176" s="17"/>
    </row>
    <row r="177" spans="1:47" x14ac:dyDescent="0.3">
      <c r="A177" s="17"/>
      <c r="B177" s="17"/>
      <c r="C177" s="17"/>
      <c r="D177" s="17"/>
      <c r="E177" s="17"/>
      <c r="F177" s="17"/>
      <c r="G177" s="17"/>
      <c r="H177" s="17"/>
      <c r="I177" s="17"/>
      <c r="J177" s="17"/>
      <c r="K177" s="17"/>
      <c r="L177" s="17"/>
      <c r="M177" s="17"/>
      <c r="N177" s="17"/>
      <c r="O177" s="17"/>
      <c r="P177" s="17"/>
      <c r="Q177" s="17"/>
      <c r="R177" s="17"/>
      <c r="S177" s="17"/>
      <c r="T177" s="17"/>
      <c r="U177" s="17"/>
      <c r="V177" s="17"/>
      <c r="W177" s="17"/>
      <c r="X177" s="17"/>
      <c r="Y177" s="17"/>
      <c r="Z177" s="17"/>
      <c r="AA177" s="17"/>
      <c r="AB177" s="17"/>
      <c r="AC177" s="17"/>
      <c r="AD177" s="17"/>
      <c r="AE177" s="17"/>
      <c r="AF177" s="17"/>
      <c r="AG177" s="17"/>
      <c r="AH177" s="17"/>
      <c r="AI177" s="17"/>
      <c r="AJ177" s="17"/>
      <c r="AK177" s="17"/>
      <c r="AL177" s="17"/>
      <c r="AM177" s="17"/>
      <c r="AN177" s="17"/>
      <c r="AO177" s="17"/>
      <c r="AP177" s="17"/>
      <c r="AQ177" s="17"/>
      <c r="AR177" s="17"/>
      <c r="AS177" s="17"/>
      <c r="AT177" s="17"/>
      <c r="AU177" s="17"/>
    </row>
    <row r="178" spans="1:47" x14ac:dyDescent="0.3">
      <c r="A178" s="17"/>
      <c r="B178" s="17"/>
      <c r="C178" s="19"/>
      <c r="D178" s="19"/>
      <c r="E178" s="19"/>
      <c r="F178" s="19"/>
      <c r="G178" s="19"/>
      <c r="H178" s="19"/>
      <c r="I178" s="19"/>
      <c r="J178" s="17"/>
      <c r="K178" s="17"/>
      <c r="L178" s="17"/>
      <c r="M178" s="17"/>
      <c r="N178" s="17"/>
      <c r="O178" s="17"/>
      <c r="P178" s="11"/>
      <c r="Q178" s="23"/>
      <c r="R178" s="17"/>
      <c r="S178" s="17"/>
      <c r="T178" s="17"/>
      <c r="U178" s="17"/>
      <c r="V178" s="19"/>
      <c r="W178" s="20"/>
      <c r="X178" s="20"/>
      <c r="Y178" s="20"/>
      <c r="Z178" s="17"/>
      <c r="AA178" s="17"/>
      <c r="AB178" s="17"/>
      <c r="AC178" s="17"/>
      <c r="AD178" s="17"/>
      <c r="AE178" s="17"/>
      <c r="AF178" s="17"/>
      <c r="AG178" s="17"/>
      <c r="AH178" s="17"/>
      <c r="AI178" s="17"/>
      <c r="AJ178" s="17"/>
      <c r="AK178" s="17"/>
      <c r="AL178" s="17"/>
      <c r="AM178" s="17"/>
      <c r="AN178" s="17"/>
      <c r="AO178" s="17"/>
      <c r="AP178" s="17"/>
      <c r="AQ178" s="17"/>
      <c r="AR178" s="17"/>
      <c r="AS178" s="17"/>
      <c r="AT178" s="17"/>
      <c r="AU178" s="17"/>
    </row>
    <row r="179" spans="1:47" x14ac:dyDescent="0.3">
      <c r="A179" s="17"/>
      <c r="B179" s="17"/>
      <c r="C179" s="19"/>
      <c r="D179" s="19"/>
      <c r="E179" s="19"/>
      <c r="F179" s="19"/>
      <c r="G179" s="19"/>
      <c r="H179" s="19"/>
      <c r="I179" s="19"/>
      <c r="J179" s="17"/>
      <c r="K179" s="17"/>
      <c r="L179" s="17"/>
      <c r="M179" s="17"/>
      <c r="N179" s="17"/>
      <c r="O179" s="17"/>
      <c r="P179" s="11"/>
      <c r="Q179" s="23"/>
      <c r="R179" s="17"/>
      <c r="S179" s="17"/>
      <c r="T179" s="17"/>
      <c r="U179" s="17"/>
      <c r="V179" s="19"/>
      <c r="W179" s="20"/>
      <c r="X179" s="20"/>
      <c r="Y179" s="20"/>
      <c r="Z179" s="17"/>
      <c r="AA179" s="17"/>
      <c r="AB179" s="17"/>
      <c r="AC179" s="17"/>
      <c r="AD179" s="17"/>
      <c r="AE179" s="17"/>
      <c r="AF179" s="17"/>
      <c r="AG179" s="17"/>
      <c r="AH179" s="17"/>
      <c r="AI179" s="17"/>
      <c r="AJ179" s="17"/>
      <c r="AK179" s="17"/>
      <c r="AL179" s="17"/>
      <c r="AM179" s="17"/>
      <c r="AN179" s="17"/>
      <c r="AO179" s="17"/>
      <c r="AP179" s="17"/>
      <c r="AQ179" s="17"/>
      <c r="AR179" s="17"/>
      <c r="AS179" s="17"/>
      <c r="AT179" s="17"/>
      <c r="AU179" s="17"/>
    </row>
    <row r="180" spans="1:47" x14ac:dyDescent="0.3">
      <c r="A180" s="17"/>
      <c r="B180" s="17"/>
      <c r="C180" s="19"/>
      <c r="D180" s="19"/>
      <c r="E180" s="19"/>
      <c r="F180" s="19"/>
      <c r="G180" s="19"/>
      <c r="H180" s="19"/>
      <c r="I180" s="19"/>
      <c r="J180" s="17"/>
      <c r="K180" s="17"/>
      <c r="L180" s="17"/>
      <c r="M180" s="17"/>
      <c r="N180" s="17"/>
      <c r="O180" s="17"/>
      <c r="P180" s="11"/>
      <c r="Q180" s="23"/>
      <c r="R180" s="17"/>
      <c r="S180" s="17"/>
      <c r="T180" s="17"/>
      <c r="U180" s="17"/>
      <c r="V180" s="19"/>
      <c r="W180" s="20"/>
      <c r="X180" s="20"/>
      <c r="Y180" s="20"/>
      <c r="Z180" s="17"/>
      <c r="AA180" s="17"/>
      <c r="AB180" s="21"/>
      <c r="AC180" s="21"/>
      <c r="AD180" s="21"/>
      <c r="AE180" s="17"/>
      <c r="AF180" s="17"/>
      <c r="AG180" s="17"/>
      <c r="AH180" s="17"/>
      <c r="AI180" s="17"/>
      <c r="AJ180" s="17"/>
      <c r="AK180" s="17"/>
      <c r="AL180" s="17"/>
      <c r="AM180" s="17"/>
      <c r="AN180" s="17"/>
      <c r="AO180" s="17"/>
      <c r="AP180" s="17"/>
      <c r="AQ180" s="17"/>
      <c r="AR180" s="17"/>
      <c r="AS180" s="17"/>
      <c r="AT180" s="17"/>
      <c r="AU180" s="17"/>
    </row>
    <row r="181" spans="1:47" x14ac:dyDescent="0.3">
      <c r="A181" s="17"/>
      <c r="B181" s="17"/>
      <c r="C181" s="19"/>
      <c r="D181" s="19"/>
      <c r="E181" s="19"/>
      <c r="F181" s="19"/>
      <c r="G181" s="19"/>
      <c r="H181" s="19"/>
      <c r="I181" s="19"/>
      <c r="J181" s="17"/>
      <c r="K181" s="17"/>
      <c r="L181" s="17"/>
      <c r="M181" s="19"/>
      <c r="N181" s="19"/>
      <c r="O181" s="19"/>
      <c r="P181" s="11"/>
      <c r="Q181" s="11"/>
      <c r="R181" s="11"/>
      <c r="S181" s="24"/>
      <c r="T181" s="17"/>
      <c r="U181" s="17"/>
      <c r="V181" s="19"/>
      <c r="W181" s="20"/>
      <c r="X181" s="20"/>
      <c r="Y181" s="20"/>
      <c r="Z181" s="17"/>
      <c r="AA181" s="17"/>
      <c r="AB181" s="21"/>
      <c r="AC181" s="21"/>
      <c r="AD181" s="21"/>
      <c r="AE181" s="17"/>
      <c r="AF181" s="17"/>
      <c r="AG181" s="17"/>
      <c r="AH181" s="17"/>
      <c r="AI181" s="17"/>
      <c r="AJ181" s="17"/>
      <c r="AK181" s="17"/>
      <c r="AL181" s="17"/>
      <c r="AM181" s="17"/>
      <c r="AN181" s="17"/>
      <c r="AO181" s="17"/>
      <c r="AP181" s="17"/>
      <c r="AQ181" s="17"/>
      <c r="AR181" s="17"/>
      <c r="AS181" s="17"/>
      <c r="AT181" s="17"/>
      <c r="AU181" s="17"/>
    </row>
    <row r="182" spans="1:47" x14ac:dyDescent="0.3">
      <c r="A182" s="17"/>
      <c r="B182" s="17"/>
      <c r="C182" s="19"/>
      <c r="D182" s="19"/>
      <c r="E182" s="19"/>
      <c r="F182" s="19"/>
      <c r="G182" s="19"/>
      <c r="H182" s="19"/>
      <c r="I182" s="19"/>
      <c r="J182" s="17"/>
      <c r="K182" s="17"/>
      <c r="L182" s="17"/>
      <c r="M182" s="19"/>
      <c r="N182" s="19"/>
      <c r="O182" s="19"/>
      <c r="P182" s="11"/>
      <c r="Q182" s="11"/>
      <c r="R182" s="11"/>
      <c r="S182" s="11"/>
      <c r="T182" s="17"/>
      <c r="U182" s="17"/>
      <c r="V182" s="19"/>
      <c r="W182" s="25"/>
      <c r="X182" s="25"/>
      <c r="Y182" s="25"/>
      <c r="Z182" s="17"/>
      <c r="AA182" s="17"/>
      <c r="AB182" s="21"/>
      <c r="AC182" s="21"/>
      <c r="AD182" s="21"/>
      <c r="AE182" s="17"/>
      <c r="AF182" s="17"/>
      <c r="AG182" s="17"/>
      <c r="AH182" s="17"/>
      <c r="AI182" s="17"/>
      <c r="AJ182" s="17"/>
      <c r="AK182" s="17"/>
      <c r="AL182" s="17"/>
      <c r="AM182" s="17"/>
      <c r="AN182" s="17"/>
      <c r="AO182" s="17"/>
      <c r="AP182" s="17"/>
      <c r="AQ182" s="17"/>
      <c r="AR182" s="17"/>
      <c r="AS182" s="17"/>
      <c r="AT182" s="17"/>
      <c r="AU182" s="17"/>
    </row>
    <row r="183" spans="1:47" x14ac:dyDescent="0.3">
      <c r="A183" s="17"/>
      <c r="B183" s="17"/>
      <c r="C183" s="19"/>
      <c r="D183" s="19"/>
      <c r="E183" s="19"/>
      <c r="F183" s="19"/>
      <c r="G183" s="19"/>
      <c r="H183" s="19"/>
      <c r="I183" s="19"/>
      <c r="J183" s="17"/>
      <c r="K183" s="17"/>
      <c r="L183" s="17"/>
      <c r="M183" s="17"/>
      <c r="N183" s="17"/>
      <c r="O183" s="17"/>
      <c r="P183" s="11"/>
      <c r="Q183" s="17"/>
      <c r="R183" s="17"/>
      <c r="S183" s="17"/>
      <c r="T183" s="17"/>
      <c r="U183" s="17"/>
      <c r="V183" s="17"/>
      <c r="W183" s="17"/>
      <c r="X183" s="17"/>
      <c r="Y183" s="17"/>
      <c r="Z183" s="17"/>
      <c r="AA183" s="17"/>
      <c r="AB183" s="17"/>
      <c r="AC183" s="17"/>
      <c r="AD183" s="17"/>
      <c r="AE183" s="17"/>
      <c r="AF183" s="17"/>
      <c r="AG183" s="17"/>
      <c r="AH183" s="17"/>
      <c r="AI183" s="17"/>
      <c r="AJ183" s="17"/>
      <c r="AK183" s="17"/>
      <c r="AL183" s="17"/>
      <c r="AM183" s="17"/>
      <c r="AN183" s="17"/>
      <c r="AO183" s="17"/>
      <c r="AP183" s="17"/>
      <c r="AQ183" s="17"/>
      <c r="AR183" s="17"/>
      <c r="AS183" s="17"/>
      <c r="AT183" s="17"/>
      <c r="AU183" s="17"/>
    </row>
    <row r="184" spans="1:47" x14ac:dyDescent="0.3">
      <c r="A184" s="17"/>
      <c r="B184" s="17"/>
      <c r="C184" s="19"/>
      <c r="D184" s="19"/>
      <c r="E184" s="19"/>
      <c r="F184" s="19"/>
      <c r="G184" s="19"/>
      <c r="H184" s="19"/>
      <c r="I184" s="19"/>
      <c r="J184" s="17"/>
      <c r="K184" s="17"/>
      <c r="L184" s="17"/>
      <c r="M184" s="17"/>
      <c r="N184" s="17"/>
      <c r="O184" s="17"/>
      <c r="P184" s="11"/>
      <c r="Q184" s="17"/>
      <c r="R184" s="17"/>
      <c r="S184" s="17"/>
      <c r="T184" s="17"/>
      <c r="U184" s="17"/>
      <c r="V184" s="17"/>
      <c r="W184" s="17"/>
      <c r="X184" s="17"/>
      <c r="Y184" s="17"/>
      <c r="Z184" s="17"/>
      <c r="AA184" s="17"/>
      <c r="AB184" s="17"/>
      <c r="AC184" s="17"/>
      <c r="AD184" s="17"/>
      <c r="AE184" s="17"/>
      <c r="AF184" s="17"/>
      <c r="AG184" s="17"/>
      <c r="AH184" s="17"/>
      <c r="AI184" s="17"/>
      <c r="AJ184" s="17"/>
      <c r="AK184" s="17"/>
      <c r="AL184" s="17"/>
      <c r="AM184" s="17"/>
      <c r="AN184" s="17"/>
      <c r="AO184" s="17"/>
      <c r="AP184" s="17"/>
      <c r="AQ184" s="17"/>
      <c r="AR184" s="17"/>
      <c r="AS184" s="17"/>
      <c r="AT184" s="17"/>
      <c r="AU184" s="17"/>
    </row>
    <row r="185" spans="1:47" x14ac:dyDescent="0.3">
      <c r="A185" s="17"/>
      <c r="B185" s="17"/>
      <c r="C185" s="19"/>
      <c r="D185" s="19"/>
      <c r="E185" s="19"/>
      <c r="F185" s="19"/>
      <c r="G185" s="19"/>
      <c r="H185" s="19"/>
      <c r="I185" s="19"/>
      <c r="J185" s="17"/>
      <c r="K185" s="17"/>
      <c r="L185" s="17"/>
      <c r="M185" s="17"/>
      <c r="N185" s="17"/>
      <c r="O185" s="17"/>
      <c r="P185" s="11"/>
      <c r="Q185" s="17"/>
      <c r="R185" s="17"/>
      <c r="S185" s="17"/>
      <c r="T185" s="17"/>
      <c r="U185" s="17"/>
      <c r="V185" s="298"/>
      <c r="W185" s="298"/>
      <c r="X185" s="298"/>
      <c r="Y185" s="298"/>
      <c r="Z185" s="17"/>
      <c r="AA185" s="17"/>
      <c r="AB185" s="17"/>
      <c r="AC185" s="17"/>
      <c r="AD185" s="17"/>
      <c r="AE185" s="17"/>
      <c r="AF185" s="17"/>
      <c r="AG185" s="17"/>
      <c r="AH185" s="17"/>
      <c r="AI185" s="17"/>
      <c r="AJ185" s="17"/>
      <c r="AK185" s="17"/>
      <c r="AL185" s="17"/>
      <c r="AM185" s="17"/>
      <c r="AN185" s="17"/>
      <c r="AO185" s="17"/>
      <c r="AP185" s="17"/>
      <c r="AQ185" s="17"/>
      <c r="AR185" s="17"/>
      <c r="AS185" s="17"/>
      <c r="AT185" s="17"/>
      <c r="AU185" s="17"/>
    </row>
    <row r="186" spans="1:47" x14ac:dyDescent="0.3">
      <c r="A186" s="17"/>
      <c r="B186" s="17"/>
      <c r="C186" s="19"/>
      <c r="D186" s="17"/>
      <c r="E186" s="19"/>
      <c r="F186" s="19"/>
      <c r="G186" s="19"/>
      <c r="H186" s="19"/>
      <c r="I186" s="19"/>
      <c r="J186" s="17"/>
      <c r="K186" s="17"/>
      <c r="L186" s="17"/>
      <c r="M186" s="17"/>
      <c r="N186" s="17"/>
      <c r="O186" s="17"/>
      <c r="P186" s="17"/>
      <c r="Q186" s="17"/>
      <c r="R186" s="17"/>
      <c r="S186" s="17"/>
      <c r="T186" s="17"/>
      <c r="U186" s="17"/>
      <c r="V186" s="17"/>
      <c r="W186" s="17"/>
      <c r="X186" s="17"/>
      <c r="Y186" s="17"/>
      <c r="Z186" s="17"/>
      <c r="AA186" s="17"/>
      <c r="AB186" s="17"/>
      <c r="AC186" s="17"/>
      <c r="AD186" s="17"/>
      <c r="AE186" s="17"/>
      <c r="AF186" s="17"/>
      <c r="AG186" s="17"/>
      <c r="AH186" s="17"/>
      <c r="AI186" s="17"/>
      <c r="AJ186" s="17"/>
      <c r="AK186" s="17"/>
      <c r="AL186" s="17"/>
      <c r="AM186" s="17"/>
      <c r="AN186" s="17"/>
      <c r="AO186" s="17"/>
      <c r="AP186" s="17"/>
      <c r="AQ186" s="17"/>
      <c r="AR186" s="17"/>
      <c r="AS186" s="17"/>
      <c r="AT186" s="17"/>
      <c r="AU186" s="17"/>
    </row>
    <row r="187" spans="1:47" x14ac:dyDescent="0.3">
      <c r="A187" s="17"/>
      <c r="B187" s="17"/>
      <c r="C187" s="19"/>
      <c r="D187" s="19"/>
      <c r="E187" s="19"/>
      <c r="F187" s="19"/>
      <c r="G187" s="19"/>
      <c r="H187" s="19"/>
      <c r="I187" s="19"/>
      <c r="J187" s="17"/>
      <c r="K187" s="17"/>
      <c r="L187" s="17"/>
      <c r="M187" s="17"/>
      <c r="N187" s="17"/>
      <c r="O187" s="17"/>
      <c r="P187" s="11"/>
      <c r="Q187" s="23"/>
      <c r="R187" s="17"/>
      <c r="S187" s="17"/>
      <c r="T187" s="17"/>
      <c r="U187" s="17"/>
      <c r="V187" s="19"/>
      <c r="W187" s="20"/>
      <c r="X187" s="20"/>
      <c r="Y187" s="20"/>
      <c r="Z187" s="17"/>
      <c r="AA187" s="17"/>
      <c r="AB187" s="17"/>
      <c r="AC187" s="17"/>
      <c r="AD187" s="17"/>
      <c r="AE187" s="17"/>
      <c r="AF187" s="17"/>
      <c r="AG187" s="17"/>
      <c r="AH187" s="17"/>
      <c r="AI187" s="17"/>
      <c r="AJ187" s="17"/>
      <c r="AK187" s="17"/>
      <c r="AL187" s="17"/>
      <c r="AM187" s="17"/>
      <c r="AN187" s="17"/>
      <c r="AO187" s="17"/>
      <c r="AP187" s="17"/>
      <c r="AQ187" s="17"/>
      <c r="AR187" s="17"/>
      <c r="AS187" s="17"/>
      <c r="AT187" s="17"/>
      <c r="AU187" s="17"/>
    </row>
    <row r="188" spans="1:47" x14ac:dyDescent="0.3">
      <c r="A188" s="17"/>
      <c r="B188" s="17"/>
      <c r="C188" s="19"/>
      <c r="D188" s="19"/>
      <c r="E188" s="19"/>
      <c r="F188" s="19"/>
      <c r="G188" s="19"/>
      <c r="H188" s="19"/>
      <c r="I188" s="19"/>
      <c r="J188" s="17"/>
      <c r="K188" s="17"/>
      <c r="L188" s="17"/>
      <c r="M188" s="17"/>
      <c r="N188" s="17"/>
      <c r="O188" s="17"/>
      <c r="P188" s="11"/>
      <c r="Q188" s="23"/>
      <c r="R188" s="17"/>
      <c r="S188" s="17"/>
      <c r="T188" s="17"/>
      <c r="U188" s="17"/>
      <c r="V188" s="19"/>
      <c r="W188" s="20"/>
      <c r="X188" s="20"/>
      <c r="Y188" s="20"/>
      <c r="Z188" s="17"/>
      <c r="AA188" s="17"/>
      <c r="AB188" s="17"/>
      <c r="AC188" s="17"/>
      <c r="AD188" s="17"/>
      <c r="AE188" s="17"/>
      <c r="AF188" s="17"/>
      <c r="AG188" s="17"/>
      <c r="AH188" s="17"/>
      <c r="AI188" s="17"/>
      <c r="AJ188" s="17"/>
      <c r="AK188" s="17"/>
      <c r="AL188" s="17"/>
      <c r="AM188" s="17"/>
      <c r="AN188" s="17"/>
      <c r="AO188" s="17"/>
      <c r="AP188" s="17"/>
      <c r="AQ188" s="17"/>
      <c r="AR188" s="17"/>
      <c r="AS188" s="17"/>
      <c r="AT188" s="17"/>
      <c r="AU188" s="17"/>
    </row>
    <row r="189" spans="1:47" x14ac:dyDescent="0.3">
      <c r="A189" s="17"/>
      <c r="B189" s="17"/>
      <c r="C189" s="19"/>
      <c r="D189" s="19"/>
      <c r="E189" s="19"/>
      <c r="F189" s="19"/>
      <c r="G189" s="19"/>
      <c r="H189" s="19"/>
      <c r="I189" s="19"/>
      <c r="J189" s="17"/>
      <c r="K189" s="17"/>
      <c r="L189" s="17"/>
      <c r="M189" s="17"/>
      <c r="N189" s="17"/>
      <c r="O189" s="17"/>
      <c r="P189" s="11"/>
      <c r="Q189" s="23"/>
      <c r="R189" s="17"/>
      <c r="S189" s="17"/>
      <c r="T189" s="17"/>
      <c r="U189" s="17"/>
      <c r="V189" s="19"/>
      <c r="W189" s="20"/>
      <c r="X189" s="20"/>
      <c r="Y189" s="20"/>
      <c r="Z189" s="17"/>
      <c r="AA189" s="17"/>
      <c r="AB189" s="17"/>
      <c r="AC189" s="17"/>
      <c r="AD189" s="17"/>
      <c r="AE189" s="17"/>
      <c r="AF189" s="17"/>
      <c r="AG189" s="17"/>
      <c r="AH189" s="17"/>
      <c r="AI189" s="17"/>
      <c r="AJ189" s="17"/>
      <c r="AK189" s="17"/>
      <c r="AL189" s="17"/>
      <c r="AM189" s="17"/>
      <c r="AN189" s="17"/>
      <c r="AO189" s="17"/>
      <c r="AP189" s="17"/>
      <c r="AQ189" s="17"/>
      <c r="AR189" s="17"/>
      <c r="AS189" s="17"/>
      <c r="AT189" s="17"/>
      <c r="AU189" s="17"/>
    </row>
    <row r="190" spans="1:47" x14ac:dyDescent="0.3">
      <c r="A190" s="17"/>
      <c r="B190" s="17"/>
      <c r="C190" s="19"/>
      <c r="D190" s="19"/>
      <c r="E190" s="19"/>
      <c r="F190" s="19"/>
      <c r="G190" s="19"/>
      <c r="H190" s="19"/>
      <c r="I190" s="19"/>
      <c r="J190" s="17"/>
      <c r="K190" s="17"/>
      <c r="L190" s="17"/>
      <c r="M190" s="19"/>
      <c r="N190" s="19"/>
      <c r="O190" s="19"/>
      <c r="P190" s="11"/>
      <c r="Q190" s="11"/>
      <c r="R190" s="11"/>
      <c r="S190" s="24"/>
      <c r="T190" s="17"/>
      <c r="U190" s="17"/>
      <c r="V190" s="19"/>
      <c r="W190" s="20"/>
      <c r="X190" s="20"/>
      <c r="Y190" s="20"/>
      <c r="Z190" s="17"/>
      <c r="AA190" s="17"/>
      <c r="AB190" s="17"/>
      <c r="AC190" s="17"/>
      <c r="AD190" s="17"/>
      <c r="AE190" s="17"/>
      <c r="AF190" s="17"/>
      <c r="AG190" s="17"/>
      <c r="AH190" s="17"/>
      <c r="AI190" s="17"/>
      <c r="AJ190" s="17"/>
      <c r="AK190" s="17"/>
      <c r="AL190" s="17"/>
      <c r="AM190" s="17"/>
      <c r="AN190" s="17"/>
      <c r="AO190" s="17"/>
      <c r="AP190" s="17"/>
      <c r="AQ190" s="17"/>
      <c r="AR190" s="17"/>
      <c r="AS190" s="17"/>
      <c r="AT190" s="17"/>
      <c r="AU190" s="17"/>
    </row>
    <row r="191" spans="1:47" x14ac:dyDescent="0.3">
      <c r="A191" s="17"/>
      <c r="B191" s="17"/>
      <c r="C191" s="19"/>
      <c r="D191" s="19"/>
      <c r="E191" s="19"/>
      <c r="F191" s="19"/>
      <c r="G191" s="19"/>
      <c r="H191" s="19"/>
      <c r="I191" s="19"/>
      <c r="J191" s="17"/>
      <c r="K191" s="17"/>
      <c r="L191" s="17"/>
      <c r="M191" s="19"/>
      <c r="N191" s="19"/>
      <c r="O191" s="19"/>
      <c r="P191" s="19"/>
      <c r="Q191" s="19"/>
      <c r="R191" s="19"/>
      <c r="S191" s="11"/>
      <c r="T191" s="17"/>
      <c r="U191" s="17"/>
      <c r="V191" s="19"/>
      <c r="W191" s="25"/>
      <c r="X191" s="25"/>
      <c r="Y191" s="25"/>
      <c r="Z191" s="17"/>
      <c r="AA191" s="17"/>
      <c r="AB191" s="17"/>
      <c r="AC191" s="17"/>
      <c r="AD191" s="17"/>
      <c r="AE191" s="17"/>
      <c r="AF191" s="17"/>
      <c r="AG191" s="17"/>
      <c r="AH191" s="17"/>
      <c r="AI191" s="17"/>
      <c r="AJ191" s="17"/>
      <c r="AK191" s="17"/>
      <c r="AL191" s="17"/>
      <c r="AM191" s="17"/>
      <c r="AN191" s="17"/>
      <c r="AO191" s="17"/>
      <c r="AP191" s="17"/>
      <c r="AQ191" s="17"/>
      <c r="AR191" s="17"/>
      <c r="AS191" s="17"/>
      <c r="AT191" s="17"/>
      <c r="AU191" s="17"/>
    </row>
    <row r="192" spans="1:47" x14ac:dyDescent="0.3">
      <c r="A192" s="17"/>
      <c r="B192" s="17"/>
      <c r="C192" s="17"/>
      <c r="D192" s="17"/>
      <c r="E192" s="17"/>
      <c r="F192" s="17"/>
      <c r="G192" s="17"/>
      <c r="H192" s="17"/>
      <c r="I192" s="17"/>
      <c r="J192" s="17"/>
      <c r="K192" s="17"/>
      <c r="L192" s="17"/>
      <c r="M192" s="17"/>
      <c r="N192" s="17"/>
      <c r="O192" s="17"/>
      <c r="P192" s="17"/>
      <c r="Q192" s="17"/>
      <c r="R192" s="17"/>
      <c r="S192" s="17"/>
      <c r="T192" s="17"/>
      <c r="U192" s="17"/>
      <c r="V192" s="17"/>
      <c r="W192" s="17"/>
      <c r="X192" s="17"/>
      <c r="Y192" s="17"/>
      <c r="Z192" s="17"/>
      <c r="AA192" s="17"/>
      <c r="AB192" s="17"/>
      <c r="AC192" s="17"/>
      <c r="AD192" s="17"/>
      <c r="AE192" s="17"/>
      <c r="AF192" s="17"/>
      <c r="AG192" s="17"/>
      <c r="AH192" s="17"/>
      <c r="AI192" s="17"/>
      <c r="AJ192" s="17"/>
      <c r="AK192" s="17"/>
      <c r="AL192" s="17"/>
      <c r="AM192" s="17"/>
      <c r="AN192" s="17"/>
      <c r="AO192" s="17"/>
      <c r="AP192" s="17"/>
      <c r="AQ192" s="17"/>
      <c r="AR192" s="17"/>
      <c r="AS192" s="17"/>
      <c r="AT192" s="17"/>
      <c r="AU192" s="17"/>
    </row>
    <row r="193" spans="1:47" x14ac:dyDescent="0.3">
      <c r="A193" s="17"/>
      <c r="B193" s="17"/>
      <c r="C193" s="17"/>
      <c r="D193" s="17"/>
      <c r="E193" s="17"/>
      <c r="F193" s="17"/>
      <c r="G193" s="17"/>
      <c r="H193" s="17"/>
      <c r="I193" s="17"/>
      <c r="J193" s="17"/>
      <c r="K193" s="17"/>
      <c r="L193" s="17"/>
      <c r="M193" s="17"/>
      <c r="N193" s="17"/>
      <c r="O193" s="17"/>
      <c r="P193" s="17"/>
      <c r="Q193" s="17"/>
      <c r="R193" s="17"/>
      <c r="S193" s="17"/>
      <c r="T193" s="17"/>
      <c r="U193" s="17"/>
      <c r="V193" s="17"/>
      <c r="W193" s="17"/>
      <c r="X193" s="17"/>
      <c r="Y193" s="17"/>
      <c r="Z193" s="17"/>
      <c r="AA193" s="17"/>
      <c r="AB193" s="17"/>
      <c r="AC193" s="17"/>
      <c r="AD193" s="17"/>
      <c r="AE193" s="17"/>
      <c r="AF193" s="17"/>
      <c r="AG193" s="17"/>
      <c r="AH193" s="17"/>
      <c r="AI193" s="17"/>
      <c r="AJ193" s="17"/>
      <c r="AK193" s="17"/>
      <c r="AL193" s="17"/>
      <c r="AM193" s="17"/>
      <c r="AN193" s="17"/>
      <c r="AO193" s="17"/>
      <c r="AP193" s="17"/>
      <c r="AQ193" s="17"/>
      <c r="AR193" s="17"/>
      <c r="AS193" s="17"/>
      <c r="AT193" s="17"/>
      <c r="AU193" s="17"/>
    </row>
    <row r="194" spans="1:47" x14ac:dyDescent="0.3">
      <c r="A194" s="17"/>
      <c r="B194" s="17"/>
      <c r="C194" s="17"/>
      <c r="D194" s="17"/>
      <c r="E194" s="17"/>
      <c r="F194" s="17"/>
      <c r="G194" s="17"/>
      <c r="H194" s="17"/>
      <c r="I194" s="17"/>
      <c r="J194" s="17"/>
      <c r="K194" s="17"/>
      <c r="L194" s="17"/>
      <c r="M194" s="17"/>
      <c r="N194" s="17"/>
      <c r="O194" s="17"/>
      <c r="P194" s="17"/>
      <c r="Q194" s="17"/>
      <c r="R194" s="17"/>
      <c r="S194" s="17"/>
      <c r="T194" s="17"/>
      <c r="U194" s="17"/>
      <c r="V194" s="17"/>
      <c r="W194" s="17"/>
      <c r="X194" s="17"/>
      <c r="Y194" s="17"/>
      <c r="Z194" s="17"/>
      <c r="AA194" s="17"/>
      <c r="AB194" s="17"/>
      <c r="AC194" s="17"/>
      <c r="AD194" s="17"/>
      <c r="AE194" s="17"/>
      <c r="AF194" s="17"/>
      <c r="AG194" s="17"/>
      <c r="AH194" s="17"/>
      <c r="AI194" s="17"/>
      <c r="AJ194" s="17"/>
      <c r="AK194" s="17"/>
      <c r="AL194" s="17"/>
      <c r="AM194" s="17"/>
      <c r="AN194" s="17"/>
      <c r="AO194" s="17"/>
      <c r="AP194" s="17"/>
      <c r="AQ194" s="17"/>
      <c r="AR194" s="17"/>
      <c r="AS194" s="17"/>
      <c r="AT194" s="17"/>
      <c r="AU194" s="17"/>
    </row>
    <row r="195" spans="1:47" x14ac:dyDescent="0.3">
      <c r="A195" s="17"/>
      <c r="B195" s="17"/>
      <c r="C195" s="17"/>
      <c r="D195" s="17"/>
      <c r="E195" s="17"/>
      <c r="F195" s="17"/>
      <c r="G195" s="17"/>
      <c r="H195" s="17"/>
      <c r="I195" s="17"/>
      <c r="J195" s="17"/>
      <c r="K195" s="17"/>
      <c r="L195" s="17"/>
      <c r="M195" s="17"/>
      <c r="N195" s="17"/>
      <c r="O195" s="17"/>
      <c r="P195" s="17"/>
      <c r="Q195" s="17"/>
      <c r="R195" s="17"/>
      <c r="S195" s="17"/>
      <c r="T195" s="17"/>
      <c r="U195" s="17"/>
      <c r="V195" s="17"/>
      <c r="W195" s="17"/>
      <c r="X195" s="17"/>
      <c r="Y195" s="17"/>
      <c r="Z195" s="17"/>
      <c r="AA195" s="17"/>
      <c r="AB195" s="17"/>
      <c r="AC195" s="17"/>
      <c r="AD195" s="17"/>
      <c r="AE195" s="17"/>
      <c r="AF195" s="17"/>
      <c r="AG195" s="17"/>
      <c r="AH195" s="17"/>
      <c r="AI195" s="17"/>
      <c r="AJ195" s="17"/>
      <c r="AK195" s="17"/>
      <c r="AL195" s="17"/>
      <c r="AM195" s="17"/>
      <c r="AN195" s="17"/>
      <c r="AO195" s="17"/>
      <c r="AP195" s="17"/>
      <c r="AQ195" s="17"/>
      <c r="AR195" s="17"/>
      <c r="AS195" s="17"/>
      <c r="AT195" s="17"/>
      <c r="AU195" s="17"/>
    </row>
    <row r="196" spans="1:47" x14ac:dyDescent="0.3">
      <c r="A196" s="17"/>
      <c r="B196" s="17"/>
      <c r="C196" s="17"/>
      <c r="D196" s="17"/>
      <c r="E196" s="17"/>
      <c r="F196" s="17"/>
      <c r="G196" s="17"/>
      <c r="H196" s="17"/>
      <c r="I196" s="17"/>
      <c r="J196" s="17"/>
      <c r="K196" s="17"/>
      <c r="L196" s="17"/>
      <c r="M196" s="17"/>
      <c r="N196" s="17"/>
      <c r="O196" s="17"/>
      <c r="P196" s="17"/>
      <c r="Q196" s="17"/>
      <c r="R196" s="17"/>
      <c r="S196" s="17"/>
      <c r="T196" s="17"/>
      <c r="U196" s="17"/>
      <c r="V196" s="17"/>
      <c r="W196" s="17"/>
      <c r="X196" s="17"/>
      <c r="Y196" s="17"/>
      <c r="Z196" s="17"/>
      <c r="AA196" s="17"/>
      <c r="AB196" s="17"/>
      <c r="AC196" s="17"/>
      <c r="AD196" s="17"/>
      <c r="AE196" s="17"/>
      <c r="AF196" s="17"/>
      <c r="AG196" s="17"/>
      <c r="AH196" s="17"/>
      <c r="AI196" s="17"/>
      <c r="AJ196" s="17"/>
      <c r="AK196" s="17"/>
      <c r="AL196" s="17"/>
      <c r="AM196" s="17"/>
      <c r="AN196" s="17"/>
      <c r="AO196" s="17"/>
      <c r="AP196" s="17"/>
      <c r="AQ196" s="17"/>
      <c r="AR196" s="17"/>
      <c r="AS196" s="17"/>
      <c r="AT196" s="17"/>
      <c r="AU196" s="17"/>
    </row>
    <row r="197" spans="1:47" x14ac:dyDescent="0.3">
      <c r="A197" s="17"/>
      <c r="B197" s="17"/>
      <c r="C197" s="17"/>
      <c r="D197" s="17"/>
      <c r="E197" s="17"/>
      <c r="F197" s="17"/>
      <c r="G197" s="17"/>
      <c r="H197" s="17"/>
      <c r="I197" s="17"/>
      <c r="J197" s="17"/>
      <c r="K197" s="17"/>
      <c r="L197" s="17"/>
      <c r="M197" s="17"/>
      <c r="N197" s="17"/>
      <c r="O197" s="17"/>
      <c r="P197" s="17"/>
      <c r="Q197" s="17"/>
      <c r="R197" s="17"/>
      <c r="S197" s="17"/>
      <c r="T197" s="17"/>
      <c r="U197" s="17"/>
      <c r="V197" s="17"/>
      <c r="W197" s="17"/>
      <c r="X197" s="17"/>
      <c r="Y197" s="17"/>
      <c r="Z197" s="17"/>
      <c r="AA197" s="17"/>
      <c r="AB197" s="17"/>
      <c r="AC197" s="17"/>
      <c r="AD197" s="17"/>
      <c r="AE197" s="17"/>
      <c r="AF197" s="17"/>
      <c r="AG197" s="17"/>
      <c r="AH197" s="17"/>
      <c r="AI197" s="17"/>
      <c r="AJ197" s="17"/>
      <c r="AK197" s="17"/>
      <c r="AL197" s="17"/>
      <c r="AM197" s="17"/>
      <c r="AN197" s="17"/>
      <c r="AO197" s="17"/>
      <c r="AP197" s="17"/>
      <c r="AQ197" s="17"/>
      <c r="AR197" s="17"/>
      <c r="AS197" s="17"/>
      <c r="AT197" s="17"/>
      <c r="AU197" s="17"/>
    </row>
    <row r="198" spans="1:47" x14ac:dyDescent="0.3">
      <c r="A198" s="17"/>
      <c r="B198" s="17"/>
      <c r="C198" s="17"/>
      <c r="D198" s="17"/>
      <c r="E198" s="17"/>
      <c r="F198" s="17"/>
      <c r="G198" s="17"/>
      <c r="H198" s="17"/>
      <c r="I198" s="17"/>
      <c r="J198" s="17"/>
      <c r="K198" s="17"/>
      <c r="L198" s="17"/>
      <c r="M198" s="17"/>
      <c r="N198" s="17"/>
      <c r="O198" s="17"/>
      <c r="P198" s="17"/>
      <c r="Q198" s="17"/>
      <c r="R198" s="17"/>
      <c r="S198" s="17"/>
      <c r="T198" s="17"/>
      <c r="U198" s="17"/>
      <c r="V198" s="17"/>
      <c r="W198" s="17"/>
      <c r="X198" s="17"/>
      <c r="Y198" s="17"/>
      <c r="Z198" s="17"/>
      <c r="AA198" s="17"/>
      <c r="AB198" s="17"/>
      <c r="AC198" s="17"/>
      <c r="AD198" s="17"/>
      <c r="AE198" s="17"/>
      <c r="AF198" s="17"/>
      <c r="AG198" s="17"/>
      <c r="AH198" s="17"/>
      <c r="AI198" s="17"/>
      <c r="AJ198" s="17"/>
      <c r="AK198" s="17"/>
      <c r="AL198" s="17"/>
      <c r="AM198" s="17"/>
      <c r="AN198" s="17"/>
      <c r="AO198" s="17"/>
      <c r="AP198" s="17"/>
      <c r="AQ198" s="17"/>
      <c r="AR198" s="17"/>
      <c r="AS198" s="17"/>
      <c r="AT198" s="17"/>
      <c r="AU198" s="17"/>
    </row>
    <row r="199" spans="1:47" x14ac:dyDescent="0.3">
      <c r="A199" s="17"/>
      <c r="B199" s="17"/>
      <c r="C199" s="298"/>
      <c r="D199" s="298"/>
      <c r="E199" s="298"/>
      <c r="F199" s="18"/>
      <c r="G199" s="18"/>
      <c r="H199" s="18"/>
      <c r="I199" s="17"/>
      <c r="J199" s="298"/>
      <c r="K199" s="298"/>
      <c r="L199" s="17"/>
      <c r="M199" s="17"/>
      <c r="N199" s="17"/>
      <c r="O199" s="17"/>
      <c r="P199" s="17"/>
      <c r="Q199" s="17"/>
      <c r="R199" s="17"/>
      <c r="S199" s="17"/>
      <c r="T199" s="17"/>
      <c r="U199" s="17"/>
      <c r="V199" s="17"/>
      <c r="W199" s="17"/>
      <c r="X199" s="17"/>
      <c r="Y199" s="17"/>
      <c r="Z199" s="17"/>
      <c r="AA199" s="17"/>
      <c r="AB199" s="17"/>
      <c r="AC199" s="17"/>
      <c r="AD199" s="17"/>
      <c r="AE199" s="17"/>
      <c r="AF199" s="17"/>
      <c r="AG199" s="17"/>
      <c r="AH199" s="17"/>
      <c r="AI199" s="17"/>
      <c r="AJ199" s="17"/>
      <c r="AK199" s="17"/>
      <c r="AL199" s="17"/>
      <c r="AM199" s="17"/>
      <c r="AN199" s="17"/>
      <c r="AO199" s="17"/>
      <c r="AP199" s="17"/>
      <c r="AQ199" s="17"/>
      <c r="AR199" s="17"/>
      <c r="AS199" s="17"/>
      <c r="AT199" s="17"/>
      <c r="AU199" s="17"/>
    </row>
    <row r="200" spans="1:47" x14ac:dyDescent="0.3">
      <c r="A200" s="17"/>
      <c r="B200" s="17"/>
      <c r="C200" s="17"/>
      <c r="D200" s="17"/>
      <c r="E200" s="17"/>
      <c r="F200" s="17"/>
      <c r="G200" s="17"/>
      <c r="H200" s="17"/>
      <c r="I200" s="17"/>
      <c r="J200" s="17"/>
      <c r="K200" s="17"/>
      <c r="L200" s="17"/>
      <c r="M200" s="17"/>
      <c r="N200" s="17"/>
      <c r="O200" s="17"/>
      <c r="P200" s="17"/>
      <c r="Q200" s="17"/>
      <c r="R200" s="17"/>
      <c r="S200" s="17"/>
      <c r="T200" s="17"/>
      <c r="U200" s="17"/>
      <c r="V200" s="17"/>
      <c r="W200" s="17"/>
      <c r="X200" s="17"/>
      <c r="Y200" s="17"/>
      <c r="Z200" s="17"/>
      <c r="AA200" s="17"/>
      <c r="AB200" s="17"/>
      <c r="AC200" s="17"/>
      <c r="AD200" s="17"/>
      <c r="AE200" s="17"/>
      <c r="AF200" s="17"/>
      <c r="AG200" s="17"/>
      <c r="AH200" s="17"/>
      <c r="AI200" s="17"/>
      <c r="AJ200" s="17"/>
      <c r="AK200" s="17"/>
      <c r="AL200" s="17"/>
      <c r="AM200" s="17"/>
      <c r="AN200" s="17"/>
      <c r="AO200" s="17"/>
      <c r="AP200" s="17"/>
      <c r="AQ200" s="17"/>
      <c r="AR200" s="17"/>
      <c r="AS200" s="17"/>
      <c r="AT200" s="17"/>
      <c r="AU200" s="17"/>
    </row>
    <row r="201" spans="1:47" x14ac:dyDescent="0.3">
      <c r="A201" s="17"/>
      <c r="B201" s="17"/>
      <c r="C201" s="19"/>
      <c r="D201" s="19"/>
      <c r="E201" s="19"/>
      <c r="F201" s="17"/>
      <c r="G201" s="19"/>
      <c r="H201" s="19"/>
      <c r="I201" s="19"/>
      <c r="J201" s="20"/>
      <c r="K201" s="20"/>
      <c r="L201" s="20"/>
      <c r="M201" s="17"/>
      <c r="N201" s="17"/>
      <c r="O201" s="17"/>
      <c r="P201" s="17"/>
      <c r="Q201" s="17"/>
      <c r="R201" s="17"/>
      <c r="S201" s="17"/>
      <c r="T201" s="17"/>
      <c r="U201" s="17"/>
      <c r="V201" s="17"/>
      <c r="W201" s="17"/>
      <c r="X201" s="17"/>
      <c r="Y201" s="17"/>
      <c r="Z201" s="17"/>
      <c r="AA201" s="17"/>
      <c r="AB201" s="17"/>
      <c r="AC201" s="17"/>
      <c r="AD201" s="17"/>
      <c r="AE201" s="17"/>
      <c r="AF201" s="17"/>
      <c r="AG201" s="17"/>
      <c r="AH201" s="17"/>
      <c r="AI201" s="17"/>
      <c r="AJ201" s="17"/>
      <c r="AK201" s="17"/>
      <c r="AL201" s="17"/>
      <c r="AM201" s="17"/>
      <c r="AN201" s="17"/>
      <c r="AO201" s="17"/>
      <c r="AP201" s="17"/>
      <c r="AQ201" s="17"/>
      <c r="AR201" s="17"/>
      <c r="AS201" s="17"/>
      <c r="AT201" s="17"/>
      <c r="AU201" s="17"/>
    </row>
    <row r="202" spans="1:47" x14ac:dyDescent="0.3">
      <c r="A202" s="17"/>
      <c r="B202" s="17"/>
      <c r="C202" s="19"/>
      <c r="D202" s="19"/>
      <c r="E202" s="19"/>
      <c r="F202" s="17"/>
      <c r="G202" s="19"/>
      <c r="H202" s="19"/>
      <c r="I202" s="19"/>
      <c r="J202" s="20"/>
      <c r="K202" s="20"/>
      <c r="L202" s="20"/>
      <c r="M202" s="17"/>
      <c r="N202" s="17"/>
      <c r="O202" s="17"/>
      <c r="P202" s="17"/>
      <c r="Q202" s="17"/>
      <c r="R202" s="17"/>
      <c r="S202" s="17"/>
      <c r="T202" s="17"/>
      <c r="U202" s="17"/>
      <c r="V202" s="17"/>
      <c r="W202" s="17"/>
      <c r="X202" s="17"/>
      <c r="Y202" s="17"/>
      <c r="Z202" s="17"/>
      <c r="AA202" s="17"/>
      <c r="AB202" s="17"/>
      <c r="AC202" s="17"/>
      <c r="AD202" s="17"/>
      <c r="AE202" s="17"/>
      <c r="AF202" s="17"/>
      <c r="AG202" s="17"/>
      <c r="AH202" s="17"/>
      <c r="AI202" s="17"/>
      <c r="AJ202" s="17"/>
      <c r="AK202" s="17"/>
      <c r="AL202" s="17"/>
      <c r="AM202" s="17"/>
      <c r="AN202" s="17"/>
      <c r="AO202" s="17"/>
      <c r="AP202" s="17"/>
      <c r="AQ202" s="17"/>
      <c r="AR202" s="17"/>
      <c r="AS202" s="17"/>
      <c r="AT202" s="17"/>
      <c r="AU202" s="17"/>
    </row>
    <row r="203" spans="1:47" x14ac:dyDescent="0.3">
      <c r="A203" s="17"/>
      <c r="B203" s="17"/>
      <c r="C203" s="19"/>
      <c r="D203" s="19"/>
      <c r="E203" s="19"/>
      <c r="F203" s="17"/>
      <c r="G203" s="19"/>
      <c r="H203" s="19"/>
      <c r="I203" s="19"/>
      <c r="J203" s="20"/>
      <c r="K203" s="20"/>
      <c r="L203" s="20"/>
      <c r="M203" s="17"/>
      <c r="N203" s="17"/>
      <c r="O203" s="17"/>
      <c r="P203" s="17"/>
      <c r="Q203" s="17"/>
      <c r="R203" s="17"/>
      <c r="S203" s="17"/>
      <c r="T203" s="17"/>
      <c r="U203" s="17"/>
      <c r="V203" s="17"/>
      <c r="W203" s="17"/>
      <c r="X203" s="17"/>
      <c r="Y203" s="17"/>
      <c r="Z203" s="17"/>
      <c r="AA203" s="17"/>
      <c r="AB203" s="17"/>
      <c r="AC203" s="17"/>
      <c r="AD203" s="17"/>
      <c r="AE203" s="17"/>
      <c r="AF203" s="17"/>
      <c r="AG203" s="17"/>
      <c r="AH203" s="17"/>
      <c r="AI203" s="17"/>
      <c r="AJ203" s="17"/>
      <c r="AK203" s="17"/>
      <c r="AL203" s="17"/>
      <c r="AM203" s="17"/>
      <c r="AN203" s="17"/>
      <c r="AO203" s="17"/>
      <c r="AP203" s="17"/>
      <c r="AQ203" s="17"/>
      <c r="AR203" s="17"/>
      <c r="AS203" s="17"/>
      <c r="AT203" s="17"/>
      <c r="AU203" s="17"/>
    </row>
    <row r="204" spans="1:47" x14ac:dyDescent="0.3">
      <c r="A204" s="17"/>
      <c r="B204" s="17"/>
      <c r="C204" s="19"/>
      <c r="D204" s="19"/>
      <c r="E204" s="19"/>
      <c r="F204" s="19"/>
      <c r="G204" s="19"/>
      <c r="H204" s="19"/>
      <c r="I204" s="19"/>
      <c r="J204" s="20"/>
      <c r="K204" s="20"/>
      <c r="L204" s="20"/>
      <c r="M204" s="17"/>
      <c r="N204" s="17"/>
      <c r="O204" s="17"/>
      <c r="P204" s="17"/>
      <c r="Q204" s="17"/>
      <c r="R204" s="17"/>
      <c r="S204" s="17"/>
      <c r="T204" s="17"/>
      <c r="U204" s="17"/>
      <c r="V204" s="17"/>
      <c r="W204" s="17"/>
      <c r="X204" s="17"/>
      <c r="Y204" s="17"/>
      <c r="Z204" s="17"/>
      <c r="AA204" s="17"/>
      <c r="AB204" s="17"/>
      <c r="AC204" s="17"/>
      <c r="AD204" s="17"/>
      <c r="AE204" s="17"/>
      <c r="AF204" s="17"/>
      <c r="AG204" s="17"/>
      <c r="AH204" s="17"/>
      <c r="AI204" s="17"/>
      <c r="AJ204" s="17"/>
      <c r="AK204" s="17"/>
      <c r="AL204" s="17"/>
      <c r="AM204" s="17"/>
      <c r="AN204" s="17"/>
      <c r="AO204" s="17"/>
      <c r="AP204" s="17"/>
      <c r="AQ204" s="17"/>
      <c r="AR204" s="17"/>
      <c r="AS204" s="17"/>
      <c r="AT204" s="17"/>
      <c r="AU204" s="17"/>
    </row>
    <row r="205" spans="1:47" x14ac:dyDescent="0.3">
      <c r="A205" s="17"/>
      <c r="B205" s="17"/>
      <c r="C205" s="19"/>
      <c r="D205" s="19"/>
      <c r="E205" s="19"/>
      <c r="F205" s="19"/>
      <c r="G205" s="19"/>
      <c r="H205" s="19"/>
      <c r="I205" s="19"/>
      <c r="J205" s="19"/>
      <c r="K205" s="19"/>
      <c r="L205" s="19"/>
      <c r="M205" s="17"/>
      <c r="N205" s="17"/>
      <c r="O205" s="17"/>
      <c r="P205" s="17"/>
      <c r="Q205" s="17"/>
      <c r="R205" s="17"/>
      <c r="S205" s="17"/>
      <c r="T205" s="17"/>
      <c r="U205" s="17"/>
      <c r="V205" s="17"/>
      <c r="W205" s="17"/>
      <c r="X205" s="17"/>
      <c r="Y205" s="17"/>
      <c r="Z205" s="17"/>
      <c r="AA205" s="17"/>
      <c r="AB205" s="17"/>
      <c r="AC205" s="17"/>
      <c r="AD205" s="17"/>
      <c r="AE205" s="17"/>
      <c r="AF205" s="17"/>
      <c r="AG205" s="17"/>
      <c r="AH205" s="17"/>
      <c r="AI205" s="17"/>
      <c r="AJ205" s="17"/>
      <c r="AK205" s="17"/>
      <c r="AL205" s="17"/>
      <c r="AM205" s="17"/>
      <c r="AN205" s="17"/>
      <c r="AO205" s="17"/>
      <c r="AP205" s="17"/>
      <c r="AQ205" s="17"/>
      <c r="AR205" s="17"/>
      <c r="AS205" s="17"/>
      <c r="AT205" s="17"/>
      <c r="AU205" s="17"/>
    </row>
    <row r="206" spans="1:47" x14ac:dyDescent="0.3">
      <c r="A206" s="17"/>
      <c r="B206" s="17"/>
      <c r="C206" s="17"/>
      <c r="D206" s="17"/>
      <c r="E206" s="17"/>
      <c r="F206" s="17"/>
      <c r="G206" s="17"/>
      <c r="H206" s="17"/>
      <c r="I206" s="17"/>
      <c r="J206" s="17"/>
      <c r="K206" s="17"/>
      <c r="L206" s="17"/>
      <c r="M206" s="17"/>
      <c r="N206" s="17"/>
      <c r="O206" s="17"/>
      <c r="P206" s="17"/>
      <c r="Q206" s="17"/>
      <c r="R206" s="17"/>
      <c r="S206" s="17"/>
      <c r="T206" s="17"/>
      <c r="U206" s="17"/>
      <c r="V206" s="22"/>
      <c r="W206" s="22"/>
      <c r="X206" s="22"/>
      <c r="Y206" s="22"/>
      <c r="Z206" s="17"/>
      <c r="AA206" s="17"/>
      <c r="AB206" s="17"/>
      <c r="AC206" s="17"/>
      <c r="AD206" s="17"/>
      <c r="AE206" s="17"/>
      <c r="AF206" s="17"/>
      <c r="AG206" s="17"/>
      <c r="AH206" s="17"/>
      <c r="AI206" s="17"/>
      <c r="AJ206" s="17"/>
      <c r="AK206" s="17"/>
      <c r="AL206" s="17"/>
      <c r="AM206" s="17"/>
      <c r="AN206" s="17"/>
      <c r="AO206" s="17"/>
      <c r="AP206" s="17"/>
      <c r="AQ206" s="17"/>
      <c r="AR206" s="17"/>
      <c r="AS206" s="17"/>
      <c r="AT206" s="17"/>
      <c r="AU206" s="17"/>
    </row>
    <row r="207" spans="1:47" x14ac:dyDescent="0.3">
      <c r="A207" s="17"/>
      <c r="B207" s="17"/>
      <c r="C207" s="17"/>
      <c r="D207" s="17"/>
      <c r="E207" s="17"/>
      <c r="F207" s="17"/>
      <c r="G207" s="17"/>
      <c r="H207" s="17"/>
      <c r="I207" s="17"/>
      <c r="J207" s="17"/>
      <c r="K207" s="17"/>
      <c r="L207" s="17"/>
      <c r="M207" s="17"/>
      <c r="N207" s="17"/>
      <c r="O207" s="17"/>
      <c r="P207" s="17"/>
      <c r="Q207" s="17"/>
      <c r="R207" s="17"/>
      <c r="S207" s="17"/>
      <c r="T207" s="17"/>
      <c r="U207" s="17"/>
      <c r="V207" s="17"/>
      <c r="W207" s="17"/>
      <c r="X207" s="17"/>
      <c r="Y207" s="17"/>
      <c r="Z207" s="17"/>
      <c r="AA207" s="17"/>
      <c r="AB207" s="17"/>
      <c r="AC207" s="17"/>
      <c r="AD207" s="17"/>
      <c r="AE207" s="17"/>
      <c r="AF207" s="17"/>
      <c r="AG207" s="17"/>
      <c r="AH207" s="17"/>
      <c r="AI207" s="17"/>
      <c r="AJ207" s="17"/>
      <c r="AK207" s="17"/>
      <c r="AL207" s="17"/>
      <c r="AM207" s="17"/>
      <c r="AN207" s="17"/>
      <c r="AO207" s="17"/>
      <c r="AP207" s="17"/>
      <c r="AQ207" s="17"/>
      <c r="AR207" s="17"/>
      <c r="AS207" s="17"/>
      <c r="AT207" s="17"/>
      <c r="AU207" s="17"/>
    </row>
    <row r="208" spans="1:47" x14ac:dyDescent="0.3">
      <c r="A208" s="17"/>
      <c r="B208" s="17"/>
      <c r="C208" s="19"/>
      <c r="D208" s="19"/>
      <c r="E208" s="19"/>
      <c r="F208" s="19"/>
      <c r="G208" s="19"/>
      <c r="H208" s="19"/>
      <c r="I208" s="19"/>
      <c r="J208" s="17"/>
      <c r="K208" s="17"/>
      <c r="L208" s="17"/>
      <c r="M208" s="17"/>
      <c r="N208" s="17"/>
      <c r="O208" s="17"/>
      <c r="P208" s="11"/>
      <c r="Q208" s="23"/>
      <c r="R208" s="17"/>
      <c r="S208" s="17"/>
      <c r="T208" s="17"/>
      <c r="U208" s="17"/>
      <c r="V208" s="19"/>
      <c r="W208" s="20"/>
      <c r="X208" s="20"/>
      <c r="Y208" s="20"/>
      <c r="Z208" s="17"/>
      <c r="AA208" s="17"/>
      <c r="AB208" s="17"/>
      <c r="AC208" s="17"/>
      <c r="AD208" s="17"/>
      <c r="AE208" s="17"/>
      <c r="AF208" s="17"/>
      <c r="AG208" s="17"/>
      <c r="AH208" s="17"/>
      <c r="AI208" s="17"/>
      <c r="AJ208" s="17"/>
      <c r="AK208" s="17"/>
      <c r="AL208" s="17"/>
      <c r="AM208" s="17"/>
      <c r="AN208" s="17"/>
      <c r="AO208" s="17"/>
      <c r="AP208" s="17"/>
      <c r="AQ208" s="17"/>
      <c r="AR208" s="17"/>
      <c r="AS208" s="17"/>
      <c r="AT208" s="17"/>
      <c r="AU208" s="17"/>
    </row>
    <row r="209" spans="1:47" x14ac:dyDescent="0.3">
      <c r="A209" s="17"/>
      <c r="B209" s="17"/>
      <c r="C209" s="19"/>
      <c r="D209" s="19"/>
      <c r="E209" s="19"/>
      <c r="F209" s="19"/>
      <c r="G209" s="19"/>
      <c r="H209" s="19"/>
      <c r="I209" s="19"/>
      <c r="J209" s="17"/>
      <c r="K209" s="17"/>
      <c r="L209" s="17"/>
      <c r="M209" s="17"/>
      <c r="N209" s="17"/>
      <c r="O209" s="17"/>
      <c r="P209" s="11"/>
      <c r="Q209" s="23"/>
      <c r="R209" s="17"/>
      <c r="S209" s="17"/>
      <c r="T209" s="17"/>
      <c r="U209" s="17"/>
      <c r="V209" s="19"/>
      <c r="W209" s="20"/>
      <c r="X209" s="20"/>
      <c r="Y209" s="20"/>
      <c r="Z209" s="17"/>
      <c r="AA209" s="17"/>
      <c r="AB209" s="17"/>
      <c r="AC209" s="17"/>
      <c r="AD209" s="17"/>
      <c r="AE209" s="17"/>
      <c r="AF209" s="17"/>
      <c r="AG209" s="17"/>
      <c r="AH209" s="17"/>
      <c r="AI209" s="17"/>
      <c r="AJ209" s="17"/>
      <c r="AK209" s="17"/>
      <c r="AL209" s="17"/>
      <c r="AM209" s="17"/>
      <c r="AN209" s="17"/>
      <c r="AO209" s="17"/>
      <c r="AP209" s="17"/>
      <c r="AQ209" s="17"/>
      <c r="AR209" s="17"/>
      <c r="AS209" s="17"/>
      <c r="AT209" s="17"/>
      <c r="AU209" s="17"/>
    </row>
    <row r="210" spans="1:47" x14ac:dyDescent="0.3">
      <c r="A210" s="17"/>
      <c r="B210" s="17"/>
      <c r="C210" s="19"/>
      <c r="D210" s="19"/>
      <c r="E210" s="19"/>
      <c r="F210" s="19"/>
      <c r="G210" s="19"/>
      <c r="H210" s="19"/>
      <c r="I210" s="19"/>
      <c r="J210" s="17"/>
      <c r="K210" s="17"/>
      <c r="L210" s="17"/>
      <c r="M210" s="17"/>
      <c r="N210" s="17"/>
      <c r="O210" s="17"/>
      <c r="P210" s="11"/>
      <c r="Q210" s="23"/>
      <c r="R210" s="17"/>
      <c r="S210" s="17"/>
      <c r="T210" s="17"/>
      <c r="U210" s="17"/>
      <c r="V210" s="19"/>
      <c r="W210" s="20"/>
      <c r="X210" s="20"/>
      <c r="Y210" s="20"/>
      <c r="Z210" s="17"/>
      <c r="AA210" s="17"/>
      <c r="AB210" s="21"/>
      <c r="AC210" s="21"/>
      <c r="AD210" s="21"/>
      <c r="AE210" s="17"/>
      <c r="AF210" s="17"/>
      <c r="AG210" s="17"/>
      <c r="AH210" s="17"/>
      <c r="AI210" s="17"/>
      <c r="AJ210" s="17"/>
      <c r="AK210" s="17"/>
      <c r="AL210" s="17"/>
      <c r="AM210" s="17"/>
      <c r="AN210" s="17"/>
      <c r="AO210" s="17"/>
      <c r="AP210" s="17"/>
      <c r="AQ210" s="17"/>
      <c r="AR210" s="17"/>
      <c r="AS210" s="17"/>
      <c r="AT210" s="17"/>
      <c r="AU210" s="17"/>
    </row>
    <row r="211" spans="1:47" x14ac:dyDescent="0.3">
      <c r="A211" s="17"/>
      <c r="B211" s="17"/>
      <c r="C211" s="19"/>
      <c r="D211" s="19"/>
      <c r="E211" s="19"/>
      <c r="F211" s="19"/>
      <c r="G211" s="19"/>
      <c r="H211" s="19"/>
      <c r="I211" s="19"/>
      <c r="J211" s="17"/>
      <c r="K211" s="17"/>
      <c r="L211" s="17"/>
      <c r="M211" s="19"/>
      <c r="N211" s="19"/>
      <c r="O211" s="19"/>
      <c r="P211" s="11"/>
      <c r="Q211" s="11"/>
      <c r="R211" s="11"/>
      <c r="S211" s="24"/>
      <c r="T211" s="17"/>
      <c r="U211" s="17"/>
      <c r="V211" s="19"/>
      <c r="W211" s="20"/>
      <c r="X211" s="20"/>
      <c r="Y211" s="20"/>
      <c r="Z211" s="17"/>
      <c r="AA211" s="17"/>
      <c r="AB211" s="21"/>
      <c r="AC211" s="21"/>
      <c r="AD211" s="21"/>
      <c r="AE211" s="17"/>
      <c r="AF211" s="17"/>
      <c r="AG211" s="17"/>
      <c r="AH211" s="17"/>
      <c r="AI211" s="17"/>
      <c r="AJ211" s="17"/>
      <c r="AK211" s="17"/>
      <c r="AL211" s="17"/>
      <c r="AM211" s="17"/>
      <c r="AN211" s="17"/>
      <c r="AO211" s="17"/>
      <c r="AP211" s="17"/>
      <c r="AQ211" s="17"/>
      <c r="AR211" s="17"/>
      <c r="AS211" s="17"/>
      <c r="AT211" s="17"/>
      <c r="AU211" s="17"/>
    </row>
    <row r="212" spans="1:47" x14ac:dyDescent="0.3">
      <c r="A212" s="17"/>
      <c r="B212" s="17"/>
      <c r="C212" s="19"/>
      <c r="D212" s="19"/>
      <c r="E212" s="19"/>
      <c r="F212" s="19"/>
      <c r="G212" s="19"/>
      <c r="H212" s="19"/>
      <c r="I212" s="19"/>
      <c r="J212" s="17"/>
      <c r="K212" s="17"/>
      <c r="L212" s="17"/>
      <c r="M212" s="19"/>
      <c r="N212" s="19"/>
      <c r="O212" s="19"/>
      <c r="P212" s="11"/>
      <c r="Q212" s="11"/>
      <c r="R212" s="11"/>
      <c r="S212" s="11"/>
      <c r="T212" s="17"/>
      <c r="U212" s="17"/>
      <c r="V212" s="19"/>
      <c r="W212" s="25"/>
      <c r="X212" s="25"/>
      <c r="Y212" s="25"/>
      <c r="Z212" s="17"/>
      <c r="AA212" s="17"/>
      <c r="AB212" s="21"/>
      <c r="AC212" s="21"/>
      <c r="AD212" s="21"/>
      <c r="AE212" s="17"/>
      <c r="AF212" s="17"/>
      <c r="AG212" s="17"/>
      <c r="AH212" s="17"/>
      <c r="AI212" s="17"/>
      <c r="AJ212" s="17"/>
      <c r="AK212" s="17"/>
      <c r="AL212" s="17"/>
      <c r="AM212" s="17"/>
      <c r="AN212" s="17"/>
      <c r="AO212" s="17"/>
      <c r="AP212" s="17"/>
      <c r="AQ212" s="17"/>
      <c r="AR212" s="17"/>
      <c r="AS212" s="17"/>
      <c r="AT212" s="17"/>
      <c r="AU212" s="17"/>
    </row>
    <row r="213" spans="1:47" x14ac:dyDescent="0.3">
      <c r="A213" s="17"/>
      <c r="B213" s="17"/>
      <c r="C213" s="19"/>
      <c r="D213" s="19"/>
      <c r="E213" s="19"/>
      <c r="F213" s="19"/>
      <c r="G213" s="19"/>
      <c r="H213" s="19"/>
      <c r="I213" s="19"/>
      <c r="J213" s="17"/>
      <c r="K213" s="17"/>
      <c r="L213" s="17"/>
      <c r="M213" s="17"/>
      <c r="N213" s="17"/>
      <c r="O213" s="17"/>
      <c r="P213" s="11"/>
      <c r="Q213" s="17"/>
      <c r="R213" s="17"/>
      <c r="S213" s="17"/>
      <c r="T213" s="17"/>
      <c r="U213" s="17"/>
      <c r="V213" s="17"/>
      <c r="W213" s="17"/>
      <c r="X213" s="17"/>
      <c r="Y213" s="17"/>
      <c r="Z213" s="17"/>
      <c r="AA213" s="17"/>
      <c r="AB213" s="17"/>
      <c r="AC213" s="17"/>
      <c r="AD213" s="17"/>
      <c r="AE213" s="17"/>
      <c r="AF213" s="17"/>
      <c r="AG213" s="17"/>
      <c r="AH213" s="17"/>
      <c r="AI213" s="17"/>
      <c r="AJ213" s="17"/>
      <c r="AK213" s="17"/>
      <c r="AL213" s="17"/>
      <c r="AM213" s="17"/>
      <c r="AN213" s="17"/>
      <c r="AO213" s="17"/>
      <c r="AP213" s="17"/>
      <c r="AQ213" s="17"/>
      <c r="AR213" s="17"/>
      <c r="AS213" s="17"/>
      <c r="AT213" s="17"/>
      <c r="AU213" s="17"/>
    </row>
    <row r="214" spans="1:47" x14ac:dyDescent="0.3">
      <c r="A214" s="17"/>
      <c r="B214" s="17"/>
      <c r="C214" s="19"/>
      <c r="D214" s="19"/>
      <c r="E214" s="19"/>
      <c r="F214" s="19"/>
      <c r="G214" s="19"/>
      <c r="H214" s="19"/>
      <c r="I214" s="19"/>
      <c r="J214" s="17"/>
      <c r="K214" s="17"/>
      <c r="L214" s="17"/>
      <c r="M214" s="17"/>
      <c r="N214" s="17"/>
      <c r="O214" s="17"/>
      <c r="P214" s="11"/>
      <c r="Q214" s="17"/>
      <c r="R214" s="17"/>
      <c r="S214" s="17"/>
      <c r="T214" s="17"/>
      <c r="U214" s="17"/>
      <c r="V214" s="17"/>
      <c r="W214" s="17"/>
      <c r="X214" s="17"/>
      <c r="Y214" s="17"/>
      <c r="Z214" s="17"/>
      <c r="AA214" s="17"/>
      <c r="AB214" s="17"/>
      <c r="AC214" s="17"/>
      <c r="AD214" s="17"/>
      <c r="AE214" s="17"/>
      <c r="AF214" s="17"/>
      <c r="AG214" s="17"/>
      <c r="AH214" s="17"/>
      <c r="AI214" s="17"/>
      <c r="AJ214" s="17"/>
      <c r="AK214" s="17"/>
      <c r="AL214" s="17"/>
      <c r="AM214" s="17"/>
      <c r="AN214" s="17"/>
      <c r="AO214" s="17"/>
      <c r="AP214" s="17"/>
      <c r="AQ214" s="17"/>
      <c r="AR214" s="17"/>
      <c r="AS214" s="17"/>
      <c r="AT214" s="17"/>
      <c r="AU214" s="17"/>
    </row>
    <row r="215" spans="1:47" x14ac:dyDescent="0.3">
      <c r="A215" s="17"/>
      <c r="B215" s="17"/>
      <c r="C215" s="19"/>
      <c r="D215" s="19"/>
      <c r="E215" s="19"/>
      <c r="F215" s="19"/>
      <c r="G215" s="19"/>
      <c r="H215" s="19"/>
      <c r="I215" s="19"/>
      <c r="J215" s="17"/>
      <c r="K215" s="17"/>
      <c r="L215" s="17"/>
      <c r="M215" s="17"/>
      <c r="N215" s="17"/>
      <c r="O215" s="17"/>
      <c r="P215" s="11"/>
      <c r="Q215" s="17"/>
      <c r="R215" s="17"/>
      <c r="S215" s="17"/>
      <c r="T215" s="17"/>
      <c r="U215" s="17"/>
      <c r="V215" s="298"/>
      <c r="W215" s="298"/>
      <c r="X215" s="298"/>
      <c r="Y215" s="298"/>
      <c r="Z215" s="17"/>
      <c r="AA215" s="17"/>
      <c r="AB215" s="17"/>
      <c r="AC215" s="17"/>
      <c r="AD215" s="17"/>
      <c r="AE215" s="17"/>
      <c r="AF215" s="17"/>
      <c r="AG215" s="17"/>
      <c r="AH215" s="17"/>
      <c r="AI215" s="17"/>
      <c r="AJ215" s="17"/>
      <c r="AK215" s="17"/>
      <c r="AL215" s="17"/>
      <c r="AM215" s="17"/>
      <c r="AN215" s="17"/>
      <c r="AO215" s="17"/>
      <c r="AP215" s="17"/>
      <c r="AQ215" s="17"/>
      <c r="AR215" s="17"/>
      <c r="AS215" s="17"/>
      <c r="AT215" s="17"/>
      <c r="AU215" s="17"/>
    </row>
    <row r="216" spans="1:47" x14ac:dyDescent="0.3">
      <c r="A216" s="17"/>
      <c r="B216" s="17"/>
      <c r="C216" s="19"/>
      <c r="D216" s="17"/>
      <c r="E216" s="19"/>
      <c r="F216" s="19"/>
      <c r="G216" s="19"/>
      <c r="H216" s="19"/>
      <c r="I216" s="19"/>
      <c r="J216" s="17"/>
      <c r="K216" s="17"/>
      <c r="L216" s="17"/>
      <c r="M216" s="17"/>
      <c r="N216" s="17"/>
      <c r="O216" s="17"/>
      <c r="P216" s="17"/>
      <c r="Q216" s="17"/>
      <c r="R216" s="17"/>
      <c r="S216" s="17"/>
      <c r="T216" s="17"/>
      <c r="U216" s="17"/>
      <c r="V216" s="17"/>
      <c r="W216" s="17"/>
      <c r="X216" s="17"/>
      <c r="Y216" s="17"/>
      <c r="Z216" s="17"/>
      <c r="AA216" s="17"/>
      <c r="AB216" s="17"/>
      <c r="AC216" s="17"/>
      <c r="AD216" s="17"/>
      <c r="AE216" s="17"/>
      <c r="AF216" s="17"/>
      <c r="AG216" s="17"/>
      <c r="AH216" s="17"/>
      <c r="AI216" s="17"/>
      <c r="AJ216" s="17"/>
      <c r="AK216" s="17"/>
      <c r="AL216" s="17"/>
      <c r="AM216" s="17"/>
      <c r="AN216" s="17"/>
      <c r="AO216" s="17"/>
      <c r="AP216" s="17"/>
      <c r="AQ216" s="17"/>
      <c r="AR216" s="17"/>
      <c r="AS216" s="17"/>
      <c r="AT216" s="17"/>
      <c r="AU216" s="17"/>
    </row>
    <row r="217" spans="1:47" x14ac:dyDescent="0.3">
      <c r="A217" s="17"/>
      <c r="B217" s="17"/>
      <c r="C217" s="19"/>
      <c r="D217" s="19"/>
      <c r="E217" s="19"/>
      <c r="F217" s="19"/>
      <c r="G217" s="19"/>
      <c r="H217" s="19"/>
      <c r="I217" s="19"/>
      <c r="J217" s="17"/>
      <c r="K217" s="17"/>
      <c r="L217" s="17"/>
      <c r="M217" s="17"/>
      <c r="N217" s="17"/>
      <c r="O217" s="17"/>
      <c r="P217" s="11"/>
      <c r="Q217" s="23"/>
      <c r="R217" s="17"/>
      <c r="S217" s="17"/>
      <c r="T217" s="17"/>
      <c r="U217" s="17"/>
      <c r="V217" s="19"/>
      <c r="W217" s="20"/>
      <c r="X217" s="20"/>
      <c r="Y217" s="20"/>
      <c r="Z217" s="17"/>
      <c r="AA217" s="17"/>
      <c r="AB217" s="17"/>
      <c r="AC217" s="17"/>
      <c r="AD217" s="17"/>
      <c r="AE217" s="17"/>
      <c r="AF217" s="17"/>
      <c r="AG217" s="17"/>
      <c r="AH217" s="17"/>
      <c r="AI217" s="17"/>
      <c r="AJ217" s="17"/>
      <c r="AK217" s="17"/>
      <c r="AL217" s="17"/>
      <c r="AM217" s="17"/>
      <c r="AN217" s="17"/>
      <c r="AO217" s="17"/>
      <c r="AP217" s="17"/>
      <c r="AQ217" s="17"/>
      <c r="AR217" s="17"/>
      <c r="AS217" s="17"/>
      <c r="AT217" s="17"/>
      <c r="AU217" s="17"/>
    </row>
    <row r="218" spans="1:47" x14ac:dyDescent="0.3">
      <c r="A218" s="17"/>
      <c r="B218" s="17"/>
      <c r="C218" s="19"/>
      <c r="D218" s="19"/>
      <c r="E218" s="19"/>
      <c r="F218" s="19"/>
      <c r="G218" s="19"/>
      <c r="H218" s="19"/>
      <c r="I218" s="19"/>
      <c r="J218" s="17"/>
      <c r="K218" s="17"/>
      <c r="L218" s="17"/>
      <c r="M218" s="17"/>
      <c r="N218" s="17"/>
      <c r="O218" s="17"/>
      <c r="P218" s="11"/>
      <c r="Q218" s="23"/>
      <c r="R218" s="17"/>
      <c r="S218" s="17"/>
      <c r="T218" s="17"/>
      <c r="U218" s="17"/>
      <c r="V218" s="19"/>
      <c r="W218" s="20"/>
      <c r="X218" s="20"/>
      <c r="Y218" s="20"/>
      <c r="Z218" s="17"/>
      <c r="AA218" s="17"/>
      <c r="AB218" s="17"/>
      <c r="AC218" s="17"/>
      <c r="AD218" s="17"/>
      <c r="AE218" s="17"/>
      <c r="AF218" s="17"/>
      <c r="AG218" s="17"/>
      <c r="AH218" s="17"/>
      <c r="AI218" s="17"/>
      <c r="AJ218" s="17"/>
      <c r="AK218" s="17"/>
      <c r="AL218" s="17"/>
      <c r="AM218" s="17"/>
      <c r="AN218" s="17"/>
      <c r="AO218" s="17"/>
      <c r="AP218" s="17"/>
      <c r="AQ218" s="17"/>
      <c r="AR218" s="17"/>
      <c r="AS218" s="17"/>
      <c r="AT218" s="17"/>
      <c r="AU218" s="17"/>
    </row>
    <row r="219" spans="1:47" x14ac:dyDescent="0.3">
      <c r="A219" s="17"/>
      <c r="B219" s="17"/>
      <c r="C219" s="19"/>
      <c r="D219" s="19"/>
      <c r="E219" s="19"/>
      <c r="F219" s="19"/>
      <c r="G219" s="19"/>
      <c r="H219" s="19"/>
      <c r="I219" s="19"/>
      <c r="J219" s="17"/>
      <c r="K219" s="17"/>
      <c r="L219" s="17"/>
      <c r="M219" s="17"/>
      <c r="N219" s="17"/>
      <c r="O219" s="17"/>
      <c r="P219" s="11"/>
      <c r="Q219" s="23"/>
      <c r="R219" s="17"/>
      <c r="S219" s="17"/>
      <c r="T219" s="17"/>
      <c r="U219" s="17"/>
      <c r="V219" s="19"/>
      <c r="W219" s="20"/>
      <c r="X219" s="20"/>
      <c r="Y219" s="20"/>
      <c r="Z219" s="17"/>
      <c r="AA219" s="17"/>
      <c r="AB219" s="17"/>
      <c r="AC219" s="17"/>
      <c r="AD219" s="17"/>
      <c r="AE219" s="17"/>
      <c r="AF219" s="17"/>
      <c r="AG219" s="17"/>
      <c r="AH219" s="17"/>
      <c r="AI219" s="17"/>
      <c r="AJ219" s="17"/>
      <c r="AK219" s="17"/>
      <c r="AL219" s="17"/>
      <c r="AM219" s="17"/>
      <c r="AN219" s="17"/>
      <c r="AO219" s="17"/>
      <c r="AP219" s="17"/>
      <c r="AQ219" s="17"/>
      <c r="AR219" s="17"/>
      <c r="AS219" s="17"/>
      <c r="AT219" s="17"/>
      <c r="AU219" s="17"/>
    </row>
    <row r="220" spans="1:47" x14ac:dyDescent="0.3">
      <c r="A220" s="17"/>
      <c r="B220" s="17"/>
      <c r="C220" s="19"/>
      <c r="D220" s="19"/>
      <c r="E220" s="19"/>
      <c r="F220" s="19"/>
      <c r="G220" s="19"/>
      <c r="H220" s="19"/>
      <c r="I220" s="19"/>
      <c r="J220" s="17"/>
      <c r="K220" s="17"/>
      <c r="L220" s="17"/>
      <c r="M220" s="19"/>
      <c r="N220" s="19"/>
      <c r="O220" s="19"/>
      <c r="P220" s="11"/>
      <c r="Q220" s="11"/>
      <c r="R220" s="11"/>
      <c r="S220" s="24"/>
      <c r="T220" s="17"/>
      <c r="U220" s="17"/>
      <c r="V220" s="19"/>
      <c r="W220" s="20"/>
      <c r="X220" s="20"/>
      <c r="Y220" s="20"/>
      <c r="Z220" s="17"/>
      <c r="AA220" s="17"/>
      <c r="AB220" s="17"/>
      <c r="AC220" s="17"/>
      <c r="AD220" s="17"/>
      <c r="AE220" s="17"/>
      <c r="AF220" s="17"/>
      <c r="AG220" s="17"/>
      <c r="AH220" s="17"/>
      <c r="AI220" s="17"/>
      <c r="AJ220" s="17"/>
      <c r="AK220" s="17"/>
      <c r="AL220" s="17"/>
      <c r="AM220" s="17"/>
      <c r="AN220" s="17"/>
      <c r="AO220" s="17"/>
      <c r="AP220" s="17"/>
      <c r="AQ220" s="17"/>
      <c r="AR220" s="17"/>
      <c r="AS220" s="17"/>
      <c r="AT220" s="17"/>
      <c r="AU220" s="17"/>
    </row>
    <row r="221" spans="1:47" x14ac:dyDescent="0.3">
      <c r="A221" s="17"/>
      <c r="B221" s="17"/>
      <c r="C221" s="19"/>
      <c r="D221" s="19"/>
      <c r="E221" s="19"/>
      <c r="F221" s="19"/>
      <c r="G221" s="19"/>
      <c r="H221" s="19"/>
      <c r="I221" s="19"/>
      <c r="J221" s="17"/>
      <c r="K221" s="17"/>
      <c r="L221" s="17"/>
      <c r="M221" s="19"/>
      <c r="N221" s="19"/>
      <c r="O221" s="19"/>
      <c r="P221" s="19"/>
      <c r="Q221" s="19"/>
      <c r="R221" s="19"/>
      <c r="S221" s="11"/>
      <c r="T221" s="17"/>
      <c r="U221" s="17"/>
      <c r="V221" s="19"/>
      <c r="W221" s="25"/>
      <c r="X221" s="25"/>
      <c r="Y221" s="25"/>
      <c r="Z221" s="17"/>
      <c r="AA221" s="17"/>
      <c r="AB221" s="17"/>
      <c r="AC221" s="17"/>
      <c r="AD221" s="17"/>
      <c r="AE221" s="17"/>
      <c r="AF221" s="17"/>
      <c r="AG221" s="17"/>
      <c r="AH221" s="17"/>
      <c r="AI221" s="17"/>
      <c r="AJ221" s="17"/>
      <c r="AK221" s="17"/>
      <c r="AL221" s="17"/>
      <c r="AM221" s="17"/>
      <c r="AN221" s="17"/>
      <c r="AO221" s="17"/>
      <c r="AP221" s="17"/>
      <c r="AQ221" s="17"/>
      <c r="AR221" s="17"/>
      <c r="AS221" s="17"/>
      <c r="AT221" s="17"/>
      <c r="AU221" s="17"/>
    </row>
    <row r="222" spans="1:47" x14ac:dyDescent="0.3">
      <c r="A222" s="17"/>
      <c r="B222" s="17"/>
      <c r="C222" s="17"/>
      <c r="D222" s="17"/>
      <c r="E222" s="17"/>
      <c r="F222" s="17"/>
      <c r="G222" s="17"/>
      <c r="H222" s="17"/>
      <c r="I222" s="17"/>
      <c r="J222" s="17"/>
      <c r="K222" s="17"/>
      <c r="L222" s="17"/>
      <c r="M222" s="17"/>
      <c r="N222" s="17"/>
      <c r="O222" s="17"/>
      <c r="P222" s="17"/>
      <c r="Q222" s="17"/>
      <c r="R222" s="17"/>
      <c r="S222" s="17"/>
      <c r="T222" s="17"/>
      <c r="U222" s="17"/>
      <c r="V222" s="17"/>
      <c r="W222" s="17"/>
      <c r="X222" s="17"/>
      <c r="Y222" s="17"/>
      <c r="Z222" s="17"/>
      <c r="AA222" s="17"/>
      <c r="AB222" s="17"/>
      <c r="AC222" s="17"/>
      <c r="AD222" s="17"/>
      <c r="AE222" s="17"/>
      <c r="AF222" s="17"/>
      <c r="AG222" s="17"/>
      <c r="AH222" s="17"/>
      <c r="AI222" s="17"/>
      <c r="AJ222" s="17"/>
      <c r="AK222" s="17"/>
      <c r="AL222" s="17"/>
      <c r="AM222" s="17"/>
      <c r="AN222" s="17"/>
      <c r="AO222" s="17"/>
      <c r="AP222" s="17"/>
      <c r="AQ222" s="17"/>
      <c r="AR222" s="17"/>
      <c r="AS222" s="17"/>
      <c r="AT222" s="17"/>
      <c r="AU222" s="17"/>
    </row>
    <row r="223" spans="1:47" x14ac:dyDescent="0.3">
      <c r="A223" s="17"/>
      <c r="B223" s="17"/>
      <c r="C223" s="17"/>
      <c r="D223" s="17"/>
      <c r="E223" s="17"/>
      <c r="F223" s="17"/>
      <c r="G223" s="17"/>
      <c r="H223" s="17"/>
      <c r="I223" s="17"/>
      <c r="J223" s="17"/>
      <c r="K223" s="17"/>
      <c r="L223" s="17"/>
      <c r="M223" s="17"/>
      <c r="N223" s="17"/>
      <c r="O223" s="17"/>
      <c r="P223" s="17"/>
      <c r="Q223" s="17"/>
      <c r="R223" s="17"/>
      <c r="S223" s="17"/>
      <c r="T223" s="17"/>
      <c r="U223" s="17"/>
      <c r="V223" s="17"/>
      <c r="W223" s="17"/>
      <c r="X223" s="17"/>
      <c r="Y223" s="17"/>
      <c r="Z223" s="17"/>
      <c r="AA223" s="17"/>
      <c r="AB223" s="17"/>
      <c r="AC223" s="17"/>
      <c r="AD223" s="17"/>
      <c r="AE223" s="17"/>
      <c r="AF223" s="17"/>
      <c r="AG223" s="17"/>
      <c r="AH223" s="17"/>
      <c r="AI223" s="17"/>
      <c r="AJ223" s="17"/>
      <c r="AK223" s="17"/>
      <c r="AL223" s="17"/>
      <c r="AM223" s="17"/>
      <c r="AN223" s="17"/>
      <c r="AO223" s="17"/>
      <c r="AP223" s="17"/>
      <c r="AQ223" s="17"/>
      <c r="AR223" s="17"/>
      <c r="AS223" s="17"/>
      <c r="AT223" s="17"/>
      <c r="AU223" s="17"/>
    </row>
    <row r="224" spans="1:47" x14ac:dyDescent="0.3">
      <c r="A224" s="17"/>
      <c r="B224" s="17"/>
      <c r="C224" s="17"/>
      <c r="D224" s="17"/>
      <c r="E224" s="17"/>
      <c r="F224" s="17"/>
      <c r="G224" s="17"/>
      <c r="H224" s="17"/>
      <c r="I224" s="17"/>
      <c r="J224" s="17"/>
      <c r="K224" s="17"/>
      <c r="L224" s="17"/>
      <c r="M224" s="17"/>
      <c r="N224" s="17"/>
      <c r="O224" s="17"/>
      <c r="P224" s="17"/>
      <c r="Q224" s="17"/>
      <c r="R224" s="17"/>
      <c r="S224" s="17"/>
      <c r="T224" s="17"/>
      <c r="U224" s="17"/>
      <c r="V224" s="17"/>
      <c r="W224" s="17"/>
      <c r="X224" s="17"/>
      <c r="Y224" s="17"/>
      <c r="Z224" s="17"/>
      <c r="AA224" s="17"/>
      <c r="AB224" s="17"/>
      <c r="AC224" s="17"/>
      <c r="AD224" s="17"/>
      <c r="AE224" s="17"/>
      <c r="AF224" s="17"/>
      <c r="AG224" s="17"/>
      <c r="AH224" s="17"/>
      <c r="AI224" s="17"/>
      <c r="AJ224" s="17"/>
      <c r="AK224" s="17"/>
      <c r="AL224" s="17"/>
      <c r="AM224" s="17"/>
      <c r="AN224" s="17"/>
      <c r="AO224" s="17"/>
      <c r="AP224" s="17"/>
      <c r="AQ224" s="17"/>
      <c r="AR224" s="17"/>
      <c r="AS224" s="17"/>
      <c r="AT224" s="17"/>
      <c r="AU224" s="17"/>
    </row>
    <row r="225" spans="1:47" x14ac:dyDescent="0.3">
      <c r="A225" s="17"/>
      <c r="B225" s="17"/>
      <c r="C225" s="17"/>
      <c r="D225" s="17"/>
      <c r="E225" s="17"/>
      <c r="F225" s="17"/>
      <c r="G225" s="17"/>
      <c r="H225" s="17"/>
      <c r="I225" s="17"/>
      <c r="J225" s="17"/>
      <c r="K225" s="17"/>
      <c r="L225" s="17"/>
      <c r="M225" s="17"/>
      <c r="N225" s="17"/>
      <c r="O225" s="17"/>
      <c r="P225" s="17"/>
      <c r="Q225" s="17"/>
      <c r="R225" s="17"/>
      <c r="S225" s="17"/>
      <c r="T225" s="17"/>
      <c r="U225" s="17"/>
      <c r="V225" s="17"/>
      <c r="W225" s="17"/>
      <c r="X225" s="17"/>
      <c r="Y225" s="17"/>
      <c r="Z225" s="17"/>
      <c r="AA225" s="17"/>
      <c r="AB225" s="17"/>
      <c r="AC225" s="17"/>
      <c r="AD225" s="17"/>
      <c r="AE225" s="17"/>
      <c r="AF225" s="17"/>
      <c r="AG225" s="17"/>
      <c r="AH225" s="17"/>
      <c r="AI225" s="17"/>
      <c r="AJ225" s="17"/>
      <c r="AK225" s="17"/>
      <c r="AL225" s="17"/>
      <c r="AM225" s="17"/>
      <c r="AN225" s="17"/>
      <c r="AO225" s="17"/>
      <c r="AP225" s="17"/>
      <c r="AQ225" s="17"/>
      <c r="AR225" s="17"/>
      <c r="AS225" s="17"/>
      <c r="AT225" s="17"/>
      <c r="AU225" s="17"/>
    </row>
    <row r="226" spans="1:47" x14ac:dyDescent="0.3">
      <c r="A226" s="17"/>
      <c r="B226" s="17"/>
      <c r="C226" s="17"/>
      <c r="D226" s="17"/>
      <c r="E226" s="17"/>
      <c r="F226" s="17"/>
      <c r="G226" s="17"/>
      <c r="H226" s="17"/>
      <c r="I226" s="17"/>
      <c r="J226" s="17"/>
      <c r="K226" s="17"/>
      <c r="L226" s="17"/>
      <c r="M226" s="17"/>
      <c r="N226" s="17"/>
      <c r="O226" s="17"/>
      <c r="P226" s="17"/>
      <c r="Q226" s="17"/>
      <c r="R226" s="17"/>
      <c r="S226" s="17"/>
      <c r="T226" s="17"/>
      <c r="U226" s="17"/>
      <c r="V226" s="17"/>
      <c r="W226" s="17"/>
      <c r="X226" s="17"/>
      <c r="Y226" s="17"/>
      <c r="Z226" s="17"/>
      <c r="AA226" s="17"/>
      <c r="AB226" s="17"/>
      <c r="AC226" s="17"/>
      <c r="AD226" s="17"/>
      <c r="AE226" s="17"/>
      <c r="AF226" s="17"/>
      <c r="AG226" s="17"/>
      <c r="AH226" s="17"/>
      <c r="AI226" s="17"/>
      <c r="AJ226" s="17"/>
      <c r="AK226" s="17"/>
      <c r="AL226" s="17"/>
      <c r="AM226" s="17"/>
      <c r="AN226" s="17"/>
      <c r="AO226" s="17"/>
      <c r="AP226" s="17"/>
      <c r="AQ226" s="17"/>
      <c r="AR226" s="17"/>
      <c r="AS226" s="17"/>
      <c r="AT226" s="17"/>
      <c r="AU226" s="17"/>
    </row>
    <row r="227" spans="1:47" x14ac:dyDescent="0.3">
      <c r="A227" s="17"/>
      <c r="B227" s="17"/>
      <c r="C227" s="17"/>
      <c r="D227" s="17"/>
      <c r="E227" s="17"/>
      <c r="F227" s="17"/>
      <c r="G227" s="17"/>
      <c r="H227" s="17"/>
      <c r="I227" s="17"/>
      <c r="J227" s="17"/>
      <c r="K227" s="17"/>
      <c r="L227" s="17"/>
      <c r="M227" s="17"/>
      <c r="N227" s="17"/>
      <c r="O227" s="17"/>
      <c r="P227" s="17"/>
      <c r="Q227" s="17"/>
      <c r="R227" s="17"/>
      <c r="S227" s="17"/>
      <c r="T227" s="17"/>
      <c r="U227" s="17"/>
      <c r="V227" s="17"/>
      <c r="W227" s="17"/>
      <c r="X227" s="17"/>
      <c r="Y227" s="17"/>
      <c r="Z227" s="17"/>
      <c r="AA227" s="17"/>
      <c r="AB227" s="17"/>
      <c r="AC227" s="17"/>
      <c r="AD227" s="17"/>
      <c r="AE227" s="17"/>
      <c r="AF227" s="17"/>
      <c r="AG227" s="17"/>
      <c r="AH227" s="17"/>
      <c r="AI227" s="17"/>
      <c r="AJ227" s="17"/>
      <c r="AK227" s="17"/>
      <c r="AL227" s="17"/>
      <c r="AM227" s="17"/>
      <c r="AN227" s="17"/>
      <c r="AO227" s="17"/>
      <c r="AP227" s="17"/>
      <c r="AQ227" s="17"/>
      <c r="AR227" s="17"/>
      <c r="AS227" s="17"/>
      <c r="AT227" s="17"/>
      <c r="AU227" s="17"/>
    </row>
    <row r="228" spans="1:47" x14ac:dyDescent="0.3">
      <c r="A228" s="17"/>
      <c r="B228" s="17"/>
      <c r="C228" s="17"/>
      <c r="D228" s="17"/>
      <c r="E228" s="17"/>
      <c r="F228" s="17"/>
      <c r="G228" s="17"/>
      <c r="H228" s="17"/>
      <c r="I228" s="17"/>
      <c r="J228" s="17"/>
      <c r="K228" s="17"/>
      <c r="L228" s="17"/>
      <c r="M228" s="17"/>
      <c r="N228" s="17"/>
      <c r="O228" s="17"/>
      <c r="P228" s="17"/>
      <c r="Q228" s="17"/>
      <c r="R228" s="17"/>
      <c r="S228" s="17"/>
      <c r="T228" s="17"/>
      <c r="U228" s="17"/>
      <c r="V228" s="17"/>
      <c r="W228" s="17"/>
      <c r="X228" s="17"/>
      <c r="Y228" s="17"/>
      <c r="Z228" s="17"/>
      <c r="AA228" s="17"/>
      <c r="AB228" s="17"/>
      <c r="AC228" s="17"/>
      <c r="AD228" s="17"/>
      <c r="AE228" s="17"/>
      <c r="AF228" s="17"/>
      <c r="AG228" s="17"/>
      <c r="AH228" s="17"/>
      <c r="AI228" s="17"/>
      <c r="AJ228" s="17"/>
      <c r="AK228" s="17"/>
      <c r="AL228" s="17"/>
      <c r="AM228" s="17"/>
      <c r="AN228" s="17"/>
      <c r="AO228" s="17"/>
      <c r="AP228" s="17"/>
      <c r="AQ228" s="17"/>
      <c r="AR228" s="17"/>
      <c r="AS228" s="17"/>
      <c r="AT228" s="17"/>
      <c r="AU228" s="17"/>
    </row>
    <row r="229" spans="1:47" x14ac:dyDescent="0.3">
      <c r="A229" s="17"/>
      <c r="B229" s="17"/>
      <c r="C229" s="298"/>
      <c r="D229" s="298"/>
      <c r="E229" s="298"/>
      <c r="F229" s="18"/>
      <c r="G229" s="18"/>
      <c r="H229" s="18"/>
      <c r="I229" s="17"/>
      <c r="J229" s="298"/>
      <c r="K229" s="298"/>
      <c r="L229" s="17"/>
      <c r="M229" s="17"/>
      <c r="N229" s="17"/>
      <c r="O229" s="17"/>
      <c r="P229" s="17"/>
      <c r="Q229" s="17"/>
      <c r="R229" s="17"/>
      <c r="S229" s="17"/>
      <c r="T229" s="17"/>
      <c r="U229" s="17"/>
      <c r="V229" s="17"/>
      <c r="W229" s="17"/>
      <c r="X229" s="17"/>
      <c r="Y229" s="17"/>
      <c r="Z229" s="17"/>
      <c r="AA229" s="17"/>
      <c r="AB229" s="17"/>
      <c r="AC229" s="17"/>
      <c r="AD229" s="17"/>
      <c r="AE229" s="17"/>
      <c r="AF229" s="17"/>
      <c r="AG229" s="17"/>
      <c r="AH229" s="17"/>
      <c r="AI229" s="17"/>
      <c r="AJ229" s="17"/>
      <c r="AK229" s="17"/>
      <c r="AL229" s="17"/>
      <c r="AM229" s="17"/>
      <c r="AN229" s="17"/>
      <c r="AO229" s="17"/>
      <c r="AP229" s="17"/>
      <c r="AQ229" s="17"/>
      <c r="AR229" s="17"/>
      <c r="AS229" s="17"/>
      <c r="AT229" s="17"/>
      <c r="AU229" s="17"/>
    </row>
    <row r="230" spans="1:47" x14ac:dyDescent="0.3">
      <c r="A230" s="17"/>
      <c r="B230" s="17"/>
      <c r="C230" s="17"/>
      <c r="D230" s="17"/>
      <c r="E230" s="17"/>
      <c r="F230" s="17"/>
      <c r="G230" s="17"/>
      <c r="H230" s="17"/>
      <c r="I230" s="17"/>
      <c r="J230" s="17"/>
      <c r="K230" s="17"/>
      <c r="L230" s="17"/>
      <c r="M230" s="17"/>
      <c r="N230" s="17"/>
      <c r="O230" s="17"/>
      <c r="P230" s="17"/>
      <c r="Q230" s="17"/>
      <c r="R230" s="17"/>
      <c r="S230" s="17"/>
      <c r="T230" s="17"/>
      <c r="U230" s="17"/>
      <c r="V230" s="17"/>
      <c r="W230" s="17"/>
      <c r="X230" s="17"/>
      <c r="Y230" s="17"/>
      <c r="Z230" s="17"/>
      <c r="AA230" s="17"/>
      <c r="AB230" s="17"/>
      <c r="AC230" s="17"/>
      <c r="AD230" s="17"/>
      <c r="AE230" s="17"/>
      <c r="AF230" s="17"/>
      <c r="AG230" s="17"/>
      <c r="AH230" s="17"/>
      <c r="AI230" s="17"/>
      <c r="AJ230" s="17"/>
      <c r="AK230" s="17"/>
      <c r="AL230" s="17"/>
      <c r="AM230" s="17"/>
      <c r="AN230" s="17"/>
      <c r="AO230" s="17"/>
      <c r="AP230" s="17"/>
      <c r="AQ230" s="17"/>
      <c r="AR230" s="17"/>
      <c r="AS230" s="17"/>
      <c r="AT230" s="17"/>
      <c r="AU230" s="17"/>
    </row>
    <row r="231" spans="1:47" x14ac:dyDescent="0.3">
      <c r="A231" s="17"/>
      <c r="B231" s="17"/>
      <c r="C231" s="19"/>
      <c r="D231" s="19"/>
      <c r="E231" s="17"/>
      <c r="F231" s="19"/>
      <c r="G231" s="19"/>
      <c r="H231" s="19"/>
      <c r="I231" s="19"/>
      <c r="J231" s="20"/>
      <c r="K231" s="20"/>
      <c r="L231" s="20"/>
      <c r="M231" s="17"/>
      <c r="N231" s="17"/>
      <c r="O231" s="17"/>
      <c r="P231" s="17"/>
      <c r="Q231" s="17"/>
      <c r="R231" s="17"/>
      <c r="S231" s="17"/>
      <c r="T231" s="17"/>
      <c r="U231" s="17"/>
      <c r="V231" s="17"/>
      <c r="W231" s="17"/>
      <c r="X231" s="17"/>
      <c r="Y231" s="17"/>
      <c r="Z231" s="17"/>
      <c r="AA231" s="17"/>
      <c r="AB231" s="17"/>
      <c r="AC231" s="17"/>
      <c r="AD231" s="17"/>
      <c r="AE231" s="17"/>
      <c r="AF231" s="17"/>
      <c r="AG231" s="17"/>
      <c r="AH231" s="17"/>
      <c r="AI231" s="17"/>
      <c r="AJ231" s="17"/>
      <c r="AK231" s="17"/>
      <c r="AL231" s="17"/>
      <c r="AM231" s="17"/>
      <c r="AN231" s="17"/>
      <c r="AO231" s="17"/>
      <c r="AP231" s="17"/>
      <c r="AQ231" s="17"/>
      <c r="AR231" s="17"/>
      <c r="AS231" s="17"/>
      <c r="AT231" s="17"/>
      <c r="AU231" s="17"/>
    </row>
    <row r="232" spans="1:47" x14ac:dyDescent="0.3">
      <c r="A232" s="17"/>
      <c r="B232" s="17"/>
      <c r="C232" s="19"/>
      <c r="D232" s="19"/>
      <c r="E232" s="17"/>
      <c r="F232" s="19"/>
      <c r="G232" s="19"/>
      <c r="H232" s="19"/>
      <c r="I232" s="19"/>
      <c r="J232" s="20"/>
      <c r="K232" s="20"/>
      <c r="L232" s="20"/>
      <c r="M232" s="17"/>
      <c r="N232" s="17"/>
      <c r="O232" s="17"/>
      <c r="P232" s="17"/>
      <c r="Q232" s="17"/>
      <c r="R232" s="17"/>
      <c r="S232" s="17"/>
      <c r="T232" s="17"/>
      <c r="U232" s="17"/>
      <c r="V232" s="17"/>
      <c r="W232" s="17"/>
      <c r="X232" s="17"/>
      <c r="Y232" s="17"/>
      <c r="Z232" s="17"/>
      <c r="AA232" s="17"/>
      <c r="AB232" s="17"/>
      <c r="AC232" s="17"/>
      <c r="AD232" s="17"/>
      <c r="AE232" s="17"/>
      <c r="AF232" s="17"/>
      <c r="AG232" s="17"/>
      <c r="AH232" s="17"/>
      <c r="AI232" s="17"/>
      <c r="AJ232" s="17"/>
      <c r="AK232" s="17"/>
      <c r="AL232" s="17"/>
      <c r="AM232" s="17"/>
      <c r="AN232" s="17"/>
      <c r="AO232" s="17"/>
      <c r="AP232" s="17"/>
      <c r="AQ232" s="17"/>
      <c r="AR232" s="17"/>
      <c r="AS232" s="17"/>
      <c r="AT232" s="17"/>
      <c r="AU232" s="17"/>
    </row>
    <row r="233" spans="1:47" x14ac:dyDescent="0.3">
      <c r="A233" s="17"/>
      <c r="B233" s="17"/>
      <c r="C233" s="19"/>
      <c r="D233" s="19"/>
      <c r="E233" s="17"/>
      <c r="F233" s="19"/>
      <c r="G233" s="19"/>
      <c r="H233" s="19"/>
      <c r="I233" s="19"/>
      <c r="J233" s="20"/>
      <c r="K233" s="20"/>
      <c r="L233" s="20"/>
      <c r="M233" s="17"/>
      <c r="N233" s="17"/>
      <c r="O233" s="17"/>
      <c r="P233" s="17"/>
      <c r="Q233" s="17"/>
      <c r="R233" s="17"/>
      <c r="S233" s="17"/>
      <c r="T233" s="17"/>
      <c r="U233" s="17"/>
      <c r="V233" s="17"/>
      <c r="W233" s="17"/>
      <c r="X233" s="17"/>
      <c r="Y233" s="17"/>
      <c r="Z233" s="17"/>
      <c r="AA233" s="17"/>
      <c r="AB233" s="17"/>
      <c r="AC233" s="17"/>
      <c r="AD233" s="17"/>
      <c r="AE233" s="17"/>
      <c r="AF233" s="17"/>
      <c r="AG233" s="17"/>
      <c r="AH233" s="17"/>
      <c r="AI233" s="17"/>
      <c r="AJ233" s="17"/>
      <c r="AK233" s="17"/>
      <c r="AL233" s="17"/>
      <c r="AM233" s="17"/>
      <c r="AN233" s="17"/>
      <c r="AO233" s="17"/>
      <c r="AP233" s="17"/>
      <c r="AQ233" s="17"/>
      <c r="AR233" s="17"/>
      <c r="AS233" s="17"/>
      <c r="AT233" s="17"/>
      <c r="AU233" s="17"/>
    </row>
    <row r="234" spans="1:47" x14ac:dyDescent="0.3">
      <c r="A234" s="17"/>
      <c r="B234" s="17"/>
      <c r="C234" s="19"/>
      <c r="D234" s="19"/>
      <c r="E234" s="19"/>
      <c r="F234" s="19"/>
      <c r="G234" s="19"/>
      <c r="H234" s="19"/>
      <c r="I234" s="19"/>
      <c r="J234" s="20"/>
      <c r="K234" s="20"/>
      <c r="L234" s="20"/>
      <c r="M234" s="17"/>
      <c r="N234" s="17"/>
      <c r="O234" s="17"/>
      <c r="P234" s="17"/>
      <c r="Q234" s="17"/>
      <c r="R234" s="17"/>
      <c r="S234" s="17"/>
      <c r="T234" s="17"/>
      <c r="U234" s="17"/>
      <c r="V234" s="17"/>
      <c r="W234" s="21"/>
      <c r="X234" s="21"/>
      <c r="Y234" s="21"/>
      <c r="Z234" s="17"/>
      <c r="AA234" s="17"/>
      <c r="AB234" s="17"/>
      <c r="AC234" s="17"/>
      <c r="AD234" s="17"/>
      <c r="AE234" s="17"/>
      <c r="AF234" s="17"/>
      <c r="AG234" s="17"/>
      <c r="AH234" s="17"/>
      <c r="AI234" s="17"/>
      <c r="AJ234" s="17"/>
      <c r="AK234" s="17"/>
      <c r="AL234" s="17"/>
      <c r="AM234" s="17"/>
      <c r="AN234" s="17"/>
      <c r="AO234" s="17"/>
      <c r="AP234" s="17"/>
      <c r="AQ234" s="17"/>
      <c r="AR234" s="17"/>
      <c r="AS234" s="17"/>
      <c r="AT234" s="17"/>
      <c r="AU234" s="17"/>
    </row>
    <row r="235" spans="1:47" x14ac:dyDescent="0.3">
      <c r="A235" s="17"/>
      <c r="B235" s="17"/>
      <c r="C235" s="19"/>
      <c r="D235" s="19"/>
      <c r="E235" s="19"/>
      <c r="F235" s="19"/>
      <c r="G235" s="19"/>
      <c r="H235" s="19"/>
      <c r="I235" s="19"/>
      <c r="J235" s="19"/>
      <c r="K235" s="19"/>
      <c r="L235" s="19"/>
      <c r="M235" s="17"/>
      <c r="N235" s="17"/>
      <c r="O235" s="17"/>
      <c r="P235" s="17"/>
      <c r="Q235" s="17"/>
      <c r="R235" s="17"/>
      <c r="S235" s="17"/>
      <c r="T235" s="17"/>
      <c r="U235" s="17"/>
      <c r="V235" s="17"/>
      <c r="W235" s="17"/>
      <c r="X235" s="17"/>
      <c r="Y235" s="17"/>
      <c r="Z235" s="17"/>
      <c r="AA235" s="17"/>
      <c r="AB235" s="17"/>
      <c r="AC235" s="17"/>
      <c r="AD235" s="17"/>
      <c r="AE235" s="17"/>
      <c r="AF235" s="17"/>
      <c r="AG235" s="17"/>
      <c r="AH235" s="17"/>
      <c r="AI235" s="17"/>
      <c r="AJ235" s="17"/>
      <c r="AK235" s="17"/>
      <c r="AL235" s="17"/>
      <c r="AM235" s="17"/>
      <c r="AN235" s="17"/>
      <c r="AO235" s="17"/>
      <c r="AP235" s="17"/>
      <c r="AQ235" s="17"/>
      <c r="AR235" s="17"/>
      <c r="AS235" s="17"/>
      <c r="AT235" s="17"/>
      <c r="AU235" s="17"/>
    </row>
    <row r="236" spans="1:47" x14ac:dyDescent="0.3">
      <c r="A236" s="17"/>
      <c r="B236" s="17"/>
      <c r="C236" s="17"/>
      <c r="D236" s="17"/>
      <c r="E236" s="17"/>
      <c r="F236" s="17"/>
      <c r="G236" s="17"/>
      <c r="H236" s="17"/>
      <c r="I236" s="17"/>
      <c r="J236" s="17"/>
      <c r="K236" s="17"/>
      <c r="L236" s="17"/>
      <c r="M236" s="17"/>
      <c r="N236" s="17"/>
      <c r="O236" s="17"/>
      <c r="P236" s="17"/>
      <c r="Q236" s="17"/>
      <c r="R236" s="17"/>
      <c r="S236" s="17"/>
      <c r="T236" s="17"/>
      <c r="U236" s="17"/>
      <c r="V236" s="22"/>
      <c r="W236" s="22"/>
      <c r="X236" s="22"/>
      <c r="Y236" s="22"/>
      <c r="Z236" s="17"/>
      <c r="AA236" s="17"/>
      <c r="AB236" s="17"/>
      <c r="AC236" s="17"/>
      <c r="AD236" s="17"/>
      <c r="AE236" s="17"/>
      <c r="AF236" s="17"/>
      <c r="AG236" s="17"/>
      <c r="AH236" s="17"/>
      <c r="AI236" s="17"/>
      <c r="AJ236" s="17"/>
      <c r="AK236" s="17"/>
      <c r="AL236" s="17"/>
      <c r="AM236" s="17"/>
      <c r="AN236" s="17"/>
      <c r="AO236" s="17"/>
      <c r="AP236" s="17"/>
      <c r="AQ236" s="17"/>
      <c r="AR236" s="17"/>
      <c r="AS236" s="17"/>
      <c r="AT236" s="17"/>
      <c r="AU236" s="17"/>
    </row>
    <row r="237" spans="1:47" x14ac:dyDescent="0.3">
      <c r="A237" s="17"/>
      <c r="B237" s="17"/>
      <c r="C237" s="17"/>
      <c r="D237" s="17"/>
      <c r="E237" s="17"/>
      <c r="F237" s="17"/>
      <c r="G237" s="17"/>
      <c r="H237" s="17"/>
      <c r="I237" s="17"/>
      <c r="J237" s="17"/>
      <c r="K237" s="17"/>
      <c r="L237" s="17"/>
      <c r="M237" s="17"/>
      <c r="N237" s="17"/>
      <c r="O237" s="17"/>
      <c r="P237" s="17"/>
      <c r="Q237" s="17"/>
      <c r="R237" s="17"/>
      <c r="S237" s="17"/>
      <c r="T237" s="17"/>
      <c r="U237" s="17"/>
      <c r="V237" s="17"/>
      <c r="W237" s="17"/>
      <c r="X237" s="17"/>
      <c r="Y237" s="17"/>
      <c r="Z237" s="17"/>
      <c r="AA237" s="17"/>
      <c r="AB237" s="17"/>
      <c r="AC237" s="17"/>
      <c r="AD237" s="17"/>
      <c r="AE237" s="17"/>
      <c r="AF237" s="17"/>
      <c r="AG237" s="17"/>
      <c r="AH237" s="17"/>
      <c r="AI237" s="17"/>
      <c r="AJ237" s="17"/>
      <c r="AK237" s="17"/>
      <c r="AL237" s="17"/>
      <c r="AM237" s="17"/>
      <c r="AN237" s="17"/>
      <c r="AO237" s="17"/>
      <c r="AP237" s="17"/>
      <c r="AQ237" s="17"/>
      <c r="AR237" s="17"/>
      <c r="AS237" s="17"/>
      <c r="AT237" s="17"/>
      <c r="AU237" s="17"/>
    </row>
    <row r="238" spans="1:47" x14ac:dyDescent="0.3">
      <c r="A238" s="17"/>
      <c r="B238" s="17"/>
      <c r="C238" s="19"/>
      <c r="D238" s="19"/>
      <c r="E238" s="19"/>
      <c r="F238" s="19"/>
      <c r="G238" s="19"/>
      <c r="H238" s="19"/>
      <c r="I238" s="19"/>
      <c r="J238" s="17"/>
      <c r="K238" s="17"/>
      <c r="L238" s="17"/>
      <c r="M238" s="17"/>
      <c r="N238" s="17"/>
      <c r="O238" s="17"/>
      <c r="P238" s="11"/>
      <c r="Q238" s="23"/>
      <c r="R238" s="17"/>
      <c r="S238" s="17"/>
      <c r="T238" s="17"/>
      <c r="U238" s="17"/>
      <c r="V238" s="19"/>
      <c r="W238" s="20"/>
      <c r="X238" s="20"/>
      <c r="Y238" s="20"/>
      <c r="Z238" s="17"/>
      <c r="AA238" s="17"/>
      <c r="AB238" s="17"/>
      <c r="AC238" s="17"/>
      <c r="AD238" s="17"/>
      <c r="AE238" s="17"/>
      <c r="AF238" s="17"/>
      <c r="AG238" s="17"/>
      <c r="AH238" s="17"/>
      <c r="AI238" s="17"/>
      <c r="AJ238" s="17"/>
      <c r="AK238" s="17"/>
      <c r="AL238" s="17"/>
      <c r="AM238" s="17"/>
      <c r="AN238" s="17"/>
      <c r="AO238" s="17"/>
      <c r="AP238" s="17"/>
      <c r="AQ238" s="17"/>
      <c r="AR238" s="17"/>
      <c r="AS238" s="17"/>
      <c r="AT238" s="17"/>
      <c r="AU238" s="17"/>
    </row>
    <row r="239" spans="1:47" x14ac:dyDescent="0.3">
      <c r="A239" s="17"/>
      <c r="B239" s="17"/>
      <c r="C239" s="19"/>
      <c r="D239" s="19"/>
      <c r="E239" s="19"/>
      <c r="F239" s="19"/>
      <c r="G239" s="19"/>
      <c r="H239" s="19"/>
      <c r="I239" s="19"/>
      <c r="J239" s="17"/>
      <c r="K239" s="17"/>
      <c r="L239" s="17"/>
      <c r="M239" s="17"/>
      <c r="N239" s="17"/>
      <c r="O239" s="17"/>
      <c r="P239" s="11"/>
      <c r="Q239" s="23"/>
      <c r="R239" s="17"/>
      <c r="S239" s="17"/>
      <c r="T239" s="17"/>
      <c r="U239" s="17"/>
      <c r="V239" s="19"/>
      <c r="W239" s="20"/>
      <c r="X239" s="20"/>
      <c r="Y239" s="20"/>
      <c r="Z239" s="17"/>
      <c r="AA239" s="17"/>
      <c r="AB239" s="17"/>
      <c r="AC239" s="17"/>
      <c r="AD239" s="17"/>
      <c r="AE239" s="17"/>
      <c r="AF239" s="17"/>
      <c r="AG239" s="17"/>
      <c r="AH239" s="17"/>
      <c r="AI239" s="17"/>
      <c r="AJ239" s="17"/>
      <c r="AK239" s="17"/>
      <c r="AL239" s="17"/>
      <c r="AM239" s="17"/>
      <c r="AN239" s="17"/>
      <c r="AO239" s="17"/>
      <c r="AP239" s="17"/>
      <c r="AQ239" s="17"/>
      <c r="AR239" s="17"/>
      <c r="AS239" s="17"/>
      <c r="AT239" s="17"/>
      <c r="AU239" s="17"/>
    </row>
    <row r="240" spans="1:47" x14ac:dyDescent="0.3">
      <c r="A240" s="17"/>
      <c r="B240" s="17"/>
      <c r="C240" s="19"/>
      <c r="D240" s="19"/>
      <c r="E240" s="19"/>
      <c r="F240" s="19"/>
      <c r="G240" s="19"/>
      <c r="H240" s="19"/>
      <c r="I240" s="19"/>
      <c r="J240" s="17"/>
      <c r="K240" s="17"/>
      <c r="L240" s="17"/>
      <c r="M240" s="17"/>
      <c r="N240" s="17"/>
      <c r="O240" s="17"/>
      <c r="P240" s="11"/>
      <c r="Q240" s="23"/>
      <c r="R240" s="17"/>
      <c r="S240" s="17"/>
      <c r="T240" s="17"/>
      <c r="U240" s="17"/>
      <c r="V240" s="19"/>
      <c r="W240" s="20"/>
      <c r="X240" s="20"/>
      <c r="Y240" s="20"/>
      <c r="Z240" s="17"/>
      <c r="AA240" s="17"/>
      <c r="AB240" s="21"/>
      <c r="AC240" s="21"/>
      <c r="AD240" s="21"/>
      <c r="AE240" s="17"/>
      <c r="AF240" s="17"/>
      <c r="AG240" s="17"/>
      <c r="AH240" s="17"/>
      <c r="AI240" s="17"/>
      <c r="AJ240" s="17"/>
      <c r="AK240" s="17"/>
      <c r="AL240" s="17"/>
      <c r="AM240" s="17"/>
      <c r="AN240" s="17"/>
      <c r="AO240" s="17"/>
      <c r="AP240" s="17"/>
      <c r="AQ240" s="17"/>
      <c r="AR240" s="17"/>
      <c r="AS240" s="17"/>
      <c r="AT240" s="17"/>
      <c r="AU240" s="17"/>
    </row>
    <row r="241" spans="1:47" x14ac:dyDescent="0.3">
      <c r="A241" s="17"/>
      <c r="B241" s="17"/>
      <c r="C241" s="19"/>
      <c r="D241" s="19"/>
      <c r="E241" s="19"/>
      <c r="F241" s="19"/>
      <c r="G241" s="19"/>
      <c r="H241" s="19"/>
      <c r="I241" s="19"/>
      <c r="J241" s="17"/>
      <c r="K241" s="17"/>
      <c r="L241" s="17"/>
      <c r="M241" s="19"/>
      <c r="N241" s="19"/>
      <c r="O241" s="19"/>
      <c r="P241" s="11"/>
      <c r="Q241" s="11"/>
      <c r="R241" s="11"/>
      <c r="S241" s="24"/>
      <c r="T241" s="17"/>
      <c r="U241" s="17"/>
      <c r="V241" s="19"/>
      <c r="W241" s="20"/>
      <c r="X241" s="20"/>
      <c r="Y241" s="20"/>
      <c r="Z241" s="17"/>
      <c r="AA241" s="17"/>
      <c r="AB241" s="21"/>
      <c r="AC241" s="21"/>
      <c r="AD241" s="21"/>
      <c r="AE241" s="17"/>
      <c r="AF241" s="17"/>
      <c r="AG241" s="17"/>
      <c r="AH241" s="17"/>
      <c r="AI241" s="17"/>
      <c r="AJ241" s="17"/>
      <c r="AK241" s="17"/>
      <c r="AL241" s="17"/>
      <c r="AM241" s="17"/>
      <c r="AN241" s="17"/>
      <c r="AO241" s="17"/>
      <c r="AP241" s="17"/>
      <c r="AQ241" s="17"/>
      <c r="AR241" s="17"/>
      <c r="AS241" s="17"/>
      <c r="AT241" s="17"/>
      <c r="AU241" s="17"/>
    </row>
    <row r="242" spans="1:47" x14ac:dyDescent="0.3">
      <c r="A242" s="17"/>
      <c r="B242" s="17"/>
      <c r="C242" s="19"/>
      <c r="D242" s="19"/>
      <c r="E242" s="19"/>
      <c r="F242" s="19"/>
      <c r="G242" s="19"/>
      <c r="H242" s="19"/>
      <c r="I242" s="19"/>
      <c r="J242" s="17"/>
      <c r="K242" s="17"/>
      <c r="L242" s="17"/>
      <c r="M242" s="19"/>
      <c r="N242" s="19"/>
      <c r="O242" s="19"/>
      <c r="P242" s="11"/>
      <c r="Q242" s="11"/>
      <c r="R242" s="11"/>
      <c r="S242" s="11"/>
      <c r="T242" s="17"/>
      <c r="U242" s="17"/>
      <c r="V242" s="19"/>
      <c r="W242" s="25"/>
      <c r="X242" s="25"/>
      <c r="Y242" s="25"/>
      <c r="Z242" s="17"/>
      <c r="AA242" s="17"/>
      <c r="AB242" s="21"/>
      <c r="AC242" s="21"/>
      <c r="AD242" s="21"/>
      <c r="AE242" s="17"/>
      <c r="AF242" s="17"/>
      <c r="AG242" s="17"/>
      <c r="AH242" s="17"/>
      <c r="AI242" s="17"/>
      <c r="AJ242" s="17"/>
      <c r="AK242" s="17"/>
      <c r="AL242" s="17"/>
      <c r="AM242" s="17"/>
      <c r="AN242" s="17"/>
      <c r="AO242" s="17"/>
      <c r="AP242" s="17"/>
      <c r="AQ242" s="17"/>
      <c r="AR242" s="17"/>
      <c r="AS242" s="17"/>
      <c r="AT242" s="17"/>
      <c r="AU242" s="17"/>
    </row>
    <row r="243" spans="1:47" x14ac:dyDescent="0.3">
      <c r="A243" s="17"/>
      <c r="B243" s="17"/>
      <c r="C243" s="19"/>
      <c r="D243" s="19"/>
      <c r="E243" s="19"/>
      <c r="F243" s="19"/>
      <c r="G243" s="19"/>
      <c r="H243" s="19"/>
      <c r="I243" s="19"/>
      <c r="J243" s="17"/>
      <c r="K243" s="17"/>
      <c r="L243" s="17"/>
      <c r="M243" s="17"/>
      <c r="N243" s="17"/>
      <c r="O243" s="17"/>
      <c r="P243" s="11"/>
      <c r="Q243" s="17"/>
      <c r="R243" s="17"/>
      <c r="S243" s="17"/>
      <c r="T243" s="17"/>
      <c r="U243" s="17"/>
      <c r="V243" s="17"/>
      <c r="W243" s="17"/>
      <c r="X243" s="17"/>
      <c r="Y243" s="17"/>
      <c r="Z243" s="17"/>
      <c r="AA243" s="17"/>
      <c r="AB243" s="17"/>
      <c r="AC243" s="17"/>
      <c r="AD243" s="17"/>
      <c r="AE243" s="17"/>
      <c r="AF243" s="17"/>
      <c r="AG243" s="17"/>
      <c r="AH243" s="17"/>
      <c r="AI243" s="17"/>
      <c r="AJ243" s="17"/>
      <c r="AK243" s="17"/>
      <c r="AL243" s="17"/>
      <c r="AM243" s="17"/>
      <c r="AN243" s="17"/>
      <c r="AO243" s="17"/>
      <c r="AP243" s="17"/>
      <c r="AQ243" s="17"/>
      <c r="AR243" s="17"/>
      <c r="AS243" s="17"/>
      <c r="AT243" s="17"/>
      <c r="AU243" s="17"/>
    </row>
    <row r="244" spans="1:47" x14ac:dyDescent="0.3">
      <c r="A244" s="17"/>
      <c r="B244" s="17"/>
      <c r="C244" s="19"/>
      <c r="D244" s="19"/>
      <c r="E244" s="19"/>
      <c r="F244" s="19"/>
      <c r="G244" s="19"/>
      <c r="H244" s="19"/>
      <c r="I244" s="19"/>
      <c r="J244" s="17"/>
      <c r="K244" s="17"/>
      <c r="L244" s="17"/>
      <c r="M244" s="17"/>
      <c r="N244" s="17"/>
      <c r="O244" s="17"/>
      <c r="P244" s="11"/>
      <c r="Q244" s="17"/>
      <c r="R244" s="17"/>
      <c r="S244" s="17"/>
      <c r="T244" s="17"/>
      <c r="U244" s="17"/>
      <c r="V244" s="17"/>
      <c r="W244" s="17"/>
      <c r="X244" s="17"/>
      <c r="Y244" s="17"/>
      <c r="Z244" s="17"/>
      <c r="AA244" s="17"/>
      <c r="AB244" s="17"/>
      <c r="AC244" s="17"/>
      <c r="AD244" s="17"/>
      <c r="AE244" s="17"/>
      <c r="AF244" s="17"/>
      <c r="AG244" s="17"/>
      <c r="AH244" s="17"/>
      <c r="AI244" s="17"/>
      <c r="AJ244" s="17"/>
      <c r="AK244" s="17"/>
      <c r="AL244" s="17"/>
      <c r="AM244" s="17"/>
      <c r="AN244" s="17"/>
      <c r="AO244" s="17"/>
      <c r="AP244" s="17"/>
      <c r="AQ244" s="17"/>
      <c r="AR244" s="17"/>
      <c r="AS244" s="17"/>
      <c r="AT244" s="17"/>
      <c r="AU244" s="17"/>
    </row>
    <row r="245" spans="1:47" x14ac:dyDescent="0.3">
      <c r="A245" s="17"/>
      <c r="B245" s="17"/>
      <c r="C245" s="19"/>
      <c r="D245" s="19"/>
      <c r="E245" s="19"/>
      <c r="F245" s="19"/>
      <c r="G245" s="19"/>
      <c r="H245" s="19"/>
      <c r="I245" s="19"/>
      <c r="J245" s="17"/>
      <c r="K245" s="17"/>
      <c r="L245" s="17"/>
      <c r="M245" s="17"/>
      <c r="N245" s="17"/>
      <c r="O245" s="17"/>
      <c r="P245" s="11"/>
      <c r="Q245" s="17"/>
      <c r="R245" s="17"/>
      <c r="S245" s="17"/>
      <c r="T245" s="17"/>
      <c r="U245" s="17"/>
      <c r="V245" s="298"/>
      <c r="W245" s="298"/>
      <c r="X245" s="298"/>
      <c r="Y245" s="298"/>
      <c r="Z245" s="17"/>
      <c r="AA245" s="17"/>
      <c r="AB245" s="17"/>
      <c r="AC245" s="17"/>
      <c r="AD245" s="17"/>
      <c r="AE245" s="17"/>
      <c r="AF245" s="17"/>
      <c r="AG245" s="17"/>
      <c r="AH245" s="17"/>
      <c r="AI245" s="17"/>
      <c r="AJ245" s="17"/>
      <c r="AK245" s="17"/>
      <c r="AL245" s="17"/>
      <c r="AM245" s="17"/>
      <c r="AN245" s="17"/>
      <c r="AO245" s="17"/>
      <c r="AP245" s="17"/>
      <c r="AQ245" s="17"/>
      <c r="AR245" s="17"/>
      <c r="AS245" s="17"/>
      <c r="AT245" s="17"/>
      <c r="AU245" s="17"/>
    </row>
    <row r="246" spans="1:47" x14ac:dyDescent="0.3">
      <c r="A246" s="17"/>
      <c r="B246" s="17"/>
      <c r="C246" s="19"/>
      <c r="D246" s="17"/>
      <c r="E246" s="19"/>
      <c r="F246" s="19"/>
      <c r="G246" s="19"/>
      <c r="H246" s="19"/>
      <c r="I246" s="19"/>
      <c r="J246" s="17"/>
      <c r="K246" s="17"/>
      <c r="L246" s="17"/>
      <c r="M246" s="17"/>
      <c r="N246" s="17"/>
      <c r="O246" s="17"/>
      <c r="P246" s="17"/>
      <c r="Q246" s="17"/>
      <c r="R246" s="17"/>
      <c r="S246" s="17"/>
      <c r="T246" s="17"/>
      <c r="U246" s="17"/>
      <c r="V246" s="17"/>
      <c r="W246" s="17"/>
      <c r="X246" s="17"/>
      <c r="Y246" s="17"/>
      <c r="Z246" s="17"/>
      <c r="AA246" s="17"/>
      <c r="AB246" s="17"/>
      <c r="AC246" s="17"/>
      <c r="AD246" s="17"/>
      <c r="AE246" s="17"/>
      <c r="AF246" s="17"/>
      <c r="AG246" s="17"/>
      <c r="AH246" s="17"/>
      <c r="AI246" s="17"/>
      <c r="AJ246" s="17"/>
      <c r="AK246" s="17"/>
      <c r="AL246" s="17"/>
      <c r="AM246" s="17"/>
      <c r="AN246" s="17"/>
      <c r="AO246" s="17"/>
      <c r="AP246" s="17"/>
      <c r="AQ246" s="17"/>
      <c r="AR246" s="17"/>
      <c r="AS246" s="17"/>
      <c r="AT246" s="17"/>
      <c r="AU246" s="17"/>
    </row>
    <row r="247" spans="1:47" x14ac:dyDescent="0.3">
      <c r="A247" s="17"/>
      <c r="B247" s="17"/>
      <c r="C247" s="19"/>
      <c r="D247" s="19"/>
      <c r="E247" s="19"/>
      <c r="F247" s="19"/>
      <c r="G247" s="19"/>
      <c r="H247" s="19"/>
      <c r="I247" s="19"/>
      <c r="J247" s="17"/>
      <c r="K247" s="17"/>
      <c r="L247" s="17"/>
      <c r="M247" s="17"/>
      <c r="N247" s="17"/>
      <c r="O247" s="17"/>
      <c r="P247" s="11"/>
      <c r="Q247" s="23"/>
      <c r="R247" s="17"/>
      <c r="S247" s="17"/>
      <c r="T247" s="17"/>
      <c r="U247" s="17"/>
      <c r="V247" s="19"/>
      <c r="W247" s="20"/>
      <c r="X247" s="20"/>
      <c r="Y247" s="20"/>
      <c r="Z247" s="17"/>
      <c r="AA247" s="17"/>
      <c r="AB247" s="17"/>
      <c r="AC247" s="17"/>
      <c r="AD247" s="17"/>
      <c r="AE247" s="17"/>
      <c r="AF247" s="17"/>
      <c r="AG247" s="17"/>
      <c r="AH247" s="17"/>
      <c r="AI247" s="17"/>
      <c r="AJ247" s="17"/>
      <c r="AK247" s="17"/>
      <c r="AL247" s="17"/>
      <c r="AM247" s="17"/>
      <c r="AN247" s="17"/>
      <c r="AO247" s="17"/>
      <c r="AP247" s="17"/>
      <c r="AQ247" s="17"/>
      <c r="AR247" s="17"/>
      <c r="AS247" s="17"/>
      <c r="AT247" s="17"/>
      <c r="AU247" s="17"/>
    </row>
    <row r="248" spans="1:47" x14ac:dyDescent="0.3">
      <c r="A248" s="17"/>
      <c r="B248" s="17"/>
      <c r="C248" s="19"/>
      <c r="D248" s="19"/>
      <c r="E248" s="19"/>
      <c r="F248" s="19"/>
      <c r="G248" s="19"/>
      <c r="H248" s="19"/>
      <c r="I248" s="19"/>
      <c r="J248" s="17"/>
      <c r="K248" s="17"/>
      <c r="L248" s="17"/>
      <c r="M248" s="17"/>
      <c r="N248" s="17"/>
      <c r="O248" s="17"/>
      <c r="P248" s="11"/>
      <c r="Q248" s="23"/>
      <c r="R248" s="17"/>
      <c r="S248" s="17"/>
      <c r="T248" s="17"/>
      <c r="U248" s="17"/>
      <c r="V248" s="19"/>
      <c r="W248" s="20"/>
      <c r="X248" s="20"/>
      <c r="Y248" s="20"/>
      <c r="Z248" s="17"/>
      <c r="AA248" s="17"/>
      <c r="AB248" s="17"/>
      <c r="AC248" s="17"/>
      <c r="AD248" s="17"/>
      <c r="AE248" s="17"/>
      <c r="AF248" s="17"/>
      <c r="AG248" s="17"/>
      <c r="AH248" s="17"/>
      <c r="AI248" s="17"/>
      <c r="AJ248" s="17"/>
      <c r="AK248" s="17"/>
      <c r="AL248" s="17"/>
      <c r="AM248" s="17"/>
      <c r="AN248" s="17"/>
      <c r="AO248" s="17"/>
      <c r="AP248" s="17"/>
      <c r="AQ248" s="17"/>
      <c r="AR248" s="17"/>
      <c r="AS248" s="17"/>
      <c r="AT248" s="17"/>
      <c r="AU248" s="17"/>
    </row>
    <row r="249" spans="1:47" x14ac:dyDescent="0.3">
      <c r="A249" s="17"/>
      <c r="B249" s="17"/>
      <c r="C249" s="19"/>
      <c r="D249" s="19"/>
      <c r="E249" s="19"/>
      <c r="F249" s="19"/>
      <c r="G249" s="19"/>
      <c r="H249" s="19"/>
      <c r="I249" s="19"/>
      <c r="J249" s="17"/>
      <c r="K249" s="17"/>
      <c r="L249" s="17"/>
      <c r="M249" s="17"/>
      <c r="N249" s="17"/>
      <c r="O249" s="17"/>
      <c r="P249" s="11"/>
      <c r="Q249" s="23"/>
      <c r="R249" s="17"/>
      <c r="S249" s="17"/>
      <c r="T249" s="17"/>
      <c r="U249" s="17"/>
      <c r="V249" s="19"/>
      <c r="W249" s="20"/>
      <c r="X249" s="20"/>
      <c r="Y249" s="20"/>
      <c r="Z249" s="17"/>
      <c r="AA249" s="17"/>
      <c r="AB249" s="17"/>
      <c r="AC249" s="17"/>
      <c r="AD249" s="17"/>
      <c r="AE249" s="17"/>
      <c r="AF249" s="17"/>
      <c r="AG249" s="17"/>
      <c r="AH249" s="17"/>
      <c r="AI249" s="17"/>
      <c r="AJ249" s="17"/>
      <c r="AK249" s="17"/>
      <c r="AL249" s="17"/>
      <c r="AM249" s="17"/>
      <c r="AN249" s="17"/>
      <c r="AO249" s="17"/>
      <c r="AP249" s="17"/>
      <c r="AQ249" s="17"/>
      <c r="AR249" s="17"/>
      <c r="AS249" s="17"/>
      <c r="AT249" s="17"/>
      <c r="AU249" s="17"/>
    </row>
    <row r="250" spans="1:47" x14ac:dyDescent="0.3">
      <c r="A250" s="17"/>
      <c r="B250" s="17"/>
      <c r="C250" s="19"/>
      <c r="D250" s="19"/>
      <c r="E250" s="19"/>
      <c r="F250" s="19"/>
      <c r="G250" s="19"/>
      <c r="H250" s="19"/>
      <c r="I250" s="19"/>
      <c r="J250" s="17"/>
      <c r="K250" s="17"/>
      <c r="L250" s="17"/>
      <c r="M250" s="19"/>
      <c r="N250" s="19"/>
      <c r="O250" s="19"/>
      <c r="P250" s="11"/>
      <c r="Q250" s="11"/>
      <c r="R250" s="11"/>
      <c r="S250" s="24"/>
      <c r="T250" s="17"/>
      <c r="U250" s="17"/>
      <c r="V250" s="19"/>
      <c r="W250" s="20"/>
      <c r="X250" s="20"/>
      <c r="Y250" s="20"/>
      <c r="Z250" s="17"/>
      <c r="AA250" s="17"/>
      <c r="AB250" s="17"/>
      <c r="AC250" s="17"/>
      <c r="AD250" s="17"/>
      <c r="AE250" s="17"/>
      <c r="AF250" s="17"/>
      <c r="AG250" s="17"/>
      <c r="AH250" s="17"/>
      <c r="AI250" s="17"/>
      <c r="AJ250" s="17"/>
      <c r="AK250" s="17"/>
      <c r="AL250" s="17"/>
      <c r="AM250" s="17"/>
      <c r="AN250" s="17"/>
      <c r="AO250" s="17"/>
      <c r="AP250" s="17"/>
      <c r="AQ250" s="17"/>
      <c r="AR250" s="17"/>
      <c r="AS250" s="17"/>
      <c r="AT250" s="17"/>
      <c r="AU250" s="17"/>
    </row>
    <row r="251" spans="1:47" x14ac:dyDescent="0.3">
      <c r="A251" s="17"/>
      <c r="B251" s="17"/>
      <c r="C251" s="19"/>
      <c r="D251" s="19"/>
      <c r="E251" s="19"/>
      <c r="F251" s="19"/>
      <c r="G251" s="19"/>
      <c r="H251" s="19"/>
      <c r="I251" s="19"/>
      <c r="J251" s="17"/>
      <c r="K251" s="17"/>
      <c r="L251" s="17"/>
      <c r="M251" s="19"/>
      <c r="N251" s="19"/>
      <c r="O251" s="19"/>
      <c r="P251" s="19"/>
      <c r="Q251" s="19"/>
      <c r="R251" s="19"/>
      <c r="S251" s="11"/>
      <c r="T251" s="17"/>
      <c r="U251" s="17"/>
      <c r="V251" s="19"/>
      <c r="W251" s="25"/>
      <c r="X251" s="25"/>
      <c r="Y251" s="25"/>
      <c r="Z251" s="17"/>
      <c r="AA251" s="17"/>
      <c r="AB251" s="17"/>
      <c r="AC251" s="17"/>
      <c r="AD251" s="17"/>
      <c r="AE251" s="17"/>
      <c r="AF251" s="17"/>
      <c r="AG251" s="17"/>
      <c r="AH251" s="17"/>
      <c r="AI251" s="17"/>
      <c r="AJ251" s="17"/>
      <c r="AK251" s="17"/>
      <c r="AL251" s="17"/>
      <c r="AM251" s="17"/>
      <c r="AN251" s="17"/>
      <c r="AO251" s="17"/>
      <c r="AP251" s="17"/>
      <c r="AQ251" s="17"/>
      <c r="AR251" s="17"/>
      <c r="AS251" s="17"/>
      <c r="AT251" s="17"/>
      <c r="AU251" s="17"/>
    </row>
    <row r="252" spans="1:47" x14ac:dyDescent="0.3">
      <c r="A252" s="17"/>
      <c r="B252" s="17"/>
      <c r="C252" s="17"/>
      <c r="D252" s="17"/>
      <c r="E252" s="17"/>
      <c r="F252" s="17"/>
      <c r="G252" s="17"/>
      <c r="H252" s="17"/>
      <c r="I252" s="17"/>
      <c r="J252" s="17"/>
      <c r="K252" s="17"/>
      <c r="L252" s="17"/>
      <c r="M252" s="17"/>
      <c r="N252" s="17"/>
      <c r="O252" s="17"/>
      <c r="P252" s="17"/>
      <c r="Q252" s="17"/>
      <c r="R252" s="17"/>
      <c r="S252" s="17"/>
      <c r="T252" s="17"/>
      <c r="U252" s="17"/>
      <c r="V252" s="17"/>
      <c r="W252" s="17"/>
      <c r="X252" s="17"/>
      <c r="Y252" s="17"/>
      <c r="Z252" s="17"/>
      <c r="AA252" s="17"/>
      <c r="AB252" s="17"/>
      <c r="AC252" s="17"/>
      <c r="AD252" s="17"/>
      <c r="AE252" s="17"/>
      <c r="AF252" s="17"/>
      <c r="AG252" s="17"/>
      <c r="AH252" s="17"/>
      <c r="AI252" s="17"/>
      <c r="AJ252" s="17"/>
      <c r="AK252" s="17"/>
      <c r="AL252" s="17"/>
      <c r="AM252" s="17"/>
      <c r="AN252" s="17"/>
      <c r="AO252" s="17"/>
      <c r="AP252" s="17"/>
      <c r="AQ252" s="17"/>
      <c r="AR252" s="17"/>
      <c r="AS252" s="17"/>
      <c r="AT252" s="17"/>
      <c r="AU252" s="17"/>
    </row>
    <row r="253" spans="1:47" x14ac:dyDescent="0.3">
      <c r="A253" s="17"/>
      <c r="B253" s="17"/>
      <c r="C253" s="17"/>
      <c r="D253" s="17"/>
      <c r="E253" s="17"/>
      <c r="F253" s="17"/>
      <c r="G253" s="17"/>
      <c r="H253" s="17"/>
      <c r="I253" s="17"/>
      <c r="J253" s="17"/>
      <c r="K253" s="17"/>
      <c r="L253" s="17"/>
      <c r="M253" s="17"/>
      <c r="N253" s="17"/>
      <c r="O253" s="17"/>
      <c r="P253" s="17"/>
      <c r="Q253" s="17"/>
      <c r="R253" s="17"/>
      <c r="S253" s="17"/>
      <c r="T253" s="17"/>
      <c r="U253" s="17"/>
      <c r="V253" s="17"/>
      <c r="W253" s="17"/>
      <c r="X253" s="17"/>
      <c r="Y253" s="17"/>
      <c r="Z253" s="17"/>
      <c r="AA253" s="17"/>
      <c r="AB253" s="17"/>
      <c r="AC253" s="17"/>
      <c r="AD253" s="17"/>
      <c r="AE253" s="17"/>
      <c r="AF253" s="17"/>
      <c r="AG253" s="17"/>
      <c r="AH253" s="17"/>
      <c r="AI253" s="17"/>
      <c r="AJ253" s="17"/>
      <c r="AK253" s="17"/>
      <c r="AL253" s="17"/>
      <c r="AM253" s="17"/>
      <c r="AN253" s="17"/>
      <c r="AO253" s="17"/>
      <c r="AP253" s="17"/>
      <c r="AQ253" s="17"/>
      <c r="AR253" s="17"/>
      <c r="AS253" s="17"/>
      <c r="AT253" s="17"/>
      <c r="AU253" s="17"/>
    </row>
    <row r="254" spans="1:47" x14ac:dyDescent="0.3">
      <c r="A254" s="17"/>
      <c r="B254" s="17"/>
      <c r="C254" s="17"/>
      <c r="D254" s="17"/>
      <c r="E254" s="17"/>
      <c r="F254" s="17"/>
      <c r="G254" s="17"/>
      <c r="H254" s="17"/>
      <c r="I254" s="17"/>
      <c r="J254" s="17"/>
      <c r="K254" s="17"/>
      <c r="L254" s="17"/>
      <c r="M254" s="17"/>
      <c r="N254" s="17"/>
      <c r="O254" s="17"/>
      <c r="P254" s="17"/>
      <c r="Q254" s="17"/>
      <c r="R254" s="17"/>
      <c r="S254" s="17"/>
      <c r="T254" s="17"/>
      <c r="U254" s="17"/>
      <c r="V254" s="17"/>
      <c r="W254" s="17"/>
      <c r="X254" s="17"/>
      <c r="Y254" s="17"/>
      <c r="Z254" s="17"/>
      <c r="AA254" s="17"/>
      <c r="AB254" s="17"/>
      <c r="AC254" s="17"/>
      <c r="AD254" s="17"/>
      <c r="AE254" s="17"/>
      <c r="AF254" s="17"/>
      <c r="AG254" s="17"/>
      <c r="AH254" s="17"/>
      <c r="AI254" s="17"/>
      <c r="AJ254" s="17"/>
      <c r="AK254" s="17"/>
      <c r="AL254" s="17"/>
      <c r="AM254" s="17"/>
      <c r="AN254" s="17"/>
      <c r="AO254" s="17"/>
      <c r="AP254" s="17"/>
      <c r="AQ254" s="17"/>
      <c r="AR254" s="17"/>
      <c r="AS254" s="17"/>
      <c r="AT254" s="17"/>
      <c r="AU254" s="17"/>
    </row>
    <row r="255" spans="1:47" x14ac:dyDescent="0.3">
      <c r="A255" s="17"/>
      <c r="B255" s="17"/>
      <c r="C255" s="17"/>
      <c r="D255" s="17"/>
      <c r="E255" s="17"/>
      <c r="F255" s="17"/>
      <c r="G255" s="17"/>
      <c r="H255" s="17"/>
      <c r="I255" s="17"/>
      <c r="J255" s="17"/>
      <c r="K255" s="17"/>
      <c r="L255" s="17"/>
      <c r="M255" s="17"/>
      <c r="N255" s="17"/>
      <c r="O255" s="17"/>
      <c r="P255" s="17"/>
      <c r="Q255" s="17"/>
      <c r="R255" s="17"/>
      <c r="S255" s="17"/>
      <c r="T255" s="17"/>
      <c r="U255" s="17"/>
      <c r="V255" s="17"/>
      <c r="W255" s="17"/>
      <c r="X255" s="17"/>
      <c r="Y255" s="17"/>
      <c r="Z255" s="17"/>
      <c r="AA255" s="17"/>
      <c r="AB255" s="17"/>
      <c r="AC255" s="17"/>
      <c r="AD255" s="17"/>
      <c r="AE255" s="17"/>
      <c r="AF255" s="17"/>
      <c r="AG255" s="17"/>
      <c r="AH255" s="17"/>
      <c r="AI255" s="17"/>
      <c r="AJ255" s="17"/>
      <c r="AK255" s="17"/>
      <c r="AL255" s="17"/>
      <c r="AM255" s="17"/>
      <c r="AN255" s="17"/>
      <c r="AO255" s="17"/>
      <c r="AP255" s="17"/>
      <c r="AQ255" s="17"/>
      <c r="AR255" s="17"/>
      <c r="AS255" s="17"/>
      <c r="AT255" s="17"/>
      <c r="AU255" s="17"/>
    </row>
    <row r="256" spans="1:47" x14ac:dyDescent="0.3">
      <c r="A256" s="17"/>
      <c r="B256" s="17"/>
      <c r="C256" s="17"/>
      <c r="D256" s="17"/>
      <c r="E256" s="17"/>
      <c r="F256" s="17"/>
      <c r="G256" s="17"/>
      <c r="H256" s="17"/>
      <c r="I256" s="17"/>
      <c r="J256" s="17"/>
      <c r="K256" s="17"/>
      <c r="L256" s="17"/>
      <c r="M256" s="17"/>
      <c r="N256" s="17"/>
      <c r="O256" s="17"/>
      <c r="P256" s="17"/>
      <c r="Q256" s="17"/>
      <c r="R256" s="17"/>
      <c r="S256" s="17"/>
      <c r="T256" s="17"/>
      <c r="U256" s="17"/>
      <c r="V256" s="17"/>
      <c r="W256" s="17"/>
      <c r="X256" s="17"/>
      <c r="Y256" s="17"/>
      <c r="Z256" s="17"/>
      <c r="AA256" s="17"/>
      <c r="AB256" s="17"/>
      <c r="AC256" s="17"/>
      <c r="AD256" s="17"/>
      <c r="AE256" s="17"/>
      <c r="AF256" s="17"/>
      <c r="AG256" s="17"/>
      <c r="AH256" s="17"/>
      <c r="AI256" s="17"/>
      <c r="AJ256" s="17"/>
      <c r="AK256" s="17"/>
      <c r="AL256" s="17"/>
      <c r="AM256" s="17"/>
      <c r="AN256" s="17"/>
      <c r="AO256" s="17"/>
      <c r="AP256" s="17"/>
      <c r="AQ256" s="17"/>
      <c r="AR256" s="17"/>
      <c r="AS256" s="17"/>
      <c r="AT256" s="17"/>
      <c r="AU256" s="17"/>
    </row>
    <row r="257" spans="1:47" x14ac:dyDescent="0.3">
      <c r="A257" s="17"/>
      <c r="B257" s="17"/>
      <c r="C257" s="17"/>
      <c r="D257" s="17"/>
      <c r="E257" s="17"/>
      <c r="F257" s="17"/>
      <c r="G257" s="17"/>
      <c r="H257" s="17"/>
      <c r="I257" s="17"/>
      <c r="J257" s="17"/>
      <c r="K257" s="17"/>
      <c r="L257" s="17"/>
      <c r="M257" s="17"/>
      <c r="N257" s="17"/>
      <c r="O257" s="17"/>
      <c r="P257" s="17"/>
      <c r="Q257" s="17"/>
      <c r="R257" s="17"/>
      <c r="S257" s="17"/>
      <c r="T257" s="17"/>
      <c r="U257" s="17"/>
      <c r="V257" s="17"/>
      <c r="W257" s="17"/>
      <c r="X257" s="17"/>
      <c r="Y257" s="17"/>
      <c r="Z257" s="17"/>
      <c r="AA257" s="17"/>
      <c r="AB257" s="17"/>
      <c r="AC257" s="17"/>
      <c r="AD257" s="17"/>
      <c r="AE257" s="17"/>
      <c r="AF257" s="17"/>
      <c r="AG257" s="17"/>
      <c r="AH257" s="17"/>
      <c r="AI257" s="17"/>
      <c r="AJ257" s="17"/>
      <c r="AK257" s="17"/>
      <c r="AL257" s="17"/>
      <c r="AM257" s="17"/>
      <c r="AN257" s="17"/>
      <c r="AO257" s="17"/>
      <c r="AP257" s="17"/>
      <c r="AQ257" s="17"/>
      <c r="AR257" s="17"/>
      <c r="AS257" s="17"/>
      <c r="AT257" s="17"/>
      <c r="AU257" s="17"/>
    </row>
    <row r="258" spans="1:47" x14ac:dyDescent="0.3">
      <c r="A258" s="17"/>
      <c r="B258" s="17"/>
      <c r="C258" s="17"/>
      <c r="D258" s="17"/>
      <c r="E258" s="17"/>
      <c r="F258" s="17"/>
      <c r="G258" s="17"/>
      <c r="H258" s="17"/>
      <c r="I258" s="17"/>
      <c r="J258" s="17"/>
      <c r="K258" s="17"/>
      <c r="L258" s="17"/>
      <c r="M258" s="17"/>
      <c r="N258" s="17"/>
      <c r="O258" s="17"/>
      <c r="P258" s="17"/>
      <c r="Q258" s="17"/>
      <c r="R258" s="17"/>
      <c r="S258" s="17"/>
      <c r="T258" s="17"/>
      <c r="U258" s="17"/>
      <c r="V258" s="17"/>
      <c r="W258" s="17"/>
      <c r="X258" s="17"/>
      <c r="Y258" s="17"/>
      <c r="Z258" s="17"/>
      <c r="AA258" s="17"/>
      <c r="AB258" s="17"/>
      <c r="AC258" s="17"/>
      <c r="AD258" s="17"/>
      <c r="AE258" s="17"/>
      <c r="AF258" s="17"/>
      <c r="AG258" s="17"/>
      <c r="AH258" s="17"/>
      <c r="AI258" s="17"/>
      <c r="AJ258" s="17"/>
      <c r="AK258" s="17"/>
      <c r="AL258" s="17"/>
      <c r="AM258" s="17"/>
      <c r="AN258" s="17"/>
      <c r="AO258" s="17"/>
      <c r="AP258" s="17"/>
      <c r="AQ258" s="17"/>
      <c r="AR258" s="17"/>
      <c r="AS258" s="17"/>
      <c r="AT258" s="17"/>
      <c r="AU258" s="17"/>
    </row>
    <row r="259" spans="1:47" x14ac:dyDescent="0.3">
      <c r="A259" s="17"/>
      <c r="B259" s="17"/>
      <c r="C259" s="17"/>
      <c r="D259" s="17"/>
      <c r="E259" s="17"/>
      <c r="F259" s="17"/>
      <c r="G259" s="17"/>
      <c r="H259" s="17"/>
      <c r="I259" s="17"/>
      <c r="J259" s="17"/>
      <c r="K259" s="17"/>
      <c r="L259" s="17"/>
      <c r="M259" s="17"/>
      <c r="N259" s="17"/>
      <c r="O259" s="17"/>
      <c r="P259" s="17"/>
      <c r="Q259" s="17"/>
      <c r="R259" s="17"/>
      <c r="S259" s="17"/>
      <c r="T259" s="17"/>
      <c r="U259" s="17"/>
      <c r="V259" s="17"/>
      <c r="W259" s="17"/>
      <c r="X259" s="17"/>
      <c r="Y259" s="17"/>
      <c r="Z259" s="17"/>
      <c r="AA259" s="17"/>
      <c r="AB259" s="17"/>
      <c r="AC259" s="17"/>
      <c r="AD259" s="17"/>
      <c r="AE259" s="17"/>
      <c r="AF259" s="17"/>
      <c r="AG259" s="17"/>
      <c r="AH259" s="17"/>
      <c r="AI259" s="17"/>
      <c r="AJ259" s="17"/>
      <c r="AK259" s="17"/>
      <c r="AL259" s="17"/>
      <c r="AM259" s="17"/>
      <c r="AN259" s="17"/>
      <c r="AO259" s="17"/>
      <c r="AP259" s="17"/>
      <c r="AQ259" s="17"/>
      <c r="AR259" s="17"/>
      <c r="AS259" s="17"/>
      <c r="AT259" s="17"/>
      <c r="AU259" s="17"/>
    </row>
    <row r="260" spans="1:47" x14ac:dyDescent="0.3">
      <c r="A260" s="17"/>
      <c r="B260" s="17"/>
      <c r="C260" s="17"/>
      <c r="D260" s="17"/>
      <c r="E260" s="17"/>
      <c r="F260" s="17"/>
      <c r="G260" s="17"/>
      <c r="H260" s="17"/>
      <c r="I260" s="17"/>
      <c r="J260" s="17"/>
      <c r="K260" s="17"/>
      <c r="L260" s="17"/>
      <c r="M260" s="17"/>
      <c r="N260" s="17"/>
      <c r="O260" s="17"/>
      <c r="P260" s="17"/>
      <c r="Q260" s="17"/>
      <c r="R260" s="17"/>
      <c r="S260" s="17"/>
      <c r="T260" s="17"/>
      <c r="U260" s="17"/>
      <c r="V260" s="17"/>
      <c r="W260" s="17"/>
      <c r="X260" s="17"/>
      <c r="Y260" s="17"/>
      <c r="Z260" s="17"/>
      <c r="AA260" s="17"/>
      <c r="AB260" s="17"/>
      <c r="AC260" s="17"/>
      <c r="AD260" s="17"/>
      <c r="AE260" s="17"/>
      <c r="AF260" s="17"/>
      <c r="AG260" s="17"/>
      <c r="AH260" s="17"/>
      <c r="AI260" s="17"/>
      <c r="AJ260" s="17"/>
      <c r="AK260" s="17"/>
      <c r="AL260" s="17"/>
      <c r="AM260" s="17"/>
      <c r="AN260" s="17"/>
      <c r="AO260" s="17"/>
      <c r="AP260" s="17"/>
      <c r="AQ260" s="17"/>
      <c r="AR260" s="17"/>
      <c r="AS260" s="17"/>
      <c r="AT260" s="17"/>
      <c r="AU260" s="17"/>
    </row>
    <row r="261" spans="1:47" x14ac:dyDescent="0.3">
      <c r="A261" s="17"/>
      <c r="B261" s="17"/>
      <c r="C261" s="17"/>
      <c r="D261" s="17"/>
      <c r="E261" s="17"/>
      <c r="F261" s="17"/>
      <c r="G261" s="17"/>
      <c r="H261" s="17"/>
      <c r="I261" s="17"/>
      <c r="J261" s="17"/>
      <c r="K261" s="17"/>
      <c r="L261" s="17"/>
      <c r="M261" s="17"/>
      <c r="N261" s="17"/>
      <c r="O261" s="17"/>
      <c r="P261" s="17"/>
      <c r="Q261" s="17"/>
      <c r="R261" s="17"/>
      <c r="S261" s="17"/>
      <c r="T261" s="17"/>
      <c r="U261" s="17"/>
      <c r="V261" s="17"/>
      <c r="W261" s="17"/>
      <c r="X261" s="17"/>
      <c r="Y261" s="17"/>
      <c r="Z261" s="17"/>
      <c r="AA261" s="17"/>
      <c r="AB261" s="17"/>
      <c r="AC261" s="17"/>
      <c r="AD261" s="17"/>
      <c r="AE261" s="17"/>
      <c r="AF261" s="17"/>
      <c r="AG261" s="17"/>
      <c r="AH261" s="17"/>
      <c r="AI261" s="17"/>
      <c r="AJ261" s="17"/>
      <c r="AK261" s="17"/>
      <c r="AL261" s="17"/>
      <c r="AM261" s="17"/>
      <c r="AN261" s="17"/>
      <c r="AO261" s="17"/>
      <c r="AP261" s="17"/>
      <c r="AQ261" s="17"/>
      <c r="AR261" s="17"/>
      <c r="AS261" s="17"/>
      <c r="AT261" s="17"/>
      <c r="AU261" s="17"/>
    </row>
    <row r="262" spans="1:47" x14ac:dyDescent="0.3">
      <c r="A262" s="17"/>
      <c r="B262" s="17"/>
      <c r="C262" s="17"/>
      <c r="D262" s="17"/>
      <c r="E262" s="17"/>
      <c r="F262" s="17"/>
      <c r="G262" s="17"/>
      <c r="H262" s="17"/>
      <c r="I262" s="17"/>
      <c r="J262" s="17"/>
      <c r="K262" s="17"/>
      <c r="L262" s="17"/>
      <c r="M262" s="17"/>
      <c r="N262" s="17"/>
      <c r="O262" s="17"/>
      <c r="P262" s="17"/>
      <c r="Q262" s="17"/>
      <c r="R262" s="17"/>
      <c r="S262" s="17"/>
      <c r="T262" s="17"/>
      <c r="U262" s="17"/>
      <c r="V262" s="17"/>
      <c r="W262" s="17"/>
      <c r="X262" s="17"/>
      <c r="Y262" s="17"/>
      <c r="Z262" s="17"/>
      <c r="AA262" s="17"/>
      <c r="AB262" s="17"/>
      <c r="AC262" s="17"/>
      <c r="AD262" s="17"/>
      <c r="AE262" s="17"/>
      <c r="AF262" s="17"/>
      <c r="AG262" s="17"/>
      <c r="AH262" s="17"/>
      <c r="AI262" s="17"/>
      <c r="AJ262" s="17"/>
      <c r="AK262" s="17"/>
      <c r="AL262" s="17"/>
      <c r="AM262" s="17"/>
      <c r="AN262" s="17"/>
      <c r="AO262" s="17"/>
      <c r="AP262" s="17"/>
      <c r="AQ262" s="17"/>
      <c r="AR262" s="17"/>
      <c r="AS262" s="17"/>
      <c r="AT262" s="17"/>
      <c r="AU262" s="17"/>
    </row>
    <row r="263" spans="1:47" x14ac:dyDescent="0.3">
      <c r="A263" s="17"/>
      <c r="B263" s="17"/>
      <c r="C263" s="17"/>
      <c r="D263" s="17"/>
      <c r="E263" s="17"/>
      <c r="F263" s="17"/>
      <c r="G263" s="17"/>
      <c r="H263" s="17"/>
      <c r="I263" s="17"/>
      <c r="J263" s="17"/>
      <c r="K263" s="17"/>
      <c r="L263" s="17"/>
      <c r="M263" s="17"/>
      <c r="N263" s="17"/>
      <c r="O263" s="17"/>
      <c r="P263" s="17"/>
      <c r="Q263" s="17"/>
      <c r="R263" s="17"/>
      <c r="S263" s="17"/>
      <c r="T263" s="17"/>
      <c r="U263" s="17"/>
      <c r="V263" s="17"/>
      <c r="W263" s="17"/>
      <c r="X263" s="17"/>
      <c r="Y263" s="17"/>
      <c r="Z263" s="17"/>
      <c r="AA263" s="17"/>
      <c r="AB263" s="17"/>
      <c r="AC263" s="17"/>
      <c r="AD263" s="17"/>
      <c r="AE263" s="17"/>
      <c r="AF263" s="17"/>
      <c r="AG263" s="17"/>
      <c r="AH263" s="17"/>
      <c r="AI263" s="17"/>
      <c r="AJ263" s="17"/>
      <c r="AK263" s="17"/>
      <c r="AL263" s="17"/>
      <c r="AM263" s="17"/>
      <c r="AN263" s="17"/>
      <c r="AO263" s="17"/>
      <c r="AP263" s="17"/>
      <c r="AQ263" s="17"/>
      <c r="AR263" s="17"/>
      <c r="AS263" s="17"/>
      <c r="AT263" s="17"/>
      <c r="AU263" s="17"/>
    </row>
    <row r="264" spans="1:47" x14ac:dyDescent="0.3">
      <c r="A264" s="17"/>
      <c r="B264" s="17"/>
      <c r="C264" s="17"/>
      <c r="D264" s="17"/>
      <c r="E264" s="17"/>
      <c r="F264" s="17"/>
      <c r="G264" s="17"/>
      <c r="H264" s="17"/>
      <c r="I264" s="17"/>
      <c r="J264" s="17"/>
      <c r="K264" s="17"/>
      <c r="L264" s="17"/>
      <c r="M264" s="17"/>
      <c r="N264" s="17"/>
      <c r="O264" s="17"/>
      <c r="P264" s="17"/>
      <c r="Q264" s="17"/>
      <c r="R264" s="17"/>
      <c r="S264" s="17"/>
      <c r="T264" s="17"/>
      <c r="U264" s="17"/>
      <c r="V264" s="17"/>
      <c r="W264" s="17"/>
      <c r="X264" s="17"/>
      <c r="Y264" s="17"/>
      <c r="Z264" s="17"/>
      <c r="AA264" s="17"/>
      <c r="AB264" s="17"/>
      <c r="AC264" s="17"/>
      <c r="AD264" s="17"/>
      <c r="AE264" s="17"/>
      <c r="AF264" s="17"/>
      <c r="AG264" s="17"/>
      <c r="AH264" s="17"/>
      <c r="AI264" s="17"/>
      <c r="AJ264" s="17"/>
      <c r="AK264" s="17"/>
      <c r="AL264" s="17"/>
      <c r="AM264" s="17"/>
      <c r="AN264" s="17"/>
      <c r="AO264" s="17"/>
      <c r="AP264" s="17"/>
      <c r="AQ264" s="17"/>
      <c r="AR264" s="17"/>
      <c r="AS264" s="17"/>
      <c r="AT264" s="17"/>
      <c r="AU264" s="17"/>
    </row>
    <row r="265" spans="1:47" x14ac:dyDescent="0.3">
      <c r="A265" s="17"/>
      <c r="B265" s="17"/>
      <c r="C265" s="17"/>
      <c r="D265" s="17"/>
      <c r="E265" s="17"/>
      <c r="F265" s="17"/>
      <c r="G265" s="17"/>
      <c r="H265" s="17"/>
      <c r="I265" s="17"/>
      <c r="J265" s="17"/>
      <c r="K265" s="17"/>
      <c r="L265" s="17"/>
      <c r="M265" s="17"/>
      <c r="N265" s="17"/>
      <c r="O265" s="17"/>
      <c r="P265" s="17"/>
      <c r="Q265" s="17"/>
      <c r="R265" s="17"/>
      <c r="S265" s="17"/>
      <c r="T265" s="17"/>
      <c r="U265" s="17"/>
      <c r="V265" s="17"/>
      <c r="W265" s="17"/>
      <c r="X265" s="17"/>
      <c r="Y265" s="17"/>
      <c r="Z265" s="17"/>
      <c r="AA265" s="17"/>
      <c r="AB265" s="17"/>
      <c r="AC265" s="17"/>
      <c r="AD265" s="17"/>
      <c r="AE265" s="17"/>
      <c r="AF265" s="17"/>
      <c r="AG265" s="17"/>
      <c r="AH265" s="17"/>
      <c r="AI265" s="17"/>
      <c r="AJ265" s="17"/>
      <c r="AK265" s="17"/>
      <c r="AL265" s="17"/>
      <c r="AM265" s="17"/>
      <c r="AN265" s="17"/>
      <c r="AO265" s="17"/>
      <c r="AP265" s="17"/>
      <c r="AQ265" s="17"/>
      <c r="AR265" s="17"/>
      <c r="AS265" s="17"/>
      <c r="AT265" s="17"/>
      <c r="AU265" s="17"/>
    </row>
    <row r="266" spans="1:47" x14ac:dyDescent="0.3">
      <c r="A266" s="17"/>
      <c r="B266" s="17"/>
      <c r="C266" s="17"/>
      <c r="D266" s="17"/>
      <c r="E266" s="17"/>
      <c r="F266" s="17"/>
      <c r="G266" s="17"/>
      <c r="H266" s="17"/>
      <c r="I266" s="17"/>
      <c r="J266" s="17"/>
      <c r="K266" s="17"/>
      <c r="L266" s="17"/>
      <c r="M266" s="17"/>
      <c r="N266" s="17"/>
      <c r="O266" s="17"/>
      <c r="P266" s="17"/>
      <c r="Q266" s="17"/>
      <c r="R266" s="17"/>
      <c r="S266" s="17"/>
      <c r="T266" s="17"/>
      <c r="U266" s="17"/>
      <c r="V266" s="17"/>
      <c r="W266" s="17"/>
      <c r="X266" s="17"/>
      <c r="Y266" s="17"/>
      <c r="Z266" s="17"/>
      <c r="AA266" s="17"/>
      <c r="AB266" s="17"/>
      <c r="AC266" s="17"/>
      <c r="AD266" s="17"/>
      <c r="AE266" s="17"/>
      <c r="AF266" s="17"/>
      <c r="AG266" s="17"/>
      <c r="AH266" s="17"/>
      <c r="AI266" s="17"/>
      <c r="AJ266" s="17"/>
      <c r="AK266" s="17"/>
      <c r="AL266" s="17"/>
      <c r="AM266" s="17"/>
      <c r="AN266" s="17"/>
      <c r="AO266" s="17"/>
      <c r="AP266" s="17"/>
      <c r="AQ266" s="17"/>
      <c r="AR266" s="17"/>
      <c r="AS266" s="17"/>
      <c r="AT266" s="17"/>
      <c r="AU266" s="17"/>
    </row>
  </sheetData>
  <mergeCells count="27">
    <mergeCell ref="C229:E229"/>
    <mergeCell ref="J229:K229"/>
    <mergeCell ref="V245:Y245"/>
    <mergeCell ref="C111:E111"/>
    <mergeCell ref="J111:K111"/>
    <mergeCell ref="V127:Y127"/>
    <mergeCell ref="C169:E169"/>
    <mergeCell ref="J169:K169"/>
    <mergeCell ref="V185:Y185"/>
    <mergeCell ref="C199:E199"/>
    <mergeCell ref="J199:K199"/>
    <mergeCell ref="V215:Y215"/>
    <mergeCell ref="C142:E142"/>
    <mergeCell ref="J142:K142"/>
    <mergeCell ref="V158:Y158"/>
    <mergeCell ref="V96:Y96"/>
    <mergeCell ref="C2:E2"/>
    <mergeCell ref="J2:K2"/>
    <mergeCell ref="V18:Y18"/>
    <mergeCell ref="C28:E28"/>
    <mergeCell ref="J28:K28"/>
    <mergeCell ref="V44:Y44"/>
    <mergeCell ref="C54:E54"/>
    <mergeCell ref="J54:K54"/>
    <mergeCell ref="V70:Y70"/>
    <mergeCell ref="C80:E80"/>
    <mergeCell ref="J80:K80"/>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DD20FA-BA6E-4354-B379-4391D7365FA7}">
  <dimension ref="B2:R58"/>
  <sheetViews>
    <sheetView zoomScale="55" zoomScaleNormal="55" workbookViewId="0">
      <selection activeCell="P19" sqref="P19"/>
    </sheetView>
  </sheetViews>
  <sheetFormatPr defaultRowHeight="14.4" x14ac:dyDescent="0.3"/>
  <cols>
    <col min="12" max="12" width="14.33203125" bestFit="1" customWidth="1"/>
    <col min="13" max="13" width="19.109375" bestFit="1" customWidth="1"/>
    <col min="14" max="14" width="11.109375" bestFit="1" customWidth="1"/>
  </cols>
  <sheetData>
    <row r="2" spans="2:14" x14ac:dyDescent="0.3">
      <c r="B2" s="150" t="s">
        <v>93</v>
      </c>
      <c r="C2" s="150"/>
      <c r="D2" s="150"/>
      <c r="E2" s="150"/>
      <c r="L2" s="151" t="s">
        <v>76</v>
      </c>
      <c r="M2" s="151" t="s">
        <v>77</v>
      </c>
    </row>
    <row r="3" spans="2:14" x14ac:dyDescent="0.3">
      <c r="B3" s="151"/>
      <c r="C3" s="151"/>
      <c r="D3" s="151" t="s">
        <v>17</v>
      </c>
      <c r="E3" s="151" t="s">
        <v>75</v>
      </c>
      <c r="F3" s="151" t="s">
        <v>18</v>
      </c>
      <c r="G3" s="151" t="s">
        <v>75</v>
      </c>
      <c r="H3" s="151" t="s">
        <v>44</v>
      </c>
      <c r="I3" s="151" t="s">
        <v>75</v>
      </c>
      <c r="J3" s="151" t="s">
        <v>70</v>
      </c>
      <c r="K3" s="152" t="s">
        <v>69</v>
      </c>
      <c r="L3" s="151" t="s">
        <v>32</v>
      </c>
      <c r="M3" s="151" t="s">
        <v>32</v>
      </c>
      <c r="N3" s="153" t="s">
        <v>78</v>
      </c>
    </row>
    <row r="4" spans="2:14" x14ac:dyDescent="0.3">
      <c r="B4" s="151">
        <v>1</v>
      </c>
      <c r="C4" s="151" t="s">
        <v>12</v>
      </c>
      <c r="D4" s="168">
        <v>0.25024437927663734</v>
      </c>
      <c r="E4" s="168">
        <f>D4*L4</f>
        <v>2.56</v>
      </c>
      <c r="F4" s="168">
        <v>9.9902248289345061E-2</v>
      </c>
      <c r="G4" s="168">
        <f>F4*L4</f>
        <v>1.022</v>
      </c>
      <c r="H4" s="168">
        <v>0.64985337243401764</v>
      </c>
      <c r="I4" s="168">
        <f>H4*L4</f>
        <v>6.6480000000000006</v>
      </c>
      <c r="J4" s="168">
        <v>1.9687499999999998</v>
      </c>
      <c r="K4" s="168"/>
      <c r="L4" s="168">
        <v>10.23</v>
      </c>
      <c r="M4" s="168">
        <f>SUM(E4,G4,I4)</f>
        <v>10.23</v>
      </c>
      <c r="N4" s="169"/>
    </row>
    <row r="5" spans="2:14" x14ac:dyDescent="0.3">
      <c r="B5" s="151"/>
      <c r="C5" s="151" t="s">
        <v>10</v>
      </c>
      <c r="D5" s="168">
        <v>0.14131838626276161</v>
      </c>
      <c r="E5" s="168">
        <f t="shared" ref="E5:E18" si="0">D5*L5</f>
        <v>0.92695131303641842</v>
      </c>
      <c r="F5" s="168">
        <v>0.14540954490937325</v>
      </c>
      <c r="G5" s="168">
        <f t="shared" ref="G5:G18" si="1">F5*L5</f>
        <v>0.95378649690460737</v>
      </c>
      <c r="H5" s="168">
        <v>0.7132720688278652</v>
      </c>
      <c r="I5" s="168">
        <f t="shared" ref="I5:I18" si="2">H5*L5</f>
        <v>4.6785736678512784</v>
      </c>
      <c r="J5" s="168"/>
      <c r="K5" s="168">
        <v>1.0831333333333333</v>
      </c>
      <c r="L5" s="168">
        <f>(K5*J4)/((K5*J4)+K6)*L4</f>
        <v>6.5593114777923036</v>
      </c>
      <c r="M5" s="168">
        <f t="shared" ref="M5:M18" si="3">SUM(E5,G5,I5)</f>
        <v>6.5593114777923045</v>
      </c>
      <c r="N5" s="169">
        <f t="shared" ref="N5:N18" si="4">ABS(L5-M5)/AVERAGE(L5:M5)</f>
        <v>1.3540726381224745E-16</v>
      </c>
    </row>
    <row r="6" spans="2:14" x14ac:dyDescent="0.3">
      <c r="B6" s="151"/>
      <c r="C6" s="151" t="s">
        <v>11</v>
      </c>
      <c r="D6" s="168">
        <v>0.428003014150241</v>
      </c>
      <c r="E6" s="168">
        <f t="shared" si="0"/>
        <v>1.571065751511588</v>
      </c>
      <c r="F6" s="168">
        <v>1E-3</v>
      </c>
      <c r="G6" s="168">
        <f t="shared" si="1"/>
        <v>3.6706885222076964E-3</v>
      </c>
      <c r="H6" s="168">
        <v>0.55593933413066199</v>
      </c>
      <c r="I6" s="168">
        <f t="shared" si="2"/>
        <v>2.0406801328372102</v>
      </c>
      <c r="J6" s="168"/>
      <c r="K6" s="168">
        <v>1.1933333333333334</v>
      </c>
      <c r="L6" s="168">
        <f>K6/((K5*J4)+K6)*L4</f>
        <v>3.6706885222076964</v>
      </c>
      <c r="M6" s="168">
        <f t="shared" si="3"/>
        <v>3.6154165728710059</v>
      </c>
      <c r="N6" s="169">
        <f t="shared" si="4"/>
        <v>1.5171878147632843E-2</v>
      </c>
    </row>
    <row r="7" spans="2:14" x14ac:dyDescent="0.3">
      <c r="B7" s="151">
        <v>2</v>
      </c>
      <c r="C7" s="151" t="s">
        <v>12</v>
      </c>
      <c r="D7" s="168">
        <v>0.30058708414872803</v>
      </c>
      <c r="E7" s="168">
        <f t="shared" si="0"/>
        <v>3.0720000000000001</v>
      </c>
      <c r="F7" s="168">
        <v>4.9902152641878673E-2</v>
      </c>
      <c r="G7" s="168">
        <f t="shared" si="1"/>
        <v>0.51</v>
      </c>
      <c r="H7" s="168">
        <v>0.64951076320939327</v>
      </c>
      <c r="I7" s="168">
        <f t="shared" si="2"/>
        <v>6.6379999999999981</v>
      </c>
      <c r="J7" s="168">
        <v>0.88000000000000012</v>
      </c>
      <c r="K7" s="168"/>
      <c r="L7" s="168">
        <v>10.219999999999999</v>
      </c>
      <c r="M7" s="168">
        <f t="shared" si="3"/>
        <v>10.219999999999999</v>
      </c>
      <c r="N7" s="169"/>
    </row>
    <row r="8" spans="2:14" x14ac:dyDescent="0.3">
      <c r="B8" s="151"/>
      <c r="C8" s="151" t="s">
        <v>10</v>
      </c>
      <c r="D8" s="168">
        <v>0.19090136456015738</v>
      </c>
      <c r="E8" s="168">
        <f t="shared" si="0"/>
        <v>0.88390473440140405</v>
      </c>
      <c r="F8" s="168">
        <v>9.0260384198242935E-2</v>
      </c>
      <c r="G8" s="168">
        <f t="shared" si="1"/>
        <v>0.41792043291851694</v>
      </c>
      <c r="H8" s="168">
        <v>0.71883825124159972</v>
      </c>
      <c r="I8" s="168">
        <f t="shared" si="2"/>
        <v>3.3283394018959553</v>
      </c>
      <c r="J8" s="168"/>
      <c r="K8" s="168">
        <v>1.0920000000000001</v>
      </c>
      <c r="L8" s="168">
        <f>(K8*J7)/((K8*J7)+K9)*L7</f>
        <v>4.6301645692158759</v>
      </c>
      <c r="M8" s="168">
        <f t="shared" si="3"/>
        <v>4.6301645692158768</v>
      </c>
      <c r="N8" s="169">
        <f t="shared" si="4"/>
        <v>1.9182437393376261E-16</v>
      </c>
    </row>
    <row r="9" spans="2:14" x14ac:dyDescent="0.3">
      <c r="B9" s="151"/>
      <c r="C9" s="151" t="s">
        <v>11</v>
      </c>
      <c r="D9" s="168">
        <v>0.38948910617414195</v>
      </c>
      <c r="E9" s="168">
        <f t="shared" si="0"/>
        <v>2.1771800055966573</v>
      </c>
      <c r="F9" s="168">
        <v>1E-3</v>
      </c>
      <c r="G9" s="168">
        <f t="shared" si="1"/>
        <v>5.5898354307841224E-3</v>
      </c>
      <c r="H9" s="168">
        <v>0.60951924524199863</v>
      </c>
      <c r="I9" s="168">
        <f t="shared" si="2"/>
        <v>3.4071122727985204</v>
      </c>
      <c r="J9" s="168"/>
      <c r="K9" s="168">
        <v>1.1601333333333332</v>
      </c>
      <c r="L9" s="168">
        <f>K9/((K8*J7)+K9)*L7</f>
        <v>5.589835430784122</v>
      </c>
      <c r="M9" s="168">
        <f t="shared" si="3"/>
        <v>5.5898821138259613</v>
      </c>
      <c r="N9" s="169">
        <f t="shared" si="4"/>
        <v>8.3513812675541579E-6</v>
      </c>
    </row>
    <row r="10" spans="2:14" x14ac:dyDescent="0.3">
      <c r="B10" s="151">
        <v>3</v>
      </c>
      <c r="C10" s="151" t="s">
        <v>12</v>
      </c>
      <c r="D10" s="168">
        <v>0.24975024975024976</v>
      </c>
      <c r="E10" s="168">
        <f t="shared" si="0"/>
        <v>2.5</v>
      </c>
      <c r="F10" s="168">
        <v>4.9950049950049952E-2</v>
      </c>
      <c r="G10" s="168">
        <f t="shared" si="1"/>
        <v>0.5</v>
      </c>
      <c r="H10" s="168">
        <v>0.70029970029970035</v>
      </c>
      <c r="I10" s="168">
        <f t="shared" si="2"/>
        <v>7.0100000000000007</v>
      </c>
      <c r="J10" s="168">
        <v>1.5405405405405406</v>
      </c>
      <c r="K10" s="168"/>
      <c r="L10" s="168">
        <v>10.01</v>
      </c>
      <c r="M10" s="168">
        <f t="shared" si="3"/>
        <v>10.010000000000002</v>
      </c>
      <c r="N10" s="169"/>
    </row>
    <row r="11" spans="2:14" x14ac:dyDescent="0.3">
      <c r="B11" s="151"/>
      <c r="C11" s="151" t="s">
        <v>10</v>
      </c>
      <c r="D11" s="168">
        <v>0.17112661819258931</v>
      </c>
      <c r="E11" s="168">
        <f t="shared" si="0"/>
        <v>1.0188084145024285</v>
      </c>
      <c r="F11" s="168">
        <v>8.6337103120981432E-2</v>
      </c>
      <c r="G11" s="168">
        <f t="shared" si="1"/>
        <v>0.51401101752870926</v>
      </c>
      <c r="H11" s="168">
        <v>0.74253627868642924</v>
      </c>
      <c r="I11" s="168">
        <f t="shared" si="2"/>
        <v>4.4207161737262384</v>
      </c>
      <c r="J11" s="168"/>
      <c r="K11" s="168">
        <v>1.0862000000000001</v>
      </c>
      <c r="L11" s="168">
        <f>(K11*J10)/((K11*J10)+K12)*L10</f>
        <v>5.9535356057573763</v>
      </c>
      <c r="M11" s="168">
        <f t="shared" si="3"/>
        <v>5.9535356057573763</v>
      </c>
      <c r="N11" s="169">
        <f t="shared" si="4"/>
        <v>0</v>
      </c>
    </row>
    <row r="12" spans="2:14" x14ac:dyDescent="0.3">
      <c r="B12" s="151"/>
      <c r="C12" s="151" t="s">
        <v>11</v>
      </c>
      <c r="D12" s="168">
        <v>0.33137956644433736</v>
      </c>
      <c r="E12" s="168">
        <f t="shared" si="0"/>
        <v>1.3442294122610119</v>
      </c>
      <c r="F12" s="168">
        <v>1.2671609602289391E-2</v>
      </c>
      <c r="G12" s="168">
        <f t="shared" si="1"/>
        <v>5.1401933169429835E-2</v>
      </c>
      <c r="H12" s="168">
        <v>0.65594882395337328</v>
      </c>
      <c r="I12" s="168">
        <f t="shared" si="2"/>
        <v>2.6608330488121812</v>
      </c>
      <c r="J12" s="168"/>
      <c r="K12" s="168">
        <v>1.1401333333333332</v>
      </c>
      <c r="L12" s="168">
        <f>K12/((K11*J10)+K12)*L10</f>
        <v>4.0564643942426226</v>
      </c>
      <c r="M12" s="168">
        <f t="shared" si="3"/>
        <v>4.0564643942426226</v>
      </c>
      <c r="N12" s="169">
        <f t="shared" si="4"/>
        <v>0</v>
      </c>
    </row>
    <row r="13" spans="2:14" x14ac:dyDescent="0.3">
      <c r="B13" s="151">
        <v>4</v>
      </c>
      <c r="C13" s="151" t="s">
        <v>12</v>
      </c>
      <c r="D13" s="168">
        <v>0.30029910269192422</v>
      </c>
      <c r="E13" s="168">
        <f t="shared" si="0"/>
        <v>3.0119999999999996</v>
      </c>
      <c r="F13" s="168">
        <v>9.9900299102691936E-2</v>
      </c>
      <c r="G13" s="168">
        <f t="shared" si="1"/>
        <v>1.002</v>
      </c>
      <c r="H13" s="168">
        <v>0.59980059820538378</v>
      </c>
      <c r="I13" s="168">
        <f t="shared" si="2"/>
        <v>6.0159999999999991</v>
      </c>
      <c r="J13" s="168">
        <v>1.3076923076923077</v>
      </c>
      <c r="K13" s="168"/>
      <c r="L13" s="168">
        <v>10.029999999999999</v>
      </c>
      <c r="M13" s="168">
        <f t="shared" si="3"/>
        <v>10.029999999999998</v>
      </c>
      <c r="N13" s="169"/>
    </row>
    <row r="14" spans="2:14" x14ac:dyDescent="0.3">
      <c r="B14" s="151"/>
      <c r="C14" s="151" t="s">
        <v>10</v>
      </c>
      <c r="D14" s="168">
        <v>0.13691669226407471</v>
      </c>
      <c r="E14" s="168">
        <f t="shared" si="0"/>
        <v>0.74283461425779662</v>
      </c>
      <c r="F14" s="168">
        <v>0.19659116876943217</v>
      </c>
      <c r="G14" s="168">
        <f t="shared" si="1"/>
        <v>1.0665954793712782</v>
      </c>
      <c r="H14" s="168">
        <v>0.66649213896649306</v>
      </c>
      <c r="I14" s="168">
        <f t="shared" si="2"/>
        <v>3.6160195135311142</v>
      </c>
      <c r="J14" s="168"/>
      <c r="K14" s="168">
        <v>1.0883333333333332</v>
      </c>
      <c r="L14" s="168">
        <f>(K14*J13)/((K14*J13)+K15)*L13</f>
        <v>5.4254496071601892</v>
      </c>
      <c r="M14" s="168">
        <f t="shared" si="3"/>
        <v>5.4254496071601892</v>
      </c>
      <c r="N14" s="169">
        <f t="shared" si="4"/>
        <v>0</v>
      </c>
    </row>
    <row r="15" spans="2:14" x14ac:dyDescent="0.3">
      <c r="B15" s="151"/>
      <c r="C15" s="151" t="s">
        <v>11</v>
      </c>
      <c r="D15" s="168">
        <v>0.48986493746420751</v>
      </c>
      <c r="E15" s="168">
        <f t="shared" si="0"/>
        <v>2.2556077902392655</v>
      </c>
      <c r="F15" s="168">
        <v>2.0447826056263752E-3</v>
      </c>
      <c r="G15" s="168">
        <f t="shared" si="1"/>
        <v>9.415304550008937E-3</v>
      </c>
      <c r="H15" s="168">
        <v>0.50809027993016598</v>
      </c>
      <c r="I15" s="168">
        <f t="shared" si="2"/>
        <v>2.3395272980505348</v>
      </c>
      <c r="J15" s="168"/>
      <c r="K15" s="168">
        <v>1.2078666666666666</v>
      </c>
      <c r="L15" s="168">
        <f>K15/((K14*J13)+K15)*L13</f>
        <v>4.6045503928398102</v>
      </c>
      <c r="M15" s="168">
        <f t="shared" si="3"/>
        <v>4.6045503928398093</v>
      </c>
      <c r="N15" s="169">
        <f t="shared" si="4"/>
        <v>1.9289145387164504E-16</v>
      </c>
    </row>
    <row r="16" spans="2:14" x14ac:dyDescent="0.3">
      <c r="B16" s="151">
        <v>5</v>
      </c>
      <c r="C16" s="151" t="s">
        <v>12</v>
      </c>
      <c r="D16" s="168">
        <v>0.3</v>
      </c>
      <c r="E16" s="168">
        <f t="shared" si="0"/>
        <v>4.5</v>
      </c>
      <c r="F16" s="168">
        <v>0.15</v>
      </c>
      <c r="G16" s="168">
        <f t="shared" si="1"/>
        <v>2.25</v>
      </c>
      <c r="H16" s="168">
        <v>0.55000000000000004</v>
      </c>
      <c r="I16" s="168">
        <f t="shared" si="2"/>
        <v>8.25</v>
      </c>
      <c r="J16" s="168">
        <v>1.857142857142857</v>
      </c>
      <c r="K16" s="168"/>
      <c r="L16" s="168">
        <v>15</v>
      </c>
      <c r="M16" s="168">
        <f t="shared" si="3"/>
        <v>15</v>
      </c>
      <c r="N16" s="169"/>
    </row>
    <row r="17" spans="2:18" x14ac:dyDescent="0.3">
      <c r="B17" s="151"/>
      <c r="C17" s="151" t="s">
        <v>10</v>
      </c>
      <c r="D17" s="168">
        <v>0.13133916557971617</v>
      </c>
      <c r="E17" s="168">
        <f t="shared" si="0"/>
        <v>1.2287206773807742</v>
      </c>
      <c r="F17" s="168">
        <v>0.24394454389649806</v>
      </c>
      <c r="G17" s="168">
        <f t="shared" si="1"/>
        <v>2.2821806724356142</v>
      </c>
      <c r="H17" s="168">
        <v>0.62628560458625959</v>
      </c>
      <c r="I17" s="168">
        <f t="shared" si="2"/>
        <v>5.859105841768053</v>
      </c>
      <c r="J17" s="168"/>
      <c r="K17" s="168">
        <v>1.0973333333333333</v>
      </c>
      <c r="L17" s="168">
        <f>(K17*J16)/((K17*J16)+K18)*L16</f>
        <v>9.3553257473301326</v>
      </c>
      <c r="M17" s="168">
        <f t="shared" si="3"/>
        <v>9.3700071915844418</v>
      </c>
      <c r="N17" s="169">
        <f t="shared" si="4"/>
        <v>1.568083654608739E-3</v>
      </c>
    </row>
    <row r="18" spans="2:18" x14ac:dyDescent="0.3">
      <c r="B18" s="151"/>
      <c r="C18" s="151" t="s">
        <v>11</v>
      </c>
      <c r="D18" s="168">
        <v>0.55815312075381984</v>
      </c>
      <c r="E18" s="168">
        <f t="shared" si="0"/>
        <v>3.1505925497664231</v>
      </c>
      <c r="F18" s="168">
        <v>0</v>
      </c>
      <c r="G18" s="168">
        <f t="shared" si="1"/>
        <v>0</v>
      </c>
      <c r="H18" s="168">
        <v>0.44047168212079874</v>
      </c>
      <c r="I18" s="168">
        <f t="shared" si="2"/>
        <v>2.4863191630974599</v>
      </c>
      <c r="J18" s="168"/>
      <c r="K18" s="168">
        <v>1.2295999999999998</v>
      </c>
      <c r="L18" s="168">
        <f>K18/((K17*J16)+K18)*L16</f>
        <v>5.6446742526698692</v>
      </c>
      <c r="M18" s="168">
        <f t="shared" si="3"/>
        <v>5.636911712863883</v>
      </c>
      <c r="N18" s="169">
        <f t="shared" si="4"/>
        <v>1.3761433595775325E-3</v>
      </c>
    </row>
    <row r="19" spans="2:18" ht="15" thickBot="1" x14ac:dyDescent="0.35">
      <c r="D19" s="3"/>
      <c r="E19" s="3"/>
      <c r="F19" s="3"/>
      <c r="G19" s="3"/>
      <c r="H19" s="3"/>
      <c r="I19" s="3"/>
      <c r="J19" s="3"/>
      <c r="K19" s="3"/>
      <c r="L19" s="3"/>
      <c r="M19" s="154" t="s">
        <v>22</v>
      </c>
      <c r="N19" s="155">
        <f>AVERAGE(N5:N6,N8:N9,N11:N12,N14:N15,N17:N18)</f>
        <v>1.812445654308719E-3</v>
      </c>
    </row>
    <row r="20" spans="2:18" ht="15" thickTop="1" x14ac:dyDescent="0.3">
      <c r="D20" s="3"/>
      <c r="E20" s="3"/>
      <c r="F20" s="3"/>
      <c r="G20" s="3"/>
      <c r="H20" s="3"/>
      <c r="I20" s="3"/>
      <c r="J20" s="3"/>
      <c r="K20" s="3"/>
      <c r="L20" s="3"/>
      <c r="M20" s="3"/>
    </row>
    <row r="21" spans="2:18" x14ac:dyDescent="0.3">
      <c r="B21" s="157" t="s">
        <v>94</v>
      </c>
      <c r="C21" s="157"/>
      <c r="D21" s="158"/>
      <c r="E21" s="158"/>
      <c r="F21" s="3"/>
      <c r="G21" s="3"/>
      <c r="H21" s="3"/>
      <c r="I21" s="3"/>
      <c r="J21" s="3"/>
      <c r="K21" s="3"/>
      <c r="L21" s="92" t="s">
        <v>76</v>
      </c>
      <c r="M21" s="92" t="s">
        <v>77</v>
      </c>
    </row>
    <row r="22" spans="2:18" x14ac:dyDescent="0.3">
      <c r="B22" s="92"/>
      <c r="C22" s="92"/>
      <c r="D22" s="159" t="s">
        <v>17</v>
      </c>
      <c r="E22" s="159" t="s">
        <v>75</v>
      </c>
      <c r="F22" s="159" t="s">
        <v>18</v>
      </c>
      <c r="G22" s="159" t="s">
        <v>75</v>
      </c>
      <c r="H22" s="159" t="s">
        <v>44</v>
      </c>
      <c r="I22" s="159" t="s">
        <v>75</v>
      </c>
      <c r="J22" s="159" t="s">
        <v>70</v>
      </c>
      <c r="K22" s="159" t="s">
        <v>69</v>
      </c>
      <c r="L22" s="159" t="s">
        <v>32</v>
      </c>
      <c r="M22" s="159" t="s">
        <v>32</v>
      </c>
      <c r="N22" s="92" t="s">
        <v>78</v>
      </c>
    </row>
    <row r="23" spans="2:18" x14ac:dyDescent="0.3">
      <c r="B23" s="92">
        <v>1</v>
      </c>
      <c r="C23" s="92" t="s">
        <v>12</v>
      </c>
      <c r="D23" s="110">
        <v>0.24975222993062438</v>
      </c>
      <c r="E23" s="110">
        <f>D23*L23</f>
        <v>2.52</v>
      </c>
      <c r="F23" s="110">
        <v>4.9950445986124879E-2</v>
      </c>
      <c r="G23" s="110">
        <f>F23*L23</f>
        <v>0.504</v>
      </c>
      <c r="H23" s="110">
        <v>0.70029732408325074</v>
      </c>
      <c r="I23" s="110">
        <f>H23*L23</f>
        <v>7.0659999999999998</v>
      </c>
      <c r="J23" s="110">
        <v>1.375</v>
      </c>
      <c r="K23" s="110"/>
      <c r="L23" s="110">
        <v>10.09</v>
      </c>
      <c r="M23" s="110">
        <f>SUM(E23,G23,I23)</f>
        <v>10.09</v>
      </c>
      <c r="N23" s="111"/>
    </row>
    <row r="24" spans="2:18" x14ac:dyDescent="0.3">
      <c r="B24" s="92"/>
      <c r="C24" s="92" t="s">
        <v>10</v>
      </c>
      <c r="D24" s="110">
        <v>0.17720705010776616</v>
      </c>
      <c r="E24" s="110">
        <f t="shared" ref="E24:E37" si="5">D24*L24</f>
        <v>1.0100908731529896</v>
      </c>
      <c r="F24" s="110">
        <v>7.1653624479604452E-2</v>
      </c>
      <c r="G24" s="110">
        <f t="shared" ref="G24:G37" si="6">F24*L24</f>
        <v>0.40842998103723954</v>
      </c>
      <c r="H24" s="110">
        <v>0.7511393254126294</v>
      </c>
      <c r="I24" s="110">
        <f t="shared" ref="I24:I37" si="7">H24*L24</f>
        <v>4.2815394568341691</v>
      </c>
      <c r="J24" s="110"/>
      <c r="K24" s="110">
        <v>1.0774666666666668</v>
      </c>
      <c r="L24" s="110">
        <f>(K24*J23)/((K24*J23)+K25)*L23</f>
        <v>5.7000603110243979</v>
      </c>
      <c r="M24" s="110">
        <f t="shared" ref="M24:M37" si="8">SUM(E24,G24,I24)</f>
        <v>5.7000603110243979</v>
      </c>
      <c r="N24" s="111">
        <f t="shared" ref="N24:N37" si="9">ABS(L24-M24)/AVERAGE(L24:M24)</f>
        <v>0</v>
      </c>
    </row>
    <row r="25" spans="2:18" x14ac:dyDescent="0.3">
      <c r="B25" s="92"/>
      <c r="C25" s="92" t="s">
        <v>11</v>
      </c>
      <c r="D25" s="110">
        <v>0.34554341064230315</v>
      </c>
      <c r="E25" s="110">
        <f t="shared" si="5"/>
        <v>1.5169147326426411</v>
      </c>
      <c r="F25" s="110">
        <v>1E-3</v>
      </c>
      <c r="G25" s="110">
        <f t="shared" si="6"/>
        <v>4.3899396889756021E-3</v>
      </c>
      <c r="H25" s="110">
        <v>0.65082524550651433</v>
      </c>
      <c r="I25" s="110">
        <f t="shared" si="7"/>
        <v>2.8570835758363371</v>
      </c>
      <c r="J25" s="110"/>
      <c r="K25" s="110">
        <v>1.141</v>
      </c>
      <c r="L25" s="110">
        <f>K25/((K24*J23)+K25)*L23</f>
        <v>4.3899396889756019</v>
      </c>
      <c r="M25" s="110">
        <f t="shared" si="8"/>
        <v>4.3783882481679539</v>
      </c>
      <c r="N25" s="111">
        <f t="shared" si="9"/>
        <v>2.6348103972514332E-3</v>
      </c>
    </row>
    <row r="26" spans="2:18" x14ac:dyDescent="0.3">
      <c r="B26" s="92">
        <v>2</v>
      </c>
      <c r="C26" s="92" t="s">
        <v>12</v>
      </c>
      <c r="D26" s="110">
        <v>0.25172074729596855</v>
      </c>
      <c r="E26" s="110">
        <f t="shared" si="5"/>
        <v>2.56</v>
      </c>
      <c r="F26" s="110">
        <v>9.9311701081612594E-2</v>
      </c>
      <c r="G26" s="110">
        <f t="shared" si="6"/>
        <v>1.01</v>
      </c>
      <c r="H26" s="110">
        <v>0.64896755162241893</v>
      </c>
      <c r="I26" s="110">
        <f t="shared" si="7"/>
        <v>6.6000000000000005</v>
      </c>
      <c r="J26" s="110">
        <v>1.8636363636363635</v>
      </c>
      <c r="K26" s="110"/>
      <c r="L26" s="110">
        <v>10.17</v>
      </c>
      <c r="M26" s="110">
        <f t="shared" si="8"/>
        <v>10.170000000000002</v>
      </c>
      <c r="N26" s="111"/>
    </row>
    <row r="27" spans="2:18" x14ac:dyDescent="0.3">
      <c r="B27" s="92"/>
      <c r="C27" s="92" t="s">
        <v>10</v>
      </c>
      <c r="D27" s="110">
        <v>0.15700016117635504</v>
      </c>
      <c r="E27" s="110">
        <f t="shared" si="5"/>
        <v>1.0073954327347221</v>
      </c>
      <c r="F27" s="110">
        <v>0.13116430539687685</v>
      </c>
      <c r="G27" s="110">
        <f t="shared" si="6"/>
        <v>0.84161902258311849</v>
      </c>
      <c r="H27" s="110">
        <v>0.71183553342676797</v>
      </c>
      <c r="I27" s="110">
        <f t="shared" si="7"/>
        <v>4.5675103761639271</v>
      </c>
      <c r="J27" s="110"/>
      <c r="K27" s="110">
        <v>1.0764666666666667</v>
      </c>
      <c r="L27" s="110">
        <f>(K27*J26)/((K27*J26)+K28)*L26</f>
        <v>6.4165248314817687</v>
      </c>
      <c r="M27" s="110">
        <f t="shared" si="8"/>
        <v>6.4165248314817678</v>
      </c>
      <c r="N27" s="111">
        <f t="shared" si="9"/>
        <v>1.3842047572891855E-16</v>
      </c>
    </row>
    <row r="28" spans="2:18" x14ac:dyDescent="0.3">
      <c r="B28" s="92"/>
      <c r="C28" s="92" t="s">
        <v>11</v>
      </c>
      <c r="D28" s="110">
        <v>0.42912956622280746</v>
      </c>
      <c r="E28" s="110">
        <f t="shared" si="5"/>
        <v>1.6107271708943076</v>
      </c>
      <c r="F28" s="110">
        <v>1E-3</v>
      </c>
      <c r="G28" s="110">
        <f t="shared" si="6"/>
        <v>3.7534751685182315E-3</v>
      </c>
      <c r="H28" s="110">
        <v>0.55560249270503437</v>
      </c>
      <c r="I28" s="110">
        <f t="shared" si="7"/>
        <v>2.0854401599351782</v>
      </c>
      <c r="J28" s="110"/>
      <c r="K28" s="110">
        <v>1.1735333333333333</v>
      </c>
      <c r="L28" s="110">
        <f>K28/((K27*J26)+K28)*L26</f>
        <v>3.7534751685182313</v>
      </c>
      <c r="M28" s="110">
        <f t="shared" si="8"/>
        <v>3.699920805998004</v>
      </c>
      <c r="N28" s="111">
        <f t="shared" si="9"/>
        <v>1.437045950687015E-2</v>
      </c>
    </row>
    <row r="29" spans="2:18" x14ac:dyDescent="0.3">
      <c r="B29" s="92">
        <v>3</v>
      </c>
      <c r="C29" s="92" t="s">
        <v>12</v>
      </c>
      <c r="D29" s="110">
        <v>0.29940119760479045</v>
      </c>
      <c r="E29" s="110">
        <f t="shared" si="5"/>
        <v>3</v>
      </c>
      <c r="F29" s="110">
        <v>0.14990019960079842</v>
      </c>
      <c r="G29" s="110">
        <f t="shared" si="6"/>
        <v>1.5020000000000002</v>
      </c>
      <c r="H29" s="110">
        <v>0.55069860279441107</v>
      </c>
      <c r="I29" s="110">
        <f t="shared" si="7"/>
        <v>5.5179999999999989</v>
      </c>
      <c r="J29" s="110">
        <v>1.6323529411764703</v>
      </c>
      <c r="K29" s="110"/>
      <c r="L29" s="110">
        <v>10.02</v>
      </c>
      <c r="M29" s="110">
        <f t="shared" si="8"/>
        <v>10.02</v>
      </c>
      <c r="N29" s="111"/>
    </row>
    <row r="30" spans="2:18" x14ac:dyDescent="0.3">
      <c r="B30" s="92"/>
      <c r="C30" s="92" t="s">
        <v>10</v>
      </c>
      <c r="D30" s="110">
        <v>0.1273460846302151</v>
      </c>
      <c r="E30" s="110">
        <f t="shared" si="5"/>
        <v>0.75466975983361173</v>
      </c>
      <c r="F30" s="110">
        <v>0.24977483246073254</v>
      </c>
      <c r="G30" s="110">
        <f t="shared" si="6"/>
        <v>1.4801987306714357</v>
      </c>
      <c r="H30" s="110">
        <v>0.62287908290905236</v>
      </c>
      <c r="I30" s="110">
        <f t="shared" si="7"/>
        <v>3.6912639227921971</v>
      </c>
      <c r="J30" s="110"/>
      <c r="K30" s="110">
        <v>1.0888666666666669</v>
      </c>
      <c r="L30" s="110">
        <f>(K30*J29)/((K30*J29)+K31)*L29</f>
        <v>5.9261324132972444</v>
      </c>
      <c r="M30" s="110">
        <f t="shared" si="8"/>
        <v>5.9261324132972444</v>
      </c>
      <c r="N30" s="111">
        <f t="shared" si="9"/>
        <v>0</v>
      </c>
    </row>
    <row r="31" spans="2:18" x14ac:dyDescent="0.3">
      <c r="B31" s="92"/>
      <c r="C31" s="92" t="s">
        <v>11</v>
      </c>
      <c r="D31" s="110">
        <v>0.56385117312134425</v>
      </c>
      <c r="E31" s="110">
        <f t="shared" si="5"/>
        <v>2.3083320413657948</v>
      </c>
      <c r="F31" s="110">
        <v>1E-3</v>
      </c>
      <c r="G31" s="110">
        <f t="shared" si="6"/>
        <v>4.0938675867027551E-3</v>
      </c>
      <c r="H31" s="110">
        <v>0.42979546001220759</v>
      </c>
      <c r="I31" s="110">
        <f t="shared" si="7"/>
        <v>1.7595257026559767</v>
      </c>
      <c r="J31" s="110"/>
      <c r="K31" s="110">
        <v>1.2278666666666667</v>
      </c>
      <c r="L31" s="110">
        <f>K31/((K30*J29)+K31)*L29</f>
        <v>4.0938675867027552</v>
      </c>
      <c r="M31" s="110">
        <f t="shared" si="8"/>
        <v>4.0719516116084744</v>
      </c>
      <c r="N31" s="111">
        <f t="shared" si="9"/>
        <v>5.3677345927064411E-3</v>
      </c>
      <c r="R31" s="81"/>
    </row>
    <row r="32" spans="2:18" x14ac:dyDescent="0.3">
      <c r="B32" s="92">
        <v>4</v>
      </c>
      <c r="C32" s="92" t="s">
        <v>12</v>
      </c>
      <c r="D32" s="110">
        <v>0.3</v>
      </c>
      <c r="E32" s="110">
        <f t="shared" si="5"/>
        <v>3</v>
      </c>
      <c r="F32" s="110">
        <v>0.2</v>
      </c>
      <c r="G32" s="110">
        <f t="shared" si="6"/>
        <v>2</v>
      </c>
      <c r="H32" s="110">
        <v>0.5</v>
      </c>
      <c r="I32" s="110">
        <f t="shared" si="7"/>
        <v>5</v>
      </c>
      <c r="J32" s="110">
        <v>1.9833333333333332</v>
      </c>
      <c r="K32" s="110"/>
      <c r="L32" s="110">
        <v>10</v>
      </c>
      <c r="M32" s="110">
        <f t="shared" si="8"/>
        <v>10</v>
      </c>
      <c r="N32" s="111"/>
    </row>
    <row r="33" spans="2:14" x14ac:dyDescent="0.3">
      <c r="B33" s="92"/>
      <c r="C33" s="92" t="s">
        <v>10</v>
      </c>
      <c r="D33" s="110">
        <v>0.11217741051405894</v>
      </c>
      <c r="E33" s="110">
        <f t="shared" si="5"/>
        <v>0.7091431417574825</v>
      </c>
      <c r="F33" s="110">
        <v>0.31725463897325273</v>
      </c>
      <c r="G33" s="110">
        <f t="shared" si="6"/>
        <v>2.0055637796206058</v>
      </c>
      <c r="H33" s="110">
        <v>0.57056795051268827</v>
      </c>
      <c r="I33" s="110">
        <f t="shared" si="7"/>
        <v>3.6069146823636671</v>
      </c>
      <c r="J33" s="110"/>
      <c r="K33" s="110">
        <v>1.0706666666666667</v>
      </c>
      <c r="L33" s="110">
        <f>(K33*J32)/((K33*J32)+K34)*L32</f>
        <v>6.3216216037417556</v>
      </c>
      <c r="M33" s="110">
        <f t="shared" si="8"/>
        <v>6.3216216037417556</v>
      </c>
      <c r="N33" s="111">
        <f t="shared" si="9"/>
        <v>0</v>
      </c>
    </row>
    <row r="34" spans="2:14" x14ac:dyDescent="0.3">
      <c r="B34" s="92"/>
      <c r="C34" s="92" t="s">
        <v>11</v>
      </c>
      <c r="D34" s="110">
        <v>0.62623819397190306</v>
      </c>
      <c r="E34" s="110">
        <f t="shared" si="5"/>
        <v>2.3035410436180288</v>
      </c>
      <c r="F34" s="110">
        <v>1E-3</v>
      </c>
      <c r="G34" s="110">
        <f t="shared" si="6"/>
        <v>3.6783783962582453E-3</v>
      </c>
      <c r="H34" s="110">
        <v>0.35372139423902266</v>
      </c>
      <c r="I34" s="110">
        <f t="shared" si="7"/>
        <v>1.3011211348631666</v>
      </c>
      <c r="J34" s="110"/>
      <c r="K34" s="110">
        <v>1.2356</v>
      </c>
      <c r="L34" s="110">
        <f>K34/((K33*J32)+K34)*L32</f>
        <v>3.6783783962582453</v>
      </c>
      <c r="M34" s="110">
        <f t="shared" si="8"/>
        <v>3.6083405568774536</v>
      </c>
      <c r="N34" s="111">
        <f t="shared" si="9"/>
        <v>1.9223422731475662E-2</v>
      </c>
    </row>
    <row r="35" spans="2:14" x14ac:dyDescent="0.3">
      <c r="B35" s="92">
        <v>5</v>
      </c>
      <c r="C35" s="92" t="s">
        <v>12</v>
      </c>
      <c r="D35" s="110">
        <v>0.30029970029970027</v>
      </c>
      <c r="E35" s="110">
        <f t="shared" si="5"/>
        <v>3.0059999999999998</v>
      </c>
      <c r="F35" s="110">
        <v>9.9900099900099903E-2</v>
      </c>
      <c r="G35" s="110">
        <f t="shared" si="6"/>
        <v>1</v>
      </c>
      <c r="H35" s="110">
        <v>0.59980019980019983</v>
      </c>
      <c r="I35" s="110">
        <f t="shared" si="7"/>
        <v>6.0040000000000004</v>
      </c>
      <c r="J35" s="110">
        <v>1.25</v>
      </c>
      <c r="K35" s="110"/>
      <c r="L35" s="110">
        <v>10.01</v>
      </c>
      <c r="M35" s="110">
        <f t="shared" si="8"/>
        <v>10.010000000000002</v>
      </c>
      <c r="N35" s="111"/>
    </row>
    <row r="36" spans="2:14" x14ac:dyDescent="0.3">
      <c r="B36" s="92"/>
      <c r="C36" s="92" t="s">
        <v>10</v>
      </c>
      <c r="D36" s="110">
        <v>0.15213594567873995</v>
      </c>
      <c r="E36" s="110">
        <f t="shared" si="5"/>
        <v>0.82003444267616876</v>
      </c>
      <c r="F36" s="110">
        <v>0.17602279632989112</v>
      </c>
      <c r="G36" s="110">
        <f t="shared" si="6"/>
        <v>0.94878797408924453</v>
      </c>
      <c r="H36" s="110">
        <v>0.67184125799136896</v>
      </c>
      <c r="I36" s="110">
        <f t="shared" si="7"/>
        <v>3.6213201890314197</v>
      </c>
      <c r="J36" s="110"/>
      <c r="K36" s="110">
        <v>1.0854666666666668</v>
      </c>
      <c r="L36" s="110">
        <f>(K36*J35)/((K36*J35)+K37)*L35</f>
        <v>5.3901426057968331</v>
      </c>
      <c r="M36" s="110">
        <f t="shared" si="8"/>
        <v>5.3901426057968331</v>
      </c>
      <c r="N36" s="111">
        <f t="shared" si="9"/>
        <v>0</v>
      </c>
    </row>
    <row r="37" spans="2:14" x14ac:dyDescent="0.3">
      <c r="B37" s="92"/>
      <c r="C37" s="92" t="s">
        <v>11</v>
      </c>
      <c r="D37" s="110">
        <v>0.47410315860533686</v>
      </c>
      <c r="E37" s="110">
        <f t="shared" si="5"/>
        <v>2.1902889828979424</v>
      </c>
      <c r="F37" s="110">
        <v>1E-3</v>
      </c>
      <c r="G37" s="110">
        <f t="shared" si="6"/>
        <v>4.6198573942031664E-3</v>
      </c>
      <c r="H37" s="110">
        <v>0.50565605246426637</v>
      </c>
      <c r="I37" s="110">
        <f t="shared" si="7"/>
        <v>2.3360588529006252</v>
      </c>
      <c r="J37" s="110"/>
      <c r="K37" s="110">
        <v>1.1629333333333334</v>
      </c>
      <c r="L37" s="110">
        <f>K37/((K36*J35)+K37)*L35</f>
        <v>4.6198573942031667</v>
      </c>
      <c r="M37" s="110">
        <f t="shared" si="8"/>
        <v>4.5309676931927712</v>
      </c>
      <c r="N37" s="111">
        <f t="shared" si="9"/>
        <v>1.9427690981183639E-2</v>
      </c>
    </row>
    <row r="38" spans="2:14" ht="15" thickBot="1" x14ac:dyDescent="0.35">
      <c r="D38" s="3"/>
      <c r="E38" s="3"/>
      <c r="F38" s="3"/>
      <c r="G38" s="3"/>
      <c r="H38" s="3"/>
      <c r="I38" s="3"/>
      <c r="J38" s="3"/>
      <c r="K38" s="3"/>
      <c r="L38" s="3"/>
      <c r="M38" s="112" t="s">
        <v>22</v>
      </c>
      <c r="N38" s="113">
        <f>AVERAGE(N24:N25,N27:N28,N30:N31,N33:N34,N36:N37)</f>
        <v>6.1024118209487468E-3</v>
      </c>
    </row>
    <row r="39" spans="2:14" ht="15" thickTop="1" x14ac:dyDescent="0.3">
      <c r="D39" s="3"/>
      <c r="E39" s="3"/>
      <c r="F39" s="3"/>
      <c r="G39" s="3"/>
      <c r="H39" s="3"/>
      <c r="I39" s="3"/>
      <c r="J39" s="3"/>
      <c r="K39" s="3"/>
      <c r="L39" s="3"/>
      <c r="M39" s="3"/>
    </row>
    <row r="40" spans="2:14" x14ac:dyDescent="0.3">
      <c r="B40" s="160" t="s">
        <v>95</v>
      </c>
      <c r="C40" s="160"/>
      <c r="D40" s="161"/>
      <c r="E40" s="161"/>
      <c r="F40" s="3"/>
      <c r="G40" s="3"/>
      <c r="H40" s="3"/>
      <c r="I40" s="3"/>
      <c r="J40" s="3"/>
      <c r="K40" s="3"/>
      <c r="L40" s="162" t="s">
        <v>76</v>
      </c>
      <c r="M40" s="162" t="s">
        <v>77</v>
      </c>
    </row>
    <row r="41" spans="2:14" x14ac:dyDescent="0.3">
      <c r="B41" s="162"/>
      <c r="C41" s="162"/>
      <c r="D41" s="163" t="s">
        <v>17</v>
      </c>
      <c r="E41" s="163" t="s">
        <v>75</v>
      </c>
      <c r="F41" s="163" t="s">
        <v>18</v>
      </c>
      <c r="G41" s="163" t="s">
        <v>75</v>
      </c>
      <c r="H41" s="163" t="s">
        <v>44</v>
      </c>
      <c r="I41" s="163" t="s">
        <v>75</v>
      </c>
      <c r="J41" s="163" t="s">
        <v>70</v>
      </c>
      <c r="K41" s="163" t="s">
        <v>69</v>
      </c>
      <c r="L41" s="163" t="s">
        <v>32</v>
      </c>
      <c r="M41" s="163" t="s">
        <v>32</v>
      </c>
      <c r="N41" s="162" t="s">
        <v>78</v>
      </c>
    </row>
    <row r="42" spans="2:14" x14ac:dyDescent="0.3">
      <c r="B42" s="162">
        <v>1</v>
      </c>
      <c r="C42" s="162" t="s">
        <v>12</v>
      </c>
      <c r="D42" s="166">
        <v>0.2543186180422265</v>
      </c>
      <c r="E42" s="166">
        <f>D42*L42</f>
        <v>2.65</v>
      </c>
      <c r="F42" s="166">
        <v>4.894433781190019E-2</v>
      </c>
      <c r="G42" s="166">
        <f>F42*L42</f>
        <v>0.51</v>
      </c>
      <c r="H42" s="166">
        <v>0.69673704414587334</v>
      </c>
      <c r="I42" s="166">
        <f>H42*L42</f>
        <v>7.26</v>
      </c>
      <c r="J42" s="166">
        <v>1.2045454545454541</v>
      </c>
      <c r="K42" s="166"/>
      <c r="L42" s="166">
        <v>10.42</v>
      </c>
      <c r="M42" s="166">
        <f>SUM(E42,G42,I42)</f>
        <v>10.42</v>
      </c>
      <c r="N42" s="167"/>
    </row>
    <row r="43" spans="2:14" x14ac:dyDescent="0.3">
      <c r="B43" s="162"/>
      <c r="C43" s="162" t="s">
        <v>10</v>
      </c>
      <c r="D43" s="166">
        <v>0.14800253819463519</v>
      </c>
      <c r="E43" s="166">
        <f t="shared" ref="E43:E56" si="10">D43*L43</f>
        <v>0.82002535851336655</v>
      </c>
      <c r="F43" s="166">
        <v>9.7168578571095635E-2</v>
      </c>
      <c r="G43" s="166">
        <f t="shared" ref="G43:G56" si="11">F43*L43</f>
        <v>0.53837386473879545</v>
      </c>
      <c r="H43" s="166">
        <v>0.75482888323426922</v>
      </c>
      <c r="I43" s="166">
        <f t="shared" ref="I43:I56" si="12">H43*L43</f>
        <v>4.1822176372165929</v>
      </c>
      <c r="J43" s="166"/>
      <c r="K43" s="166">
        <v>1.0681333333333332</v>
      </c>
      <c r="L43" s="166">
        <f>(K43*J42)/((K43*J42)+K44)*L42</f>
        <v>5.5406168604687549</v>
      </c>
      <c r="M43" s="166">
        <f t="shared" ref="M43:M56" si="13">SUM(E43,G43,I43)</f>
        <v>5.5406168604687549</v>
      </c>
      <c r="N43" s="167">
        <f t="shared" ref="N43:N56" si="14">ABS(L43-M43)/AVERAGE(L43:M43)</f>
        <v>0</v>
      </c>
    </row>
    <row r="44" spans="2:14" x14ac:dyDescent="0.3">
      <c r="B44" s="162"/>
      <c r="C44" s="162" t="s">
        <v>11</v>
      </c>
      <c r="D44" s="166">
        <v>0.34825313143033321</v>
      </c>
      <c r="E44" s="166">
        <f t="shared" si="10"/>
        <v>1.6992604577901262</v>
      </c>
      <c r="F44" s="166">
        <v>1E-3</v>
      </c>
      <c r="G44" s="166">
        <f t="shared" si="11"/>
        <v>4.8793831395312444E-3</v>
      </c>
      <c r="H44" s="166">
        <v>0.64975583297843031</v>
      </c>
      <c r="I44" s="166">
        <f t="shared" si="12"/>
        <v>3.1704076562470318</v>
      </c>
      <c r="J44" s="166"/>
      <c r="K44" s="166">
        <v>1.1330666666666669</v>
      </c>
      <c r="L44" s="166">
        <f>K44/((K43*J42)+K44)*L42</f>
        <v>4.8793831395312441</v>
      </c>
      <c r="M44" s="166">
        <f t="shared" si="13"/>
        <v>4.8745474971766889</v>
      </c>
      <c r="N44" s="167">
        <f t="shared" si="14"/>
        <v>9.9152691046557073E-4</v>
      </c>
    </row>
    <row r="45" spans="2:14" x14ac:dyDescent="0.3">
      <c r="B45" s="162">
        <v>2</v>
      </c>
      <c r="C45" s="162" t="s">
        <v>12</v>
      </c>
      <c r="D45" s="166">
        <v>0.24952471482889735</v>
      </c>
      <c r="E45" s="166">
        <f t="shared" si="10"/>
        <v>2.625</v>
      </c>
      <c r="F45" s="166">
        <v>0.10019011406844107</v>
      </c>
      <c r="G45" s="166">
        <f t="shared" si="11"/>
        <v>1.054</v>
      </c>
      <c r="H45" s="166">
        <v>0.6502851711026616</v>
      </c>
      <c r="I45" s="166">
        <f t="shared" si="12"/>
        <v>6.8409999999999993</v>
      </c>
      <c r="J45" s="166">
        <v>1.8115942028985503</v>
      </c>
      <c r="K45" s="166"/>
      <c r="L45" s="166">
        <v>10.52</v>
      </c>
      <c r="M45" s="166">
        <f t="shared" si="13"/>
        <v>10.52</v>
      </c>
      <c r="N45" s="167"/>
    </row>
    <row r="46" spans="2:14" x14ac:dyDescent="0.3">
      <c r="B46" s="162"/>
      <c r="C46" s="162" t="s">
        <v>10</v>
      </c>
      <c r="D46" s="166">
        <v>0.12424210937324466</v>
      </c>
      <c r="E46" s="166">
        <f t="shared" si="10"/>
        <v>0.81214601618211191</v>
      </c>
      <c r="F46" s="166">
        <v>0.16134175197834308</v>
      </c>
      <c r="G46" s="166">
        <f t="shared" si="11"/>
        <v>1.0546590183800555</v>
      </c>
      <c r="H46" s="166">
        <v>0.71441613864841236</v>
      </c>
      <c r="I46" s="166">
        <f t="shared" si="12"/>
        <v>4.6699965400334928</v>
      </c>
      <c r="J46" s="166"/>
      <c r="K46" s="166">
        <v>1.0664666666666667</v>
      </c>
      <c r="L46" s="166">
        <f>(K46*J45)/((K46*J45)+K47)*L45</f>
        <v>6.5368015745956596</v>
      </c>
      <c r="M46" s="166">
        <f t="shared" si="13"/>
        <v>6.5368015745956605</v>
      </c>
      <c r="N46" s="167">
        <f t="shared" si="14"/>
        <v>1.3587354756979361E-16</v>
      </c>
    </row>
    <row r="47" spans="2:14" x14ac:dyDescent="0.3">
      <c r="B47" s="162"/>
      <c r="C47" s="162" t="s">
        <v>11</v>
      </c>
      <c r="D47" s="166">
        <v>0.43907059403520421</v>
      </c>
      <c r="E47" s="166">
        <f t="shared" si="10"/>
        <v>1.7489052988023732</v>
      </c>
      <c r="F47" s="166">
        <v>1E-3</v>
      </c>
      <c r="G47" s="166">
        <f t="shared" si="11"/>
        <v>3.9831984254043388E-3</v>
      </c>
      <c r="H47" s="166">
        <v>0.55917693210282249</v>
      </c>
      <c r="I47" s="166">
        <f t="shared" si="12"/>
        <v>2.2273126754743915</v>
      </c>
      <c r="J47" s="166"/>
      <c r="K47" s="166">
        <v>1.1772666666666669</v>
      </c>
      <c r="L47" s="166">
        <f>K47/((K46*J45)+K47)*L45</f>
        <v>3.9831984254043391</v>
      </c>
      <c r="M47" s="166">
        <f t="shared" si="13"/>
        <v>3.9802011727021691</v>
      </c>
      <c r="N47" s="167">
        <f t="shared" si="14"/>
        <v>7.5275707698572959E-4</v>
      </c>
    </row>
    <row r="48" spans="2:14" x14ac:dyDescent="0.3">
      <c r="B48" s="162">
        <v>3</v>
      </c>
      <c r="C48" s="162" t="s">
        <v>12</v>
      </c>
      <c r="D48" s="166">
        <v>0.30089197224975217</v>
      </c>
      <c r="E48" s="166">
        <f t="shared" si="10"/>
        <v>3.0359999999999991</v>
      </c>
      <c r="F48" s="166">
        <v>0.14945490584737364</v>
      </c>
      <c r="G48" s="166">
        <f t="shared" si="11"/>
        <v>1.508</v>
      </c>
      <c r="H48" s="166">
        <v>0.54965312190287419</v>
      </c>
      <c r="I48" s="166">
        <f t="shared" si="12"/>
        <v>5.5460000000000003</v>
      </c>
      <c r="J48" s="166">
        <v>1.5714285714285714</v>
      </c>
      <c r="K48" s="166"/>
      <c r="L48" s="166">
        <v>10.09</v>
      </c>
      <c r="M48" s="166">
        <f t="shared" si="13"/>
        <v>10.09</v>
      </c>
      <c r="N48" s="167"/>
    </row>
    <row r="49" spans="2:14" x14ac:dyDescent="0.3">
      <c r="B49" s="162"/>
      <c r="C49" s="162" t="s">
        <v>10</v>
      </c>
      <c r="D49" s="166">
        <v>0.12944037758466811</v>
      </c>
      <c r="E49" s="166">
        <f t="shared" si="10"/>
        <v>0.75576081527964656</v>
      </c>
      <c r="F49" s="166">
        <v>0.25018011666158002</v>
      </c>
      <c r="G49" s="166">
        <f t="shared" si="11"/>
        <v>1.4607213951553584</v>
      </c>
      <c r="H49" s="166">
        <v>0.62037950575375189</v>
      </c>
      <c r="I49" s="166">
        <f t="shared" si="12"/>
        <v>3.6221967967032165</v>
      </c>
      <c r="J49" s="166"/>
      <c r="K49" s="166">
        <v>1.0808666666666664</v>
      </c>
      <c r="L49" s="166">
        <f>(K49*J48)/((K49*J48)+K50)*L48</f>
        <v>5.8386790071382215</v>
      </c>
      <c r="M49" s="166">
        <f t="shared" si="13"/>
        <v>5.8386790071382215</v>
      </c>
      <c r="N49" s="167">
        <f t="shared" si="14"/>
        <v>0</v>
      </c>
    </row>
    <row r="50" spans="2:14" x14ac:dyDescent="0.3">
      <c r="B50" s="162"/>
      <c r="C50" s="162" t="s">
        <v>11</v>
      </c>
      <c r="D50" s="166">
        <v>0.56291456354761793</v>
      </c>
      <c r="E50" s="166">
        <f t="shared" si="10"/>
        <v>2.3931305011976143</v>
      </c>
      <c r="F50" s="166">
        <v>1E-3</v>
      </c>
      <c r="G50" s="166">
        <f t="shared" si="11"/>
        <v>4.2513209928617792E-3</v>
      </c>
      <c r="H50" s="166">
        <v>0.431215250194248</v>
      </c>
      <c r="I50" s="166">
        <f t="shared" si="12"/>
        <v>1.833234445592951</v>
      </c>
      <c r="J50" s="166"/>
      <c r="K50" s="166">
        <v>1.2367333333333335</v>
      </c>
      <c r="L50" s="166">
        <f>K50/((K49*J48)+K50)*L48</f>
        <v>4.2513209928617792</v>
      </c>
      <c r="M50" s="166">
        <f t="shared" si="13"/>
        <v>4.2306162677834269</v>
      </c>
      <c r="N50" s="167">
        <f t="shared" si="14"/>
        <v>4.882074564361333E-3</v>
      </c>
    </row>
    <row r="51" spans="2:14" x14ac:dyDescent="0.3">
      <c r="B51" s="162">
        <v>4</v>
      </c>
      <c r="C51" s="162" t="s">
        <v>12</v>
      </c>
      <c r="D51" s="166">
        <v>0.3</v>
      </c>
      <c r="E51" s="166">
        <f t="shared" si="10"/>
        <v>3.0420000000000003</v>
      </c>
      <c r="F51" s="166">
        <v>0.19999999999999998</v>
      </c>
      <c r="G51" s="166">
        <f t="shared" si="11"/>
        <v>2.028</v>
      </c>
      <c r="H51" s="166">
        <v>0.5</v>
      </c>
      <c r="I51" s="166">
        <f t="shared" si="12"/>
        <v>5.07</v>
      </c>
      <c r="J51" s="166">
        <v>2</v>
      </c>
      <c r="K51" s="166"/>
      <c r="L51" s="166">
        <v>10.14</v>
      </c>
      <c r="M51" s="166">
        <f t="shared" si="13"/>
        <v>10.14</v>
      </c>
      <c r="N51" s="167"/>
    </row>
    <row r="52" spans="2:14" x14ac:dyDescent="0.3">
      <c r="B52" s="162"/>
      <c r="C52" s="162" t="s">
        <v>10</v>
      </c>
      <c r="D52" s="166">
        <v>0.1275901410544604</v>
      </c>
      <c r="E52" s="166">
        <f t="shared" si="10"/>
        <v>0.81358578924397806</v>
      </c>
      <c r="F52" s="166">
        <v>0.30791031364825089</v>
      </c>
      <c r="G52" s="166">
        <f t="shared" si="11"/>
        <v>1.9634076228424662</v>
      </c>
      <c r="H52" s="166">
        <v>0.56449954529728863</v>
      </c>
      <c r="I52" s="166">
        <f t="shared" si="12"/>
        <v>3.5995634481862333</v>
      </c>
      <c r="J52" s="166"/>
      <c r="K52" s="166">
        <v>1.0639333333333332</v>
      </c>
      <c r="L52" s="166">
        <f>(K52*J51)/((K52*J51)+K53)*L51</f>
        <v>6.3765568602726779</v>
      </c>
      <c r="M52" s="166">
        <f t="shared" si="13"/>
        <v>6.376556860272677</v>
      </c>
      <c r="N52" s="167">
        <f t="shared" si="14"/>
        <v>1.3928808903652504E-16</v>
      </c>
    </row>
    <row r="53" spans="2:14" x14ac:dyDescent="0.3">
      <c r="B53" s="162"/>
      <c r="C53" s="162" t="s">
        <v>11</v>
      </c>
      <c r="D53" s="166">
        <v>0.64014366446238091</v>
      </c>
      <c r="E53" s="166">
        <f t="shared" si="10"/>
        <v>2.4091442824608573</v>
      </c>
      <c r="F53" s="166">
        <v>1E-3</v>
      </c>
      <c r="G53" s="166">
        <f t="shared" si="11"/>
        <v>3.7634431397273235E-3</v>
      </c>
      <c r="H53" s="166">
        <v>0.35124984374877977</v>
      </c>
      <c r="I53" s="166">
        <f t="shared" si="12"/>
        <v>1.3219088147866396</v>
      </c>
      <c r="J53" s="166"/>
      <c r="K53" s="166">
        <v>1.2558666666666667</v>
      </c>
      <c r="L53" s="166">
        <f>K53/((K52*J51)+K53)*L51</f>
        <v>3.7634431397273236</v>
      </c>
      <c r="M53" s="166">
        <f t="shared" si="13"/>
        <v>3.7348165403872242</v>
      </c>
      <c r="N53" s="167">
        <f t="shared" si="14"/>
        <v>7.6355315930221428E-3</v>
      </c>
    </row>
    <row r="54" spans="2:14" x14ac:dyDescent="0.3">
      <c r="B54" s="162">
        <v>5</v>
      </c>
      <c r="C54" s="162" t="s">
        <v>12</v>
      </c>
      <c r="D54" s="166">
        <v>0.30029850746268655</v>
      </c>
      <c r="E54" s="166">
        <f t="shared" si="10"/>
        <v>3.0180000000000002</v>
      </c>
      <c r="F54" s="166">
        <v>9.9900497512437805E-2</v>
      </c>
      <c r="G54" s="166">
        <f t="shared" si="11"/>
        <v>1.004</v>
      </c>
      <c r="H54" s="166">
        <v>0.59980099502487572</v>
      </c>
      <c r="I54" s="166">
        <f t="shared" si="12"/>
        <v>6.0280000000000014</v>
      </c>
      <c r="J54" s="166">
        <v>1.25</v>
      </c>
      <c r="K54" s="166"/>
      <c r="L54" s="166">
        <v>10.050000000000001</v>
      </c>
      <c r="M54" s="166">
        <f t="shared" si="13"/>
        <v>10.050000000000001</v>
      </c>
      <c r="N54" s="167"/>
    </row>
    <row r="55" spans="2:14" x14ac:dyDescent="0.3">
      <c r="B55" s="162"/>
      <c r="C55" s="162" t="s">
        <v>10</v>
      </c>
      <c r="D55" s="166">
        <v>0.13852663503088306</v>
      </c>
      <c r="E55" s="166">
        <f t="shared" si="10"/>
        <v>0.73520877795846618</v>
      </c>
      <c r="F55" s="166">
        <v>0.18894888454608902</v>
      </c>
      <c r="G55" s="166">
        <f t="shared" si="11"/>
        <v>1.002817100644763</v>
      </c>
      <c r="H55" s="166">
        <v>0.67252448042302804</v>
      </c>
      <c r="I55" s="166">
        <f t="shared" si="12"/>
        <v>3.5693200898782775</v>
      </c>
      <c r="J55" s="166"/>
      <c r="K55" s="166">
        <v>1.0826</v>
      </c>
      <c r="L55" s="166">
        <f>(K55*J54)/((K55*J54)+K56)*L54</f>
        <v>5.3073459684815063</v>
      </c>
      <c r="M55" s="166">
        <f t="shared" si="13"/>
        <v>5.3073459684815063</v>
      </c>
      <c r="N55" s="167">
        <f t="shared" si="14"/>
        <v>0</v>
      </c>
    </row>
    <row r="56" spans="2:14" x14ac:dyDescent="0.3">
      <c r="B56" s="162"/>
      <c r="C56" s="162" t="s">
        <v>11</v>
      </c>
      <c r="D56" s="166">
        <v>0.48533153600175966</v>
      </c>
      <c r="E56" s="166">
        <f t="shared" si="10"/>
        <v>2.3017595658418086</v>
      </c>
      <c r="F56" s="166">
        <v>1E-3</v>
      </c>
      <c r="G56" s="166">
        <f t="shared" si="11"/>
        <v>4.7426540315184942E-3</v>
      </c>
      <c r="H56" s="166">
        <v>0.51016495756070568</v>
      </c>
      <c r="I56" s="166">
        <f t="shared" si="12"/>
        <v>2.4195358927147423</v>
      </c>
      <c r="J56" s="166"/>
      <c r="K56" s="166">
        <v>1.2092666666666667</v>
      </c>
      <c r="L56" s="166">
        <f>K56/((K55*J54)+K56)*L54</f>
        <v>4.7426540315184944</v>
      </c>
      <c r="M56" s="166">
        <f t="shared" si="13"/>
        <v>4.7260381125880695</v>
      </c>
      <c r="N56" s="167">
        <f t="shared" si="14"/>
        <v>3.5096544860774405E-3</v>
      </c>
    </row>
    <row r="57" spans="2:14" ht="15" thickBot="1" x14ac:dyDescent="0.35">
      <c r="M57" s="164" t="s">
        <v>22</v>
      </c>
      <c r="N57" s="165">
        <f>AVERAGE(N43:N44,N46:N47,N49:N50,N52:N53,N55:N56)</f>
        <v>1.7771544630912493E-3</v>
      </c>
    </row>
    <row r="58" spans="2:14" ht="15" thickTop="1" x14ac:dyDescent="0.3"/>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546584D94221548B0A15FA545F36AFC" ma:contentTypeVersion="10" ma:contentTypeDescription="Create a new document." ma:contentTypeScope="" ma:versionID="290b5b2a46ad0f8afc2388c418bb707b">
  <xsd:schema xmlns:xsd="http://www.w3.org/2001/XMLSchema" xmlns:xs="http://www.w3.org/2001/XMLSchema" xmlns:p="http://schemas.microsoft.com/office/2006/metadata/properties" xmlns:ns3="63fd02ab-cfc4-4f9e-a638-b2ef7d8e85ad" xmlns:ns4="9e4cadc0-eff7-4d89-90e3-26cb00012714" targetNamespace="http://schemas.microsoft.com/office/2006/metadata/properties" ma:root="true" ma:fieldsID="8732e139883400d1d0542eccae0582b2" ns3:_="" ns4:_="">
    <xsd:import namespace="63fd02ab-cfc4-4f9e-a638-b2ef7d8e85ad"/>
    <xsd:import namespace="9e4cadc0-eff7-4d89-90e3-26cb00012714"/>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Tags" minOccurs="0"/>
                <xsd:element ref="ns3:MediaServiceOCR" minOccurs="0"/>
                <xsd:element ref="ns3:MediaServiceDateTaken"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3fd02ab-cfc4-4f9e-a638-b2ef7d8e85a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e4cadc0-eff7-4d89-90e3-26cb00012714"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SharingHintHash" ma:index="12"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8BD8807-4A08-4F45-B5D6-1C384F2B4FD1}">
  <ds:schemaRefs>
    <ds:schemaRef ds:uri="http://schemas.microsoft.com/office/2006/metadata/properties"/>
    <ds:schemaRef ds:uri="63fd02ab-cfc4-4f9e-a638-b2ef7d8e85ad"/>
    <ds:schemaRef ds:uri="http://purl.org/dc/terms/"/>
    <ds:schemaRef ds:uri="9e4cadc0-eff7-4d89-90e3-26cb00012714"/>
    <ds:schemaRef ds:uri="http://schemas.openxmlformats.org/package/2006/metadata/core-properties"/>
    <ds:schemaRef ds:uri="http://schemas.microsoft.com/office/2006/documentManagement/types"/>
    <ds:schemaRef ds:uri="http://www.w3.org/XML/1998/namespace"/>
    <ds:schemaRef ds:uri="http://schemas.microsoft.com/office/infopath/2007/PartnerControls"/>
    <ds:schemaRef ds:uri="http://purl.org/dc/elements/1.1/"/>
    <ds:schemaRef ds:uri="http://purl.org/dc/dcmitype/"/>
  </ds:schemaRefs>
</ds:datastoreItem>
</file>

<file path=customXml/itemProps2.xml><?xml version="1.0" encoding="utf-8"?>
<ds:datastoreItem xmlns:ds="http://schemas.openxmlformats.org/officeDocument/2006/customXml" ds:itemID="{6379D73B-D456-468A-95C5-B232B02C78CA}">
  <ds:schemaRefs>
    <ds:schemaRef ds:uri="http://schemas.microsoft.com/sharepoint/v3/contenttype/forms"/>
  </ds:schemaRefs>
</ds:datastoreItem>
</file>

<file path=customXml/itemProps3.xml><?xml version="1.0" encoding="utf-8"?>
<ds:datastoreItem xmlns:ds="http://schemas.openxmlformats.org/officeDocument/2006/customXml" ds:itemID="{79DDF10D-7B3E-4A89-8525-6D299A6965B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3fd02ab-cfc4-4f9e-a638-b2ef7d8e85ad"/>
    <ds:schemaRef ds:uri="9e4cadc0-eff7-4d89-90e3-26cb0001271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PEG-MDX results summary</vt:lpstr>
      <vt:lpstr>Phase diagram models</vt:lpstr>
      <vt:lpstr>Polymer RI standards </vt:lpstr>
      <vt:lpstr>MDX concentration standards</vt:lpstr>
      <vt:lpstr>MDX standards (new solution)</vt:lpstr>
      <vt:lpstr>Phasediagram PEG 10000 data</vt:lpstr>
      <vt:lpstr>Phasediagram PEG 12000 data</vt:lpstr>
      <vt:lpstr>Phasediagram PEG 20000 data</vt:lpstr>
      <vt:lpstr>Mass Balances</vt:lpstr>
      <vt:lpstr>Methods</vt:lpstr>
      <vt:lpstr>Literature comparison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James Hockey</dc:creator>
  <cp:lastModifiedBy>James Hockey</cp:lastModifiedBy>
  <cp:lastPrinted>2020-11-09T06:43:30Z</cp:lastPrinted>
  <dcterms:created xsi:type="dcterms:W3CDTF">2019-06-20T10:10:31Z</dcterms:created>
  <dcterms:modified xsi:type="dcterms:W3CDTF">2021-09-06T11:10:19Z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0x0101006546584D94221548B0A15FA545F36AFC</vt:lpwstr>
  </property>
</Properties>
</file>