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C:\Users\james\Desktop\Backup current\Appendices\Experiments\Fixed\"/>
    </mc:Choice>
  </mc:AlternateContent>
  <xr:revisionPtr revIDLastSave="0" documentId="13_ncr:1_{5708C539-B9ED-4BBB-A499-847D8F4A6039}" xr6:coauthVersionLast="47" xr6:coauthVersionMax="47" xr10:uidLastSave="{00000000-0000-0000-0000-000000000000}"/>
  <bookViews>
    <workbookView xWindow="-108" yWindow="-108" windowWidth="23256" windowHeight="13176" activeTab="2" xr2:uid="{DC652E53-AB43-4677-AD4C-21BA2D9CC3AC}"/>
  </bookViews>
  <sheets>
    <sheet name="Results and graphs" sheetId="31" r:id="rId1"/>
    <sheet name="Raw data and calculations" sheetId="32" r:id="rId2"/>
    <sheet name="Method" sheetId="33" r:id="rId3"/>
    <sheet name="Phase diagram  PEG 10k citrate" sheetId="17" state="hidden"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4" i="31" l="1"/>
  <c r="J5" i="31"/>
  <c r="J6" i="31"/>
  <c r="J7" i="31"/>
  <c r="E11" i="31"/>
  <c r="F6" i="31" l="1"/>
  <c r="F7" i="31"/>
  <c r="F8" i="31"/>
  <c r="F10" i="31"/>
  <c r="F11" i="31"/>
  <c r="F12" i="31"/>
  <c r="F14" i="31"/>
  <c r="M4" i="31"/>
  <c r="M7" i="31"/>
  <c r="M8" i="31"/>
  <c r="M11" i="31"/>
  <c r="M12" i="31"/>
  <c r="D5" i="31"/>
  <c r="D6" i="31"/>
  <c r="D9" i="31"/>
  <c r="D10" i="31"/>
  <c r="D13" i="31"/>
  <c r="D14" i="31"/>
  <c r="K6" i="31"/>
  <c r="K7" i="31"/>
  <c r="K10" i="31"/>
  <c r="K11" i="31"/>
  <c r="D4" i="31"/>
  <c r="E5" i="31"/>
  <c r="F5" i="31" s="1"/>
  <c r="E6" i="31"/>
  <c r="E7" i="31"/>
  <c r="E8" i="31"/>
  <c r="E9" i="31"/>
  <c r="F9" i="31" s="1"/>
  <c r="E10" i="31"/>
  <c r="E12" i="31"/>
  <c r="E13" i="31"/>
  <c r="F13" i="31" s="1"/>
  <c r="E14" i="31"/>
  <c r="L4" i="31"/>
  <c r="L5" i="31"/>
  <c r="M5" i="31" s="1"/>
  <c r="L6" i="31"/>
  <c r="M6" i="31" s="1"/>
  <c r="L7" i="31"/>
  <c r="L8" i="31"/>
  <c r="L9" i="31"/>
  <c r="M9" i="31" s="1"/>
  <c r="L10" i="31"/>
  <c r="M10" i="31" s="1"/>
  <c r="L11" i="31"/>
  <c r="L12" i="31"/>
  <c r="L13" i="31"/>
  <c r="M13" i="31" s="1"/>
  <c r="E4" i="31"/>
  <c r="F4" i="31" s="1"/>
  <c r="C5" i="31"/>
  <c r="C6" i="31"/>
  <c r="C7" i="31"/>
  <c r="D7" i="31" s="1"/>
  <c r="C8" i="31"/>
  <c r="D8" i="31" s="1"/>
  <c r="C9" i="31"/>
  <c r="C10" i="31"/>
  <c r="C11" i="31"/>
  <c r="D11" i="31" s="1"/>
  <c r="C12" i="31"/>
  <c r="D12" i="31" s="1"/>
  <c r="C13" i="31"/>
  <c r="C14" i="31"/>
  <c r="K4" i="31"/>
  <c r="K5" i="31"/>
  <c r="J8" i="31"/>
  <c r="K8" i="31" s="1"/>
  <c r="J10" i="31"/>
  <c r="K9" i="31" s="1"/>
  <c r="J9" i="31"/>
  <c r="J11" i="31"/>
  <c r="J12" i="31"/>
  <c r="K12" i="31" s="1"/>
  <c r="J13" i="31"/>
  <c r="K13" i="31" s="1"/>
  <c r="C4" i="31"/>
  <c r="X34" i="32"/>
  <c r="W34" i="32"/>
  <c r="V34" i="32"/>
  <c r="U34" i="32"/>
  <c r="T34" i="32"/>
  <c r="S34" i="32"/>
  <c r="R34" i="32"/>
  <c r="Q34" i="32"/>
  <c r="P34" i="32"/>
  <c r="O34" i="32"/>
  <c r="M34" i="32"/>
  <c r="L34" i="32"/>
  <c r="K34" i="32"/>
  <c r="J34" i="32"/>
  <c r="I34" i="32"/>
  <c r="H34" i="32"/>
  <c r="G34" i="32"/>
  <c r="F34" i="32"/>
  <c r="E34" i="32"/>
  <c r="D34" i="32"/>
  <c r="C34" i="32"/>
  <c r="X33" i="32"/>
  <c r="W33" i="32"/>
  <c r="V33" i="32"/>
  <c r="U33" i="32"/>
  <c r="T33" i="32"/>
  <c r="S33" i="32"/>
  <c r="R33" i="32"/>
  <c r="Q33" i="32"/>
  <c r="P33" i="32"/>
  <c r="O33" i="32"/>
  <c r="M33" i="32"/>
  <c r="L33" i="32"/>
  <c r="K33" i="32"/>
  <c r="J33" i="32"/>
  <c r="I33" i="32"/>
  <c r="H33" i="32"/>
  <c r="G33" i="32"/>
  <c r="F33" i="32"/>
  <c r="E33" i="32"/>
  <c r="D33" i="32"/>
  <c r="C33" i="32"/>
  <c r="Q28" i="32"/>
  <c r="X23" i="32"/>
  <c r="W23" i="32"/>
  <c r="V23" i="32"/>
  <c r="U23" i="32"/>
  <c r="T23" i="32"/>
  <c r="S23" i="32"/>
  <c r="R23" i="32"/>
  <c r="P23" i="32"/>
  <c r="O23" i="32"/>
  <c r="M23" i="32"/>
  <c r="L23" i="32"/>
  <c r="K23" i="32"/>
  <c r="J23" i="32"/>
  <c r="I23" i="32"/>
  <c r="H23" i="32"/>
  <c r="G23" i="32"/>
  <c r="F23" i="32"/>
  <c r="E23" i="32"/>
  <c r="D23" i="32"/>
  <c r="C23" i="32"/>
  <c r="X22" i="32"/>
  <c r="W22" i="32"/>
  <c r="V22" i="32"/>
  <c r="U22" i="32"/>
  <c r="T22" i="32"/>
  <c r="S22" i="32"/>
  <c r="R22" i="32"/>
  <c r="Q22" i="32"/>
  <c r="P22" i="32"/>
  <c r="O22" i="32"/>
  <c r="M22" i="32"/>
  <c r="L22" i="32"/>
  <c r="K22" i="32"/>
  <c r="J22" i="32"/>
  <c r="I22" i="32"/>
  <c r="H22" i="32"/>
  <c r="G22" i="32"/>
  <c r="F22" i="32"/>
  <c r="E22" i="32"/>
  <c r="D22" i="32"/>
  <c r="C22" i="32"/>
  <c r="Q17" i="32"/>
  <c r="Q23" i="32" s="1"/>
  <c r="X12" i="32"/>
  <c r="W12" i="32"/>
  <c r="V12" i="32"/>
  <c r="U12" i="32"/>
  <c r="T12" i="32"/>
  <c r="S12" i="32"/>
  <c r="R12" i="32"/>
  <c r="P12" i="32"/>
  <c r="O12" i="32"/>
  <c r="M12" i="32"/>
  <c r="L12" i="32"/>
  <c r="K12" i="32"/>
  <c r="J12" i="32"/>
  <c r="I12" i="32"/>
  <c r="H12" i="32"/>
  <c r="G12" i="32"/>
  <c r="F12" i="32"/>
  <c r="E12" i="32"/>
  <c r="D12" i="32"/>
  <c r="C12" i="32"/>
  <c r="X11" i="32"/>
  <c r="W11" i="32"/>
  <c r="V11" i="32"/>
  <c r="U11" i="32"/>
  <c r="T11" i="32"/>
  <c r="S11" i="32"/>
  <c r="R11" i="32"/>
  <c r="Q11" i="32"/>
  <c r="P11" i="32"/>
  <c r="O11" i="32"/>
  <c r="M11" i="32"/>
  <c r="L11" i="32"/>
  <c r="K11" i="32"/>
  <c r="J11" i="32"/>
  <c r="I11" i="32"/>
  <c r="H11" i="32"/>
  <c r="G11" i="32"/>
  <c r="F11" i="32"/>
  <c r="E11" i="32"/>
  <c r="D11" i="32"/>
  <c r="C11" i="32"/>
  <c r="Q6" i="32"/>
  <c r="Q12" i="32" s="1"/>
  <c r="S19" i="17" l="1"/>
  <c r="S18" i="17"/>
  <c r="S17" i="17"/>
  <c r="S16" i="17"/>
  <c r="O54" i="17"/>
  <c r="S41" i="17"/>
  <c r="S42" i="17"/>
  <c r="S43" i="17"/>
  <c r="S44" i="17"/>
  <c r="P46" i="17"/>
  <c r="R22" i="17"/>
  <c r="S22" i="17" s="1"/>
  <c r="P22" i="17"/>
  <c r="Q22" i="17" s="1"/>
  <c r="I49" i="17"/>
  <c r="H49" i="17"/>
  <c r="G49" i="17"/>
  <c r="F49" i="17"/>
  <c r="E49" i="17"/>
  <c r="C49" i="17"/>
  <c r="I48" i="17"/>
  <c r="H48" i="17"/>
  <c r="G48" i="17"/>
  <c r="F48" i="17"/>
  <c r="E48" i="17"/>
  <c r="C48" i="17"/>
  <c r="D48" i="17" s="1"/>
  <c r="M47" i="17"/>
  <c r="N47" i="17" s="1"/>
  <c r="P47" i="17" s="1"/>
  <c r="D47" i="17"/>
  <c r="M46" i="17"/>
  <c r="N46" i="17" s="1"/>
  <c r="D46" i="17"/>
  <c r="M45" i="17"/>
  <c r="M48" i="17" s="1"/>
  <c r="D45" i="17"/>
  <c r="I40" i="17"/>
  <c r="H40" i="17"/>
  <c r="G40" i="17"/>
  <c r="F40" i="17"/>
  <c r="E40" i="17"/>
  <c r="C40" i="17"/>
  <c r="I39" i="17"/>
  <c r="H39" i="17"/>
  <c r="G39" i="17"/>
  <c r="F39" i="17"/>
  <c r="E39" i="17"/>
  <c r="C39" i="17"/>
  <c r="D39" i="17" s="1"/>
  <c r="M38" i="17"/>
  <c r="N38" i="17" s="1"/>
  <c r="P38" i="17" s="1"/>
  <c r="D38" i="17"/>
  <c r="M37" i="17"/>
  <c r="N37" i="17" s="1"/>
  <c r="P37" i="17" s="1"/>
  <c r="D37" i="17"/>
  <c r="M36" i="17"/>
  <c r="N36" i="17" s="1"/>
  <c r="P36" i="17" s="1"/>
  <c r="D36" i="17"/>
  <c r="E31" i="17"/>
  <c r="J31" i="17" s="1"/>
  <c r="E30" i="17"/>
  <c r="J30" i="17" s="1"/>
  <c r="E29" i="17"/>
  <c r="K29" i="17" s="1"/>
  <c r="N22" i="17"/>
  <c r="O22" i="17" s="1"/>
  <c r="N21" i="17"/>
  <c r="O21" i="17" s="1"/>
  <c r="N20" i="17"/>
  <c r="N24" i="17" s="1"/>
  <c r="N11" i="17"/>
  <c r="D22" i="17"/>
  <c r="D21" i="17"/>
  <c r="D20" i="17"/>
  <c r="D12" i="17"/>
  <c r="D13" i="17"/>
  <c r="D11" i="17"/>
  <c r="D15" i="17" s="1"/>
  <c r="M22" i="17"/>
  <c r="M21" i="17"/>
  <c r="M20" i="17"/>
  <c r="M23" i="17" s="1"/>
  <c r="M12" i="17"/>
  <c r="N12" i="17" s="1"/>
  <c r="M13" i="17"/>
  <c r="N13" i="17" s="1"/>
  <c r="M11" i="17"/>
  <c r="H24" i="17"/>
  <c r="H23" i="17"/>
  <c r="H14" i="17"/>
  <c r="H15" i="17"/>
  <c r="I24" i="17"/>
  <c r="G24" i="17"/>
  <c r="F24" i="17"/>
  <c r="E24" i="17"/>
  <c r="C24" i="17"/>
  <c r="I23" i="17"/>
  <c r="G23" i="17"/>
  <c r="F23" i="17"/>
  <c r="E23" i="17"/>
  <c r="C23" i="17"/>
  <c r="D23" i="17" s="1"/>
  <c r="E14" i="17"/>
  <c r="F14" i="17"/>
  <c r="G14" i="17"/>
  <c r="I14" i="17"/>
  <c r="E15" i="17"/>
  <c r="F15" i="17"/>
  <c r="G15" i="17"/>
  <c r="I15" i="17"/>
  <c r="C15" i="17"/>
  <c r="C14" i="17"/>
  <c r="D14" i="17" s="1"/>
  <c r="J4" i="17"/>
  <c r="E5" i="17"/>
  <c r="K5" i="17" s="1"/>
  <c r="E6" i="17"/>
  <c r="K6" i="17" s="1"/>
  <c r="E4" i="17"/>
  <c r="K4" i="17" s="1"/>
  <c r="P13" i="17" l="1"/>
  <c r="O13" i="17"/>
  <c r="P12" i="17"/>
  <c r="P14" i="17" s="1"/>
  <c r="O12" i="17"/>
  <c r="N14" i="17"/>
  <c r="K31" i="17"/>
  <c r="L31" i="17" s="1"/>
  <c r="P20" i="17"/>
  <c r="O20" i="17"/>
  <c r="M15" i="17"/>
  <c r="D24" i="17"/>
  <c r="N15" i="17"/>
  <c r="O11" i="17"/>
  <c r="P21" i="17"/>
  <c r="Q21" i="17" s="1"/>
  <c r="R21" i="17" s="1"/>
  <c r="S21" i="17" s="1"/>
  <c r="P11" i="17"/>
  <c r="Q11" i="17" s="1"/>
  <c r="R11" i="17" s="1"/>
  <c r="S11" i="17" s="1"/>
  <c r="K30" i="17"/>
  <c r="Q38" i="17"/>
  <c r="R38" i="17" s="1"/>
  <c r="S38" i="17" s="1"/>
  <c r="P15" i="17"/>
  <c r="J6" i="17"/>
  <c r="L6" i="17" s="1"/>
  <c r="J5" i="17"/>
  <c r="L5" i="17" s="1"/>
  <c r="D49" i="17"/>
  <c r="D40" i="17"/>
  <c r="O38" i="17"/>
  <c r="O46" i="17"/>
  <c r="Q46" i="17"/>
  <c r="R46" i="17" s="1"/>
  <c r="S46" i="17" s="1"/>
  <c r="Q47" i="17"/>
  <c r="R47" i="17" s="1"/>
  <c r="S47" i="17" s="1"/>
  <c r="O47" i="17"/>
  <c r="O37" i="17"/>
  <c r="L30" i="17"/>
  <c r="O36" i="17"/>
  <c r="N40" i="17"/>
  <c r="N39" i="17"/>
  <c r="Q36" i="17"/>
  <c r="R36" i="17" s="1"/>
  <c r="S36" i="17" s="1"/>
  <c r="J29" i="17"/>
  <c r="M39" i="17"/>
  <c r="M49" i="17"/>
  <c r="M40" i="17"/>
  <c r="N45" i="17"/>
  <c r="P45" i="17" s="1"/>
  <c r="Q13" i="17"/>
  <c r="R13" i="17" s="1"/>
  <c r="S13" i="17" s="1"/>
  <c r="Q12" i="17"/>
  <c r="N23" i="17"/>
  <c r="K7" i="17"/>
  <c r="L4" i="17"/>
  <c r="M14" i="17"/>
  <c r="M24" i="17"/>
  <c r="K8" i="17"/>
  <c r="Q20" i="17" l="1"/>
  <c r="P23" i="17"/>
  <c r="P24" i="17"/>
  <c r="O14" i="17"/>
  <c r="O15" i="17"/>
  <c r="R12" i="17"/>
  <c r="S12" i="17" s="1"/>
  <c r="Q14" i="17"/>
  <c r="Q15" i="17"/>
  <c r="J7" i="17"/>
  <c r="J8" i="17"/>
  <c r="K33" i="17"/>
  <c r="J33" i="17"/>
  <c r="J32" i="17"/>
  <c r="O40" i="17"/>
  <c r="O39" i="17"/>
  <c r="L29" i="17"/>
  <c r="O45" i="17"/>
  <c r="N49" i="17"/>
  <c r="N48" i="17"/>
  <c r="P40" i="17"/>
  <c r="P39" i="17"/>
  <c r="Q37" i="17"/>
  <c r="K32" i="17"/>
  <c r="O24" i="17"/>
  <c r="O23" i="17"/>
  <c r="L7" i="17"/>
  <c r="L8" i="17"/>
  <c r="R20" i="17" l="1"/>
  <c r="Q23" i="17"/>
  <c r="Q24" i="17"/>
  <c r="R14" i="17"/>
  <c r="S14" i="17" s="1"/>
  <c r="R15" i="17"/>
  <c r="S15" i="17" s="1"/>
  <c r="O49" i="17"/>
  <c r="O48" i="17"/>
  <c r="Q40" i="17"/>
  <c r="R37" i="17"/>
  <c r="S37" i="17" s="1"/>
  <c r="Q39" i="17"/>
  <c r="P48" i="17"/>
  <c r="Q45" i="17"/>
  <c r="P49" i="17"/>
  <c r="L33" i="17"/>
  <c r="L32" i="17"/>
  <c r="S20" i="17" l="1"/>
  <c r="R23" i="17"/>
  <c r="S23" i="17" s="1"/>
  <c r="R24" i="17"/>
  <c r="S24" i="17" s="1"/>
  <c r="R39" i="17"/>
  <c r="S39" i="17" s="1"/>
  <c r="R40" i="17"/>
  <c r="S40" i="17" s="1"/>
  <c r="Q49" i="17"/>
  <c r="R45" i="17"/>
  <c r="S45" i="17" s="1"/>
  <c r="Q48" i="17"/>
  <c r="R49" i="17" l="1"/>
  <c r="S49" i="17" s="1"/>
  <c r="R48" i="17"/>
  <c r="S48" i="17" s="1"/>
</calcChain>
</file>

<file path=xl/sharedStrings.xml><?xml version="1.0" encoding="utf-8"?>
<sst xmlns="http://schemas.openxmlformats.org/spreadsheetml/2006/main" count="254" uniqueCount="65">
  <si>
    <t>PEG</t>
  </si>
  <si>
    <t>MDX</t>
  </si>
  <si>
    <t>Std dev</t>
  </si>
  <si>
    <t>Top</t>
  </si>
  <si>
    <t>Bottom</t>
  </si>
  <si>
    <t>Overall</t>
  </si>
  <si>
    <t>A</t>
  </si>
  <si>
    <t>B</t>
  </si>
  <si>
    <t>C</t>
  </si>
  <si>
    <t>MDX 40%</t>
  </si>
  <si>
    <t>PEG 10%</t>
  </si>
  <si>
    <t>MDX %</t>
  </si>
  <si>
    <t>PEG %</t>
  </si>
  <si>
    <t>Stock solutions</t>
  </si>
  <si>
    <t>Compostion</t>
  </si>
  <si>
    <t>Total</t>
  </si>
  <si>
    <t>Average</t>
  </si>
  <si>
    <t>Mass 1st dil.</t>
  </si>
  <si>
    <t>RI</t>
  </si>
  <si>
    <t>Mass sol.</t>
  </si>
  <si>
    <t>Abs 488</t>
  </si>
  <si>
    <t>Used mL</t>
  </si>
  <si>
    <t>total vol. mL</t>
  </si>
  <si>
    <t>Buffer</t>
  </si>
  <si>
    <t>MDX concentration dilute (ug/2mL)</t>
  </si>
  <si>
    <t>Buffer used in 1st dil (mL)</t>
  </si>
  <si>
    <t>Total mass</t>
  </si>
  <si>
    <t>Mass 2nd dil</t>
  </si>
  <si>
    <t>MDX concentration (wt%) 2nd dil.</t>
  </si>
  <si>
    <t>MDX wt %</t>
  </si>
  <si>
    <t>MDX concentration (wt%) before 2nd dil.</t>
  </si>
  <si>
    <t>RI contribution MDX</t>
  </si>
  <si>
    <t>RI contribution PEG</t>
  </si>
  <si>
    <t>PEG conc</t>
  </si>
  <si>
    <t>0.1435x + 1.3338</t>
  </si>
  <si>
    <t>0.1554x + 1.3338</t>
  </si>
  <si>
    <t>PEG 20%</t>
  </si>
  <si>
    <t>MDX 20% PEG 5%</t>
  </si>
  <si>
    <t>MDX 20% PEG 10%</t>
  </si>
  <si>
    <t>True concentration</t>
  </si>
  <si>
    <t>D</t>
  </si>
  <si>
    <t>Time (h)</t>
  </si>
  <si>
    <t>Bead milling</t>
  </si>
  <si>
    <t>Negative control</t>
  </si>
  <si>
    <t>Start (T0)</t>
  </si>
  <si>
    <t>T0</t>
  </si>
  <si>
    <t>T1</t>
  </si>
  <si>
    <t>T2</t>
  </si>
  <si>
    <t>T3</t>
  </si>
  <si>
    <t>T4</t>
  </si>
  <si>
    <t>T5</t>
  </si>
  <si>
    <t>T6</t>
  </si>
  <si>
    <t>T7</t>
  </si>
  <si>
    <t>T8</t>
  </si>
  <si>
    <t>T9</t>
  </si>
  <si>
    <t>T10</t>
  </si>
  <si>
    <t>Sample</t>
  </si>
  <si>
    <t>Standard error</t>
  </si>
  <si>
    <t>C-PC Concentration (g/L)</t>
  </si>
  <si>
    <t>C-PC Purity no.</t>
  </si>
  <si>
    <t>Standard deviation</t>
  </si>
  <si>
    <t>Absorbance at 280 nm</t>
  </si>
  <si>
    <t>Absorbance at 620 nm</t>
  </si>
  <si>
    <t>Absorbance at 650 nm</t>
  </si>
  <si>
    <t>Bead-milled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</si>
</sst>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0.00000"/>
    <numFmt numFmtId="167" formatCode="0.0000"/>
  </numFmts>
  <fonts count="5" x14ac:knownFonts="1">
    <font>
      <sz val="11"/>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b/>
      <sz val="12"/>
      <color theme="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9" tint="-0.249977111117893"/>
        <bgColor indexed="64"/>
      </patternFill>
    </fill>
    <fill>
      <patternFill patternType="solid">
        <fgColor theme="9" tint="0.59999389629810485"/>
        <bgColor indexed="64"/>
      </patternFill>
    </fill>
  </fills>
  <borders count="2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69">
    <xf numFmtId="0" fontId="0" fillId="0" borderId="0" xfId="0"/>
    <xf numFmtId="0" fontId="0" fillId="0" borderId="0" xfId="0" applyBorder="1"/>
    <xf numFmtId="0" fontId="0" fillId="0" borderId="2" xfId="0" applyBorder="1"/>
    <xf numFmtId="0" fontId="0" fillId="0" borderId="0" xfId="0" applyAlignment="1">
      <alignment horizontal="center"/>
    </xf>
    <xf numFmtId="164" fontId="0" fillId="0" borderId="0" xfId="0" applyNumberFormat="1"/>
    <xf numFmtId="164" fontId="0" fillId="0" borderId="2" xfId="0" applyNumberFormat="1" applyBorder="1"/>
    <xf numFmtId="0" fontId="0" fillId="0" borderId="2" xfId="0" applyFill="1" applyBorder="1"/>
    <xf numFmtId="165" fontId="0" fillId="0" borderId="2" xfId="1" applyNumberFormat="1" applyFont="1" applyBorder="1"/>
    <xf numFmtId="167" fontId="0" fillId="0" borderId="0" xfId="0" applyNumberFormat="1"/>
    <xf numFmtId="0" fontId="0" fillId="0" borderId="0" xfId="0" applyBorder="1" applyAlignment="1">
      <alignment horizontal="center"/>
    </xf>
    <xf numFmtId="0" fontId="0" fillId="2" borderId="2" xfId="0" applyFill="1" applyBorder="1"/>
    <xf numFmtId="167" fontId="0" fillId="2" borderId="2" xfId="0" applyNumberFormat="1" applyFill="1" applyBorder="1"/>
    <xf numFmtId="166" fontId="0" fillId="2" borderId="2" xfId="0" applyNumberFormat="1" applyFill="1" applyBorder="1"/>
    <xf numFmtId="167" fontId="0" fillId="0" borderId="2" xfId="0" applyNumberFormat="1" applyBorder="1"/>
    <xf numFmtId="166" fontId="0" fillId="0" borderId="2" xfId="0" applyNumberFormat="1" applyBorder="1"/>
    <xf numFmtId="0" fontId="0" fillId="0" borderId="2" xfId="1" applyNumberFormat="1" applyFont="1" applyBorder="1"/>
    <xf numFmtId="0" fontId="0" fillId="0" borderId="3" xfId="0" applyFill="1" applyBorder="1"/>
    <xf numFmtId="0" fontId="0" fillId="0" borderId="0" xfId="0" applyAlignment="1">
      <alignment horizontal="right"/>
    </xf>
    <xf numFmtId="2" fontId="0" fillId="0" borderId="0" xfId="0" applyNumberFormat="1"/>
    <xf numFmtId="2" fontId="2" fillId="0" borderId="1" xfId="0" applyNumberFormat="1" applyFont="1" applyBorder="1" applyAlignment="1">
      <alignment horizontal="center"/>
    </xf>
    <xf numFmtId="2" fontId="0" fillId="0" borderId="0" xfId="0" applyNumberFormat="1" applyFill="1" applyBorder="1"/>
    <xf numFmtId="2" fontId="0" fillId="0" borderId="0" xfId="0" applyNumberFormat="1" applyBorder="1" applyAlignment="1">
      <alignment horizontal="right"/>
    </xf>
    <xf numFmtId="2" fontId="0" fillId="0" borderId="0" xfId="0" applyNumberFormat="1" applyFill="1" applyBorder="1" applyAlignment="1">
      <alignment horizontal="right"/>
    </xf>
    <xf numFmtId="2" fontId="0" fillId="0" borderId="0" xfId="0" applyNumberFormat="1" applyAlignment="1">
      <alignment horizontal="right"/>
    </xf>
    <xf numFmtId="2" fontId="0" fillId="0" borderId="0" xfId="0" applyNumberFormat="1" applyFill="1" applyAlignment="1">
      <alignment horizontal="right"/>
    </xf>
    <xf numFmtId="2" fontId="0" fillId="0" borderId="1" xfId="0" applyNumberFormat="1" applyBorder="1" applyAlignment="1">
      <alignment horizontal="right"/>
    </xf>
    <xf numFmtId="2" fontId="0" fillId="0" borderId="1" xfId="0" applyNumberFormat="1" applyFill="1" applyBorder="1" applyAlignment="1">
      <alignment horizontal="right"/>
    </xf>
    <xf numFmtId="2" fontId="0" fillId="0" borderId="0" xfId="0" applyNumberFormat="1" applyFill="1"/>
    <xf numFmtId="0" fontId="2" fillId="0" borderId="0" xfId="0" applyFont="1"/>
    <xf numFmtId="2" fontId="2" fillId="0" borderId="0" xfId="0" applyNumberFormat="1" applyFont="1"/>
    <xf numFmtId="0" fontId="4" fillId="0" borderId="0" xfId="0" applyFont="1"/>
    <xf numFmtId="2" fontId="0" fillId="3" borderId="5" xfId="0" applyNumberFormat="1" applyFill="1" applyBorder="1"/>
    <xf numFmtId="2" fontId="0" fillId="3" borderId="6" xfId="0" applyNumberFormat="1" applyFill="1" applyBorder="1"/>
    <xf numFmtId="2" fontId="0" fillId="3" borderId="7" xfId="0" applyNumberFormat="1" applyFill="1" applyBorder="1"/>
    <xf numFmtId="2" fontId="0" fillId="3" borderId="8" xfId="0" applyNumberFormat="1" applyFill="1" applyBorder="1"/>
    <xf numFmtId="2" fontId="0" fillId="3" borderId="9" xfId="0" applyNumberFormat="1" applyFill="1" applyBorder="1"/>
    <xf numFmtId="2" fontId="0" fillId="3" borderId="10" xfId="0" applyNumberFormat="1" applyFill="1" applyBorder="1"/>
    <xf numFmtId="0" fontId="2" fillId="6" borderId="11" xfId="0" applyFont="1" applyFill="1" applyBorder="1"/>
    <xf numFmtId="0" fontId="2" fillId="6" borderId="12" xfId="0" applyFont="1" applyFill="1" applyBorder="1"/>
    <xf numFmtId="0" fontId="2" fillId="6" borderId="13" xfId="0" applyFont="1" applyFill="1" applyBorder="1"/>
    <xf numFmtId="2" fontId="0" fillId="3" borderId="14" xfId="0" applyNumberFormat="1" applyFill="1" applyBorder="1"/>
    <xf numFmtId="2" fontId="0" fillId="3" borderId="15" xfId="0" applyNumberFormat="1" applyFill="1" applyBorder="1"/>
    <xf numFmtId="2" fontId="0" fillId="5" borderId="7" xfId="0" applyNumberFormat="1" applyFill="1" applyBorder="1"/>
    <xf numFmtId="2" fontId="0" fillId="5" borderId="8" xfId="0" applyNumberFormat="1" applyFill="1" applyBorder="1"/>
    <xf numFmtId="2" fontId="0" fillId="5" borderId="9" xfId="0" applyNumberFormat="1" applyFill="1" applyBorder="1"/>
    <xf numFmtId="2" fontId="0" fillId="5" borderId="10" xfId="0" applyNumberFormat="1" applyFill="1" applyBorder="1"/>
    <xf numFmtId="2" fontId="0" fillId="5" borderId="16" xfId="0" applyNumberFormat="1" applyFill="1" applyBorder="1"/>
    <xf numFmtId="2" fontId="0" fillId="5" borderId="17" xfId="0" applyNumberFormat="1" applyFill="1" applyBorder="1"/>
    <xf numFmtId="0" fontId="2" fillId="7" borderId="11" xfId="0" applyFont="1" applyFill="1" applyBorder="1"/>
    <xf numFmtId="0" fontId="2" fillId="7" borderId="12" xfId="0" applyFont="1" applyFill="1" applyBorder="1"/>
    <xf numFmtId="0" fontId="2" fillId="7" borderId="18" xfId="0" applyFont="1" applyFill="1" applyBorder="1"/>
    <xf numFmtId="2" fontId="0" fillId="5" borderId="19" xfId="0" applyNumberFormat="1" applyFill="1" applyBorder="1"/>
    <xf numFmtId="2" fontId="0" fillId="5" borderId="20" xfId="0" applyNumberFormat="1" applyFill="1" applyBorder="1"/>
    <xf numFmtId="2" fontId="0" fillId="5" borderId="21" xfId="0" applyNumberFormat="1" applyFill="1" applyBorder="1"/>
    <xf numFmtId="0" fontId="2" fillId="7" borderId="22" xfId="0" applyFont="1" applyFill="1" applyBorder="1"/>
    <xf numFmtId="2" fontId="0" fillId="4" borderId="16" xfId="0" applyNumberFormat="1" applyFill="1" applyBorder="1"/>
    <xf numFmtId="2" fontId="0" fillId="4" borderId="17" xfId="0" applyNumberFormat="1" applyFill="1" applyBorder="1"/>
    <xf numFmtId="2" fontId="0" fillId="4" borderId="7" xfId="0" applyNumberFormat="1" applyFill="1" applyBorder="1"/>
    <xf numFmtId="2" fontId="0" fillId="4" borderId="8" xfId="0" applyNumberFormat="1" applyFill="1" applyBorder="1"/>
    <xf numFmtId="2" fontId="0" fillId="4" borderId="9" xfId="0" applyNumberFormat="1" applyFill="1" applyBorder="1"/>
    <xf numFmtId="2" fontId="0" fillId="4" borderId="10" xfId="0" applyNumberFormat="1" applyFill="1" applyBorder="1"/>
    <xf numFmtId="2" fontId="0" fillId="8" borderId="23" xfId="0" applyNumberFormat="1" applyFill="1" applyBorder="1"/>
    <xf numFmtId="2" fontId="0" fillId="8" borderId="17" xfId="0" applyNumberFormat="1" applyFill="1" applyBorder="1"/>
    <xf numFmtId="2" fontId="0" fillId="8" borderId="4" xfId="0" applyNumberFormat="1" applyFill="1" applyBorder="1"/>
    <xf numFmtId="2" fontId="0" fillId="8" borderId="8" xfId="0" applyNumberFormat="1" applyFill="1" applyBorder="1"/>
    <xf numFmtId="2" fontId="0" fillId="8" borderId="24" xfId="0" applyNumberFormat="1" applyFill="1" applyBorder="1"/>
    <xf numFmtId="2" fontId="0" fillId="8" borderId="10" xfId="0" applyNumberFormat="1" applyFill="1" applyBorder="1"/>
    <xf numFmtId="0" fontId="0" fillId="0" borderId="0" xfId="0" applyAlignment="1">
      <alignment horizontal="center"/>
    </xf>
    <xf numFmtId="0" fontId="0" fillId="0" borderId="2" xfId="0" applyBorder="1" applyAlignment="1">
      <alignment horizont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C-PC concentration</a:t>
            </a:r>
            <a:r>
              <a:rPr lang="en-ZA" baseline="0"/>
              <a:t> profile during leaching (bead-milled)</a:t>
            </a:r>
            <a:endParaRPr lang="en-ZA"/>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solidFill>
                <a:schemeClr val="accent1"/>
              </a:solidFill>
              <a:prstDash val="sysDot"/>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'Results and graphs'!$D$4:$D$14</c:f>
                <c:numCache>
                  <c:formatCode>General</c:formatCode>
                  <c:ptCount val="11"/>
                  <c:pt idx="0">
                    <c:v>0.13820955064539386</c:v>
                  </c:pt>
                  <c:pt idx="1">
                    <c:v>0.6575376145112457</c:v>
                  </c:pt>
                  <c:pt idx="2">
                    <c:v>0.37851357274048741</c:v>
                  </c:pt>
                  <c:pt idx="3">
                    <c:v>0.75808163778084048</c:v>
                  </c:pt>
                  <c:pt idx="4">
                    <c:v>0.20298935692364736</c:v>
                  </c:pt>
                  <c:pt idx="5">
                    <c:v>0.36759365276151895</c:v>
                  </c:pt>
                  <c:pt idx="6">
                    <c:v>5.0161644762263542E-2</c:v>
                  </c:pt>
                  <c:pt idx="7">
                    <c:v>0.53162612834608181</c:v>
                  </c:pt>
                  <c:pt idx="8">
                    <c:v>0.26714842422216351</c:v>
                  </c:pt>
                  <c:pt idx="9">
                    <c:v>3.9080337677501437E-2</c:v>
                  </c:pt>
                  <c:pt idx="10">
                    <c:v>0.18562692016594304</c:v>
                  </c:pt>
                </c:numCache>
              </c:numRef>
            </c:plus>
            <c:minus>
              <c:numRef>
                <c:f>'Results and graphs'!$D$4:$D$14</c:f>
                <c:numCache>
                  <c:formatCode>General</c:formatCode>
                  <c:ptCount val="11"/>
                  <c:pt idx="0">
                    <c:v>0.13820955064539386</c:v>
                  </c:pt>
                  <c:pt idx="1">
                    <c:v>0.6575376145112457</c:v>
                  </c:pt>
                  <c:pt idx="2">
                    <c:v>0.37851357274048741</c:v>
                  </c:pt>
                  <c:pt idx="3">
                    <c:v>0.75808163778084048</c:v>
                  </c:pt>
                  <c:pt idx="4">
                    <c:v>0.20298935692364736</c:v>
                  </c:pt>
                  <c:pt idx="5">
                    <c:v>0.36759365276151895</c:v>
                  </c:pt>
                  <c:pt idx="6">
                    <c:v>5.0161644762263542E-2</c:v>
                  </c:pt>
                  <c:pt idx="7">
                    <c:v>0.53162612834608181</c:v>
                  </c:pt>
                  <c:pt idx="8">
                    <c:v>0.26714842422216351</c:v>
                  </c:pt>
                  <c:pt idx="9">
                    <c:v>3.9080337677501437E-2</c:v>
                  </c:pt>
                  <c:pt idx="10">
                    <c:v>0.18562692016594304</c:v>
                  </c:pt>
                </c:numCache>
              </c:numRef>
            </c:minus>
            <c:spPr>
              <a:noFill/>
              <a:ln w="9525" cap="flat" cmpd="sng" algn="ctr">
                <a:solidFill>
                  <a:schemeClr val="tx1">
                    <a:lumMod val="65000"/>
                    <a:lumOff val="35000"/>
                  </a:schemeClr>
                </a:solidFill>
                <a:round/>
              </a:ln>
              <a:effectLst/>
            </c:spPr>
          </c:errBars>
          <c:xVal>
            <c:numRef>
              <c:f>'Results and graphs'!$B$4:$B$14</c:f>
              <c:numCache>
                <c:formatCode>0.00</c:formatCode>
                <c:ptCount val="11"/>
                <c:pt idx="0">
                  <c:v>0</c:v>
                </c:pt>
                <c:pt idx="1">
                  <c:v>2.1666666666666665</c:v>
                </c:pt>
                <c:pt idx="2">
                  <c:v>4.4166666666666661</c:v>
                </c:pt>
                <c:pt idx="3">
                  <c:v>6.4166666666666661</c:v>
                </c:pt>
                <c:pt idx="4">
                  <c:v>9.1666666666666661</c:v>
                </c:pt>
                <c:pt idx="5">
                  <c:v>11.583333333333332</c:v>
                </c:pt>
                <c:pt idx="6">
                  <c:v>14.583333333333332</c:v>
                </c:pt>
                <c:pt idx="7">
                  <c:v>17.583333333333332</c:v>
                </c:pt>
                <c:pt idx="8">
                  <c:v>20.583333333333332</c:v>
                </c:pt>
                <c:pt idx="9">
                  <c:v>24</c:v>
                </c:pt>
                <c:pt idx="10">
                  <c:v>26.166666666666668</c:v>
                </c:pt>
              </c:numCache>
            </c:numRef>
          </c:xVal>
          <c:yVal>
            <c:numRef>
              <c:f>'Results and graphs'!$C$4:$C$14</c:f>
              <c:numCache>
                <c:formatCode>0.00</c:formatCode>
                <c:ptCount val="11"/>
                <c:pt idx="0">
                  <c:v>0.86606666666666676</c:v>
                </c:pt>
                <c:pt idx="1">
                  <c:v>5.1382666666666665</c:v>
                </c:pt>
                <c:pt idx="2">
                  <c:v>5.4936666666666669</c:v>
                </c:pt>
                <c:pt idx="3">
                  <c:v>5.7343999999999999</c:v>
                </c:pt>
                <c:pt idx="4">
                  <c:v>5.5765000000000002</c:v>
                </c:pt>
                <c:pt idx="5">
                  <c:v>5.8239000000000001</c:v>
                </c:pt>
                <c:pt idx="6">
                  <c:v>5.629999999999999</c:v>
                </c:pt>
                <c:pt idx="7">
                  <c:v>5.4262000000000006</c:v>
                </c:pt>
                <c:pt idx="8">
                  <c:v>5.7470499999999998</c:v>
                </c:pt>
                <c:pt idx="9">
                  <c:v>5.5963000000000003</c:v>
                </c:pt>
                <c:pt idx="10">
                  <c:v>5.5122500000000008</c:v>
                </c:pt>
              </c:numCache>
            </c:numRef>
          </c:yVal>
          <c:smooth val="0"/>
          <c:extLst>
            <c:ext xmlns:c16="http://schemas.microsoft.com/office/drawing/2014/chart" uri="{C3380CC4-5D6E-409C-BE32-E72D297353CC}">
              <c16:uniqueId val="{0000000D-3AE4-4565-892E-3138926B091B}"/>
            </c:ext>
          </c:extLst>
        </c:ser>
        <c:dLbls>
          <c:showLegendKey val="0"/>
          <c:showVal val="0"/>
          <c:showCatName val="0"/>
          <c:showSerName val="0"/>
          <c:showPercent val="0"/>
          <c:showBubbleSize val="0"/>
        </c:dLbls>
        <c:axId val="716456568"/>
        <c:axId val="716429672"/>
      </c:scatterChart>
      <c:valAx>
        <c:axId val="7164565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a:t>
                </a:r>
                <a:r>
                  <a:rPr lang="en-ZA" baseline="0"/>
                  <a:t> (h)</a:t>
                </a:r>
                <a:endParaRPr lang="en-ZA"/>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6429672"/>
        <c:crosses val="autoZero"/>
        <c:crossBetween val="midCat"/>
      </c:valAx>
      <c:valAx>
        <c:axId val="7164296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C-PC</a:t>
                </a:r>
                <a:r>
                  <a:rPr lang="en-ZA" baseline="0"/>
                  <a:t> </a:t>
                </a:r>
                <a:r>
                  <a:rPr lang="en-ZA"/>
                  <a:t>Concentration</a:t>
                </a:r>
                <a:r>
                  <a:rPr lang="en-ZA" baseline="0"/>
                  <a:t> (g/L)</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645656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32734645878631"/>
          <c:y val="5.0925925925925923E-2"/>
          <c:w val="0.86803635589415351"/>
          <c:h val="0.82220691163604553"/>
        </c:manualLayout>
      </c:layout>
      <c:scatterChart>
        <c:scatterStyle val="lineMarker"/>
        <c:varyColors val="0"/>
        <c:ser>
          <c:idx val="2"/>
          <c:order val="0"/>
          <c:tx>
            <c:v>Beadbeating</c:v>
          </c:tx>
          <c:errBars>
            <c:errDir val="y"/>
            <c:errBarType val="both"/>
            <c:errValType val="cust"/>
            <c:noEndCap val="0"/>
            <c:plus>
              <c:numRef>
                <c:f>'Results and graphs'!$D$18:$N$18</c:f>
                <c:numCache>
                  <c:formatCode>General</c:formatCode>
                  <c:ptCount val="11"/>
                </c:numCache>
              </c:numRef>
            </c:plus>
            <c:minus>
              <c:numRef>
                <c:f>'Results and graphs'!$D$18:$N$18</c:f>
                <c:numCache>
                  <c:formatCode>General</c:formatCode>
                  <c:ptCount val="11"/>
                </c:numCache>
              </c:numRef>
            </c:minus>
          </c:errBars>
          <c:xVal>
            <c:numRef>
              <c:f>'Results and graphs'!#REF!</c:f>
            </c:numRef>
          </c:xVal>
          <c:yVal>
            <c:numRef>
              <c:f>'Results and graphs'!$G$4:$K$4</c:f>
              <c:numCache>
                <c:formatCode>General</c:formatCode>
                <c:ptCount val="5"/>
                <c:pt idx="2" formatCode="0.00">
                  <c:v>0</c:v>
                </c:pt>
                <c:pt idx="3" formatCode="0.00">
                  <c:v>0.72773333333333323</c:v>
                </c:pt>
                <c:pt idx="4" formatCode="0.00">
                  <c:v>0.14902623783876121</c:v>
                </c:pt>
              </c:numCache>
            </c:numRef>
          </c:yVal>
          <c:smooth val="0"/>
          <c:extLst>
            <c:ext xmlns:c16="http://schemas.microsoft.com/office/drawing/2014/chart" uri="{C3380CC4-5D6E-409C-BE32-E72D297353CC}">
              <c16:uniqueId val="{00000006-CB0D-4DF3-8C86-7562405AF1DE}"/>
            </c:ext>
          </c:extLst>
        </c:ser>
        <c:ser>
          <c:idx val="3"/>
          <c:order val="1"/>
          <c:tx>
            <c:v>Control</c:v>
          </c:tx>
          <c:spPr>
            <a:effectLst/>
          </c:spPr>
          <c:errBars>
            <c:errDir val="y"/>
            <c:errBarType val="both"/>
            <c:errValType val="cust"/>
            <c:noEndCap val="0"/>
            <c:plus>
              <c:numRef>
                <c:f>'Results and graphs'!$J$5:$U$5</c:f>
                <c:numCache>
                  <c:formatCode>General</c:formatCode>
                  <c:ptCount val="12"/>
                  <c:pt idx="0">
                    <c:v>5.280800000000001</c:v>
                  </c:pt>
                  <c:pt idx="1">
                    <c:v>0.70885555397874811</c:v>
                  </c:pt>
                  <c:pt idx="2">
                    <c:v>0.70863309352517989</c:v>
                  </c:pt>
                  <c:pt idx="3">
                    <c:v>4.8951442515411829E-2</c:v>
                  </c:pt>
                </c:numCache>
              </c:numRef>
            </c:plus>
            <c:minus>
              <c:numRef>
                <c:f>'Results and graphs'!$J$5:$U$5</c:f>
                <c:numCache>
                  <c:formatCode>General</c:formatCode>
                  <c:ptCount val="12"/>
                  <c:pt idx="0">
                    <c:v>5.280800000000001</c:v>
                  </c:pt>
                  <c:pt idx="1">
                    <c:v>0.70885555397874811</c:v>
                  </c:pt>
                  <c:pt idx="2">
                    <c:v>0.70863309352517989</c:v>
                  </c:pt>
                  <c:pt idx="3">
                    <c:v>4.8951442515411829E-2</c:v>
                  </c:pt>
                </c:numCache>
              </c:numRef>
            </c:minus>
            <c:spPr>
              <a:noFill/>
              <a:ln w="9525" cap="flat" cmpd="sng" algn="ctr">
                <a:solidFill>
                  <a:schemeClr val="tx1">
                    <a:lumMod val="65000"/>
                    <a:lumOff val="35000"/>
                  </a:schemeClr>
                </a:solidFill>
                <a:round/>
              </a:ln>
              <a:effectLst/>
            </c:spPr>
          </c:errBars>
          <c:xVal>
            <c:numRef>
              <c:f>'Results and graphs'!#REF!</c:f>
            </c:numRef>
          </c:xVal>
          <c:yVal>
            <c:numRef>
              <c:f>'Results and graphs'!$J$4:$U$4</c:f>
              <c:numCache>
                <c:formatCode>0.00</c:formatCode>
                <c:ptCount val="12"/>
                <c:pt idx="0">
                  <c:v>0.72773333333333323</c:v>
                </c:pt>
                <c:pt idx="1">
                  <c:v>0.14902623783876121</c:v>
                </c:pt>
                <c:pt idx="2">
                  <c:v>0.22248520710059169</c:v>
                </c:pt>
                <c:pt idx="3">
                  <c:v>2.0259019862702548E-2</c:v>
                </c:pt>
              </c:numCache>
            </c:numRef>
          </c:yVal>
          <c:smooth val="0"/>
          <c:extLst>
            <c:ext xmlns:c16="http://schemas.microsoft.com/office/drawing/2014/chart" uri="{C3380CC4-5D6E-409C-BE32-E72D297353CC}">
              <c16:uniqueId val="{00000007-CB0D-4DF3-8C86-7562405AF1DE}"/>
            </c:ext>
          </c:extLst>
        </c:ser>
        <c:dLbls>
          <c:showLegendKey val="0"/>
          <c:showVal val="0"/>
          <c:showCatName val="0"/>
          <c:showSerName val="0"/>
          <c:showPercent val="0"/>
          <c:showBubbleSize val="0"/>
        </c:dLbls>
        <c:axId val="716446400"/>
        <c:axId val="716426064"/>
      </c:scatterChart>
      <c:scatterChart>
        <c:scatterStyle val="lineMarker"/>
        <c:varyColors val="0"/>
        <c:ser>
          <c:idx val="1"/>
          <c:order val="2"/>
          <c:tx>
            <c:v>Beadbeating</c:v>
          </c:tx>
          <c:errBars>
            <c:errDir val="y"/>
            <c:errBarType val="both"/>
            <c:errValType val="cust"/>
            <c:noEndCap val="0"/>
            <c:plus>
              <c:numRef>
                <c:f>'Results and graphs'!$G$9:$M$9</c:f>
                <c:numCache>
                  <c:formatCode>General</c:formatCode>
                  <c:ptCount val="7"/>
                  <c:pt idx="2">
                    <c:v>12.416666666666666</c:v>
                  </c:pt>
                  <c:pt idx="3">
                    <c:v>5.5377000000000001</c:v>
                  </c:pt>
                  <c:pt idx="4">
                    <c:v>0.17998266884801062</c:v>
                  </c:pt>
                  <c:pt idx="5">
                    <c:v>0.65046535677352646</c:v>
                  </c:pt>
                  <c:pt idx="6">
                    <c:v>1.7849062109771052E-2</c:v>
                  </c:pt>
                </c:numCache>
              </c:numRef>
            </c:plus>
            <c:minus>
              <c:numRef>
                <c:f>'Results and graphs'!$G$9:$M$9</c:f>
                <c:numCache>
                  <c:formatCode>General</c:formatCode>
                  <c:ptCount val="7"/>
                  <c:pt idx="2">
                    <c:v>12.416666666666666</c:v>
                  </c:pt>
                  <c:pt idx="3">
                    <c:v>5.5377000000000001</c:v>
                  </c:pt>
                  <c:pt idx="4">
                    <c:v>0.17998266884801062</c:v>
                  </c:pt>
                  <c:pt idx="5">
                    <c:v>0.65046535677352646</c:v>
                  </c:pt>
                  <c:pt idx="6">
                    <c:v>1.7849062109771052E-2</c:v>
                  </c:pt>
                </c:numCache>
              </c:numRef>
            </c:minus>
          </c:errBars>
          <c:xVal>
            <c:numRef>
              <c:f>'Results and graphs'!#REF!</c:f>
            </c:numRef>
          </c:xVal>
          <c:yVal>
            <c:numRef>
              <c:f>'Results and graphs'!$G$8:$M$8</c:f>
              <c:numCache>
                <c:formatCode>General</c:formatCode>
                <c:ptCount val="7"/>
                <c:pt idx="2" formatCode="0.00">
                  <c:v>9.4166666666666661</c:v>
                </c:pt>
                <c:pt idx="3" formatCode="0.00">
                  <c:v>5.5136000000000003</c:v>
                </c:pt>
                <c:pt idx="4" formatCode="0.00">
                  <c:v>0.15768013468051953</c:v>
                </c:pt>
                <c:pt idx="5" formatCode="0.00">
                  <c:v>0.65027700831024937</c:v>
                </c:pt>
                <c:pt idx="6" formatCode="0.00">
                  <c:v>1.5528333982486257E-2</c:v>
                </c:pt>
              </c:numCache>
            </c:numRef>
          </c:yVal>
          <c:smooth val="0"/>
          <c:extLst>
            <c:ext xmlns:c16="http://schemas.microsoft.com/office/drawing/2014/chart" uri="{C3380CC4-5D6E-409C-BE32-E72D297353CC}">
              <c16:uniqueId val="{00000003-CB0D-4DF3-8C86-7562405AF1DE}"/>
            </c:ext>
          </c:extLst>
        </c:ser>
        <c:ser>
          <c:idx val="0"/>
          <c:order val="3"/>
          <c:tx>
            <c:v>Control</c:v>
          </c:tx>
          <c:spPr>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'Results and graphs'!$L$5:$U$5</c:f>
                <c:numCache>
                  <c:formatCode>General</c:formatCode>
                  <c:ptCount val="10"/>
                  <c:pt idx="0">
                    <c:v>0.70863309352517989</c:v>
                  </c:pt>
                  <c:pt idx="1">
                    <c:v>4.8951442515411829E-2</c:v>
                  </c:pt>
                </c:numCache>
              </c:numRef>
            </c:plus>
            <c:minus>
              <c:numRef>
                <c:f>'Results and graphs'!$L$5:$U$5</c:f>
                <c:numCache>
                  <c:formatCode>General</c:formatCode>
                  <c:ptCount val="10"/>
                  <c:pt idx="0">
                    <c:v>0.70863309352517989</c:v>
                  </c:pt>
                  <c:pt idx="1">
                    <c:v>4.8951442515411829E-2</c:v>
                  </c:pt>
                </c:numCache>
              </c:numRef>
            </c:minus>
            <c:spPr>
              <a:noFill/>
              <a:ln w="9525" cap="flat" cmpd="sng" algn="ctr">
                <a:solidFill>
                  <a:schemeClr val="tx1">
                    <a:lumMod val="65000"/>
                    <a:lumOff val="35000"/>
                  </a:schemeClr>
                </a:solidFill>
                <a:round/>
              </a:ln>
              <a:effectLst/>
            </c:spPr>
          </c:errBars>
          <c:xVal>
            <c:numRef>
              <c:f>'Results and graphs'!#REF!</c:f>
            </c:numRef>
          </c:xVal>
          <c:yVal>
            <c:numRef>
              <c:f>'Results and graphs'!$L$4:$U$4</c:f>
              <c:numCache>
                <c:formatCode>0.00</c:formatCode>
                <c:ptCount val="10"/>
                <c:pt idx="0">
                  <c:v>0.22248520710059169</c:v>
                </c:pt>
                <c:pt idx="1">
                  <c:v>2.0259019862702548E-2</c:v>
                </c:pt>
              </c:numCache>
            </c:numRef>
          </c:yVal>
          <c:smooth val="0"/>
          <c:extLst>
            <c:ext xmlns:c16="http://schemas.microsoft.com/office/drawing/2014/chart" uri="{C3380CC4-5D6E-409C-BE32-E72D297353CC}">
              <c16:uniqueId val="{00000005-CB0D-4DF3-8C86-7562405AF1DE}"/>
            </c:ext>
          </c:extLst>
        </c:ser>
        <c:dLbls>
          <c:showLegendKey val="0"/>
          <c:showVal val="0"/>
          <c:showCatName val="0"/>
          <c:showSerName val="0"/>
          <c:showPercent val="0"/>
          <c:showBubbleSize val="0"/>
        </c:dLbls>
        <c:axId val="625103592"/>
        <c:axId val="625108512"/>
      </c:scatterChart>
      <c:valAx>
        <c:axId val="7164464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(h)</a:t>
                </a:r>
              </a:p>
            </c:rich>
          </c:tx>
          <c:overlay val="0"/>
          <c:spPr>
            <a:noFill/>
            <a:ln>
              <a:noFill/>
            </a:ln>
            <a:effectLst/>
          </c:sp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6426064"/>
        <c:crosses val="autoZero"/>
        <c:crossBetween val="midCat"/>
      </c:valAx>
      <c:valAx>
        <c:axId val="71642606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Purity</a:t>
                </a:r>
                <a:r>
                  <a:rPr lang="en-ZA" baseline="0"/>
                  <a:t> number</a:t>
                </a:r>
                <a:endParaRPr lang="en-ZA"/>
              </a:p>
            </c:rich>
          </c:tx>
          <c:overlay val="0"/>
          <c:spPr>
            <a:noFill/>
            <a:ln>
              <a:noFill/>
            </a:ln>
            <a:effectLst/>
          </c:sp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6446400"/>
        <c:crosses val="autoZero"/>
        <c:crossBetween val="midCat"/>
      </c:valAx>
      <c:valAx>
        <c:axId val="625108512"/>
        <c:scaling>
          <c:orientation val="minMax"/>
        </c:scaling>
        <c:delete val="0"/>
        <c:axPos val="r"/>
        <c:numFmt formatCode="General" sourceLinked="1"/>
        <c:majorTickMark val="out"/>
        <c:minorTickMark val="none"/>
        <c:tickLblPos val="nextTo"/>
        <c:crossAx val="625103592"/>
        <c:crosses val="max"/>
        <c:crossBetween val="midCat"/>
      </c:valAx>
      <c:valAx>
        <c:axId val="625103592"/>
        <c:scaling>
          <c:orientation val="minMax"/>
        </c:scaling>
        <c:delete val="1"/>
        <c:axPos val="b"/>
        <c:numFmt formatCode="0.00" sourceLinked="1"/>
        <c:majorTickMark val="out"/>
        <c:minorTickMark val="none"/>
        <c:tickLblPos val="nextTo"/>
        <c:crossAx val="625108512"/>
        <c:crosses val="autoZero"/>
        <c:crossBetween val="midCat"/>
      </c:valAx>
    </c:plotArea>
    <c:legend>
      <c:legendPos val="r"/>
      <c:layout>
        <c:manualLayout>
          <c:xMode val="edge"/>
          <c:yMode val="edge"/>
          <c:x val="0.61456908907640928"/>
          <c:y val="0.36072725284339463"/>
          <c:w val="0.24587064174288981"/>
          <c:h val="0.27854549431321085"/>
        </c:manualLayout>
      </c:layout>
      <c:overlay val="0"/>
    </c:legend>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C-PC purity number profile during leaching (bead-milled)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solidFill>
                <a:schemeClr val="accent1"/>
              </a:solidFill>
              <a:prstDash val="sysDot"/>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'Results and graphs'!$F$4:$F$14</c:f>
                <c:numCache>
                  <c:formatCode>General</c:formatCode>
                  <c:ptCount val="11"/>
                  <c:pt idx="0">
                    <c:v>2.0742641921552781E-2</c:v>
                  </c:pt>
                  <c:pt idx="1">
                    <c:v>4.6964166309380655E-2</c:v>
                  </c:pt>
                  <c:pt idx="2">
                    <c:v>3.092812361587766E-2</c:v>
                  </c:pt>
                  <c:pt idx="3">
                    <c:v>5.579622185501782E-2</c:v>
                  </c:pt>
                  <c:pt idx="4">
                    <c:v>1.8750504997990209E-2</c:v>
                  </c:pt>
                  <c:pt idx="5">
                    <c:v>1.9503198648807295E-2</c:v>
                  </c:pt>
                  <c:pt idx="6">
                    <c:v>3.6652897965061405E-3</c:v>
                  </c:pt>
                  <c:pt idx="7">
                    <c:v>6.0312203537678424E-2</c:v>
                  </c:pt>
                  <c:pt idx="8">
                    <c:v>2.1152477910718479E-2</c:v>
                  </c:pt>
                  <c:pt idx="9">
                    <c:v>3.5107173330767029E-3</c:v>
                  </c:pt>
                  <c:pt idx="10">
                    <c:v>2.6629367105843755E-2</c:v>
                  </c:pt>
                </c:numCache>
              </c:numRef>
            </c:plus>
            <c:minus>
              <c:numRef>
                <c:f>'Results and graphs'!$F$4:$F$14</c:f>
                <c:numCache>
                  <c:formatCode>General</c:formatCode>
                  <c:ptCount val="11"/>
                  <c:pt idx="0">
                    <c:v>2.0742641921552781E-2</c:v>
                  </c:pt>
                  <c:pt idx="1">
                    <c:v>4.6964166309380655E-2</c:v>
                  </c:pt>
                  <c:pt idx="2">
                    <c:v>3.092812361587766E-2</c:v>
                  </c:pt>
                  <c:pt idx="3">
                    <c:v>5.579622185501782E-2</c:v>
                  </c:pt>
                  <c:pt idx="4">
                    <c:v>1.8750504997990209E-2</c:v>
                  </c:pt>
                  <c:pt idx="5">
                    <c:v>1.9503198648807295E-2</c:v>
                  </c:pt>
                  <c:pt idx="6">
                    <c:v>3.6652897965061405E-3</c:v>
                  </c:pt>
                  <c:pt idx="7">
                    <c:v>6.0312203537678424E-2</c:v>
                  </c:pt>
                  <c:pt idx="8">
                    <c:v>2.1152477910718479E-2</c:v>
                  </c:pt>
                  <c:pt idx="9">
                    <c:v>3.5107173330767029E-3</c:v>
                  </c:pt>
                  <c:pt idx="10">
                    <c:v>2.6629367105843755E-2</c:v>
                  </c:pt>
                </c:numCache>
              </c:numRef>
            </c:minus>
            <c:spPr>
              <a:noFill/>
              <a:ln w="9525" cap="flat" cmpd="sng" algn="ctr">
                <a:solidFill>
                  <a:schemeClr val="tx1">
                    <a:lumMod val="65000"/>
                    <a:lumOff val="35000"/>
                  </a:schemeClr>
                </a:solidFill>
                <a:round/>
              </a:ln>
              <a:effectLst/>
            </c:spPr>
          </c:errBars>
          <c:xVal>
            <c:numRef>
              <c:f>'Results and graphs'!$B$4:$B$14</c:f>
              <c:numCache>
                <c:formatCode>0.00</c:formatCode>
                <c:ptCount val="11"/>
                <c:pt idx="0">
                  <c:v>0</c:v>
                </c:pt>
                <c:pt idx="1">
                  <c:v>2.1666666666666665</c:v>
                </c:pt>
                <c:pt idx="2">
                  <c:v>4.4166666666666661</c:v>
                </c:pt>
                <c:pt idx="3">
                  <c:v>6.4166666666666661</c:v>
                </c:pt>
                <c:pt idx="4">
                  <c:v>9.1666666666666661</c:v>
                </c:pt>
                <c:pt idx="5">
                  <c:v>11.583333333333332</c:v>
                </c:pt>
                <c:pt idx="6">
                  <c:v>14.583333333333332</c:v>
                </c:pt>
                <c:pt idx="7">
                  <c:v>17.583333333333332</c:v>
                </c:pt>
                <c:pt idx="8">
                  <c:v>20.583333333333332</c:v>
                </c:pt>
                <c:pt idx="9">
                  <c:v>24</c:v>
                </c:pt>
                <c:pt idx="10">
                  <c:v>26.166666666666668</c:v>
                </c:pt>
              </c:numCache>
            </c:numRef>
          </c:xVal>
          <c:yVal>
            <c:numRef>
              <c:f>'Results and graphs'!$E$4:$E$14</c:f>
              <c:numCache>
                <c:formatCode>0.00</c:formatCode>
                <c:ptCount val="11"/>
                <c:pt idx="0">
                  <c:v>0.27505827505827507</c:v>
                </c:pt>
                <c:pt idx="1">
                  <c:v>0.69979296066252594</c:v>
                </c:pt>
                <c:pt idx="2">
                  <c:v>0.68804664723032072</c:v>
                </c:pt>
                <c:pt idx="3">
                  <c:v>0.67696440564137006</c:v>
                </c:pt>
                <c:pt idx="4">
                  <c:v>0.66364270760642019</c:v>
                </c:pt>
                <c:pt idx="5">
                  <c:v>0.66036505867014339</c:v>
                </c:pt>
                <c:pt idx="6">
                  <c:v>0.64749661705006756</c:v>
                </c:pt>
                <c:pt idx="7">
                  <c:v>0.65327695560253696</c:v>
                </c:pt>
                <c:pt idx="8">
                  <c:v>0.64372736252881124</c:v>
                </c:pt>
                <c:pt idx="9">
                  <c:v>0.63157894736842102</c:v>
                </c:pt>
                <c:pt idx="10">
                  <c:v>0.6323873121869783</c:v>
                </c:pt>
              </c:numCache>
            </c:numRef>
          </c:yVal>
          <c:smooth val="0"/>
          <c:extLst>
            <c:ext xmlns:c16="http://schemas.microsoft.com/office/drawing/2014/chart" uri="{C3380CC4-5D6E-409C-BE32-E72D297353CC}">
              <c16:uniqueId val="{00000000-D5C6-4056-85B0-8C1E5608177C}"/>
            </c:ext>
          </c:extLst>
        </c:ser>
        <c:dLbls>
          <c:showLegendKey val="0"/>
          <c:showVal val="0"/>
          <c:showCatName val="0"/>
          <c:showSerName val="0"/>
          <c:showPercent val="0"/>
          <c:showBubbleSize val="0"/>
        </c:dLbls>
        <c:axId val="716456568"/>
        <c:axId val="716429672"/>
      </c:scatterChart>
      <c:valAx>
        <c:axId val="7164565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a:t>
                </a:r>
                <a:r>
                  <a:rPr lang="en-ZA" baseline="0"/>
                  <a:t> (h)</a:t>
                </a:r>
                <a:endParaRPr lang="en-ZA"/>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6429672"/>
        <c:crosses val="autoZero"/>
        <c:crossBetween val="midCat"/>
      </c:valAx>
      <c:valAx>
        <c:axId val="7164296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C-PC Purity number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645656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C-PC concentration profile during leaching (non-bead-milled)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solidFill>
                <a:schemeClr val="accent6"/>
              </a:solidFill>
              <a:prstDash val="sysDot"/>
              <a:round/>
            </a:ln>
            <a:effectLst/>
          </c:spPr>
          <c:marker>
            <c:symbol val="circle"/>
            <c:size val="5"/>
            <c:spPr>
              <a:solidFill>
                <a:schemeClr val="accent6"/>
              </a:solidFill>
              <a:ln w="9525">
                <a:solidFill>
                  <a:schemeClr val="accent6"/>
                </a:solidFill>
              </a:ln>
              <a:effectLst/>
            </c:spPr>
          </c:marker>
          <c:errBars>
            <c:errDir val="y"/>
            <c:errBarType val="both"/>
            <c:errValType val="cust"/>
            <c:noEndCap val="0"/>
            <c:plus>
              <c:numRef>
                <c:f>'Results and graphs'!$K$4:$K$13</c:f>
                <c:numCache>
                  <c:formatCode>General</c:formatCode>
                  <c:ptCount val="10"/>
                  <c:pt idx="0">
                    <c:v>0.14902623783876121</c:v>
                  </c:pt>
                  <c:pt idx="1">
                    <c:v>0.70885555397874811</c:v>
                  </c:pt>
                  <c:pt idx="2">
                    <c:v>0.10129651614330121</c:v>
                  </c:pt>
                  <c:pt idx="3">
                    <c:v>8.5497811586984857E-2</c:v>
                  </c:pt>
                  <c:pt idx="4">
                    <c:v>0.15768013468051953</c:v>
                  </c:pt>
                  <c:pt idx="5">
                    <c:v>0.17998266884801062</c:v>
                  </c:pt>
                  <c:pt idx="6">
                    <c:v>0.14624115813965569</c:v>
                  </c:pt>
                  <c:pt idx="7">
                    <c:v>0.11630258775499443</c:v>
                  </c:pt>
                  <c:pt idx="8">
                    <c:v>0.14737403840482879</c:v>
                  </c:pt>
                  <c:pt idx="9">
                    <c:v>0.20067482293072067</c:v>
                  </c:pt>
                </c:numCache>
              </c:numRef>
            </c:plus>
            <c:minus>
              <c:numRef>
                <c:f>'Results and graphs'!$K$4:$K$13</c:f>
                <c:numCache>
                  <c:formatCode>General</c:formatCode>
                  <c:ptCount val="10"/>
                  <c:pt idx="0">
                    <c:v>0.14902623783876121</c:v>
                  </c:pt>
                  <c:pt idx="1">
                    <c:v>0.70885555397874811</c:v>
                  </c:pt>
                  <c:pt idx="2">
                    <c:v>0.10129651614330121</c:v>
                  </c:pt>
                  <c:pt idx="3">
                    <c:v>8.5497811586984857E-2</c:v>
                  </c:pt>
                  <c:pt idx="4">
                    <c:v>0.15768013468051953</c:v>
                  </c:pt>
                  <c:pt idx="5">
                    <c:v>0.17998266884801062</c:v>
                  </c:pt>
                  <c:pt idx="6">
                    <c:v>0.14624115813965569</c:v>
                  </c:pt>
                  <c:pt idx="7">
                    <c:v>0.11630258775499443</c:v>
                  </c:pt>
                  <c:pt idx="8">
                    <c:v>0.14737403840482879</c:v>
                  </c:pt>
                  <c:pt idx="9">
                    <c:v>0.20067482293072067</c:v>
                  </c:pt>
                </c:numCache>
              </c:numRef>
            </c:minus>
            <c:spPr>
              <a:noFill/>
              <a:ln w="9525" cap="flat" cmpd="sng" algn="ctr">
                <a:solidFill>
                  <a:schemeClr val="tx1">
                    <a:lumMod val="65000"/>
                    <a:lumOff val="35000"/>
                  </a:schemeClr>
                </a:solidFill>
                <a:round/>
              </a:ln>
              <a:effectLst/>
            </c:spPr>
          </c:errBars>
          <c:xVal>
            <c:numRef>
              <c:f>'Results and graphs'!$I$4:$I$13</c:f>
              <c:numCache>
                <c:formatCode>0.00</c:formatCode>
                <c:ptCount val="10"/>
                <c:pt idx="0">
                  <c:v>0</c:v>
                </c:pt>
                <c:pt idx="1">
                  <c:v>2.25</c:v>
                </c:pt>
                <c:pt idx="2">
                  <c:v>4.25</c:v>
                </c:pt>
                <c:pt idx="3">
                  <c:v>7</c:v>
                </c:pt>
                <c:pt idx="4">
                  <c:v>9.4166666666666661</c:v>
                </c:pt>
                <c:pt idx="5">
                  <c:v>12.416666666666666</c:v>
                </c:pt>
                <c:pt idx="6">
                  <c:v>15.416666666666666</c:v>
                </c:pt>
                <c:pt idx="7">
                  <c:v>18.416666666666664</c:v>
                </c:pt>
                <c:pt idx="8">
                  <c:v>21.833333333333332</c:v>
                </c:pt>
                <c:pt idx="9">
                  <c:v>24</c:v>
                </c:pt>
              </c:numCache>
            </c:numRef>
          </c:xVal>
          <c:yVal>
            <c:numRef>
              <c:f>'Results and graphs'!$J$4:$J$13</c:f>
              <c:numCache>
                <c:formatCode>0.00</c:formatCode>
                <c:ptCount val="10"/>
                <c:pt idx="0">
                  <c:v>0.72773333333333323</c:v>
                </c:pt>
                <c:pt idx="1">
                  <c:v>5.280800000000001</c:v>
                </c:pt>
                <c:pt idx="2">
                  <c:v>5.5426000000000002</c:v>
                </c:pt>
                <c:pt idx="3">
                  <c:v>5.6828999999999992</c:v>
                </c:pt>
                <c:pt idx="4">
                  <c:v>5.5136000000000003</c:v>
                </c:pt>
                <c:pt idx="5">
                  <c:v>5.5377000000000001</c:v>
                </c:pt>
                <c:pt idx="6">
                  <c:v>5.5427</c:v>
                </c:pt>
                <c:pt idx="7">
                  <c:v>5.5097499999999995</c:v>
                </c:pt>
                <c:pt idx="8">
                  <c:v>5.4546500000000009</c:v>
                </c:pt>
                <c:pt idx="9">
                  <c:v>5.4958000000000009</c:v>
                </c:pt>
              </c:numCache>
            </c:numRef>
          </c:yVal>
          <c:smooth val="0"/>
          <c:extLst>
            <c:ext xmlns:c16="http://schemas.microsoft.com/office/drawing/2014/chart" uri="{C3380CC4-5D6E-409C-BE32-E72D297353CC}">
              <c16:uniqueId val="{00000000-87A3-4E41-81AF-DBA0E206D454}"/>
            </c:ext>
          </c:extLst>
        </c:ser>
        <c:dLbls>
          <c:showLegendKey val="0"/>
          <c:showVal val="0"/>
          <c:showCatName val="0"/>
          <c:showSerName val="0"/>
          <c:showPercent val="0"/>
          <c:showBubbleSize val="0"/>
        </c:dLbls>
        <c:axId val="716456568"/>
        <c:axId val="716429672"/>
      </c:scatterChart>
      <c:valAx>
        <c:axId val="7164565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a:t>
                </a:r>
                <a:r>
                  <a:rPr lang="en-ZA" baseline="0"/>
                  <a:t> (h)</a:t>
                </a:r>
                <a:endParaRPr lang="en-ZA"/>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6429672"/>
        <c:crosses val="autoZero"/>
        <c:crossBetween val="midCat"/>
      </c:valAx>
      <c:valAx>
        <c:axId val="7164296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C-PC</a:t>
                </a:r>
                <a:r>
                  <a:rPr lang="en-ZA" baseline="0"/>
                  <a:t> </a:t>
                </a:r>
                <a:r>
                  <a:rPr lang="en-ZA"/>
                  <a:t>Concentration</a:t>
                </a:r>
                <a:r>
                  <a:rPr lang="en-ZA" baseline="0"/>
                  <a:t> (g/L)</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645656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C-PC purity number profile during leaching (non-bead-milled)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solidFill>
                <a:schemeClr val="accent6"/>
              </a:solidFill>
              <a:prstDash val="sysDot"/>
              <a:round/>
            </a:ln>
            <a:effectLst/>
          </c:spPr>
          <c:marker>
            <c:symbol val="circle"/>
            <c:size val="5"/>
            <c:spPr>
              <a:solidFill>
                <a:schemeClr val="accent6"/>
              </a:solidFill>
              <a:ln w="9525">
                <a:solidFill>
                  <a:schemeClr val="accent6"/>
                </a:solidFill>
              </a:ln>
              <a:effectLst/>
            </c:spPr>
          </c:marker>
          <c:errBars>
            <c:errDir val="y"/>
            <c:errBarType val="both"/>
            <c:errValType val="cust"/>
            <c:noEndCap val="0"/>
            <c:plus>
              <c:numRef>
                <c:f>'Results and graphs'!$M$4:$M$13</c:f>
                <c:numCache>
                  <c:formatCode>General</c:formatCode>
                  <c:ptCount val="10"/>
                  <c:pt idx="0">
                    <c:v>2.0259019862702548E-2</c:v>
                  </c:pt>
                  <c:pt idx="1">
                    <c:v>4.8951442515411829E-2</c:v>
                  </c:pt>
                  <c:pt idx="2">
                    <c:v>1.4055717751071974E-2</c:v>
                  </c:pt>
                  <c:pt idx="3">
                    <c:v>1.0355387760224703E-2</c:v>
                  </c:pt>
                  <c:pt idx="4">
                    <c:v>1.5528333982486257E-2</c:v>
                  </c:pt>
                  <c:pt idx="5">
                    <c:v>1.7849062109771052E-2</c:v>
                  </c:pt>
                  <c:pt idx="6">
                    <c:v>1.8658821256020398E-2</c:v>
                  </c:pt>
                  <c:pt idx="7">
                    <c:v>1.2502652439451931E-2</c:v>
                  </c:pt>
                  <c:pt idx="8">
                    <c:v>2.0174593765433683E-2</c:v>
                  </c:pt>
                  <c:pt idx="9">
                    <c:v>1.7617021118209574E-2</c:v>
                  </c:pt>
                </c:numCache>
              </c:numRef>
            </c:plus>
            <c:minus>
              <c:numRef>
                <c:f>'Results and graphs'!$M$4:$M$13</c:f>
                <c:numCache>
                  <c:formatCode>General</c:formatCode>
                  <c:ptCount val="10"/>
                  <c:pt idx="0">
                    <c:v>2.0259019862702548E-2</c:v>
                  </c:pt>
                  <c:pt idx="1">
                    <c:v>4.8951442515411829E-2</c:v>
                  </c:pt>
                  <c:pt idx="2">
                    <c:v>1.4055717751071974E-2</c:v>
                  </c:pt>
                  <c:pt idx="3">
                    <c:v>1.0355387760224703E-2</c:v>
                  </c:pt>
                  <c:pt idx="4">
                    <c:v>1.5528333982486257E-2</c:v>
                  </c:pt>
                  <c:pt idx="5">
                    <c:v>1.7849062109771052E-2</c:v>
                  </c:pt>
                  <c:pt idx="6">
                    <c:v>1.8658821256020398E-2</c:v>
                  </c:pt>
                  <c:pt idx="7">
                    <c:v>1.2502652439451931E-2</c:v>
                  </c:pt>
                  <c:pt idx="8">
                    <c:v>2.0174593765433683E-2</c:v>
                  </c:pt>
                  <c:pt idx="9">
                    <c:v>1.7617021118209574E-2</c:v>
                  </c:pt>
                </c:numCache>
              </c:numRef>
            </c:minus>
            <c:spPr>
              <a:noFill/>
              <a:ln w="9525" cap="flat" cmpd="sng" algn="ctr">
                <a:solidFill>
                  <a:schemeClr val="tx1">
                    <a:lumMod val="65000"/>
                    <a:lumOff val="35000"/>
                  </a:schemeClr>
                </a:solidFill>
                <a:round/>
              </a:ln>
              <a:effectLst/>
            </c:spPr>
          </c:errBars>
          <c:xVal>
            <c:numRef>
              <c:f>'Results and graphs'!$I$4:$I$13</c:f>
              <c:numCache>
                <c:formatCode>0.00</c:formatCode>
                <c:ptCount val="10"/>
                <c:pt idx="0">
                  <c:v>0</c:v>
                </c:pt>
                <c:pt idx="1">
                  <c:v>2.25</c:v>
                </c:pt>
                <c:pt idx="2">
                  <c:v>4.25</c:v>
                </c:pt>
                <c:pt idx="3">
                  <c:v>7</c:v>
                </c:pt>
                <c:pt idx="4">
                  <c:v>9.4166666666666661</c:v>
                </c:pt>
                <c:pt idx="5">
                  <c:v>12.416666666666666</c:v>
                </c:pt>
                <c:pt idx="6">
                  <c:v>15.416666666666666</c:v>
                </c:pt>
                <c:pt idx="7">
                  <c:v>18.416666666666664</c:v>
                </c:pt>
                <c:pt idx="8">
                  <c:v>21.833333333333332</c:v>
                </c:pt>
                <c:pt idx="9">
                  <c:v>24</c:v>
                </c:pt>
              </c:numCache>
            </c:numRef>
          </c:xVal>
          <c:yVal>
            <c:numRef>
              <c:f>'Results and graphs'!$L$4:$L$13</c:f>
              <c:numCache>
                <c:formatCode>0.00</c:formatCode>
                <c:ptCount val="10"/>
                <c:pt idx="0">
                  <c:v>0.22248520710059169</c:v>
                </c:pt>
                <c:pt idx="1">
                  <c:v>0.70863309352517989</c:v>
                </c:pt>
                <c:pt idx="2">
                  <c:v>0.67596566523605151</c:v>
                </c:pt>
                <c:pt idx="3">
                  <c:v>0.66850068775790916</c:v>
                </c:pt>
                <c:pt idx="4">
                  <c:v>0.65027700831024937</c:v>
                </c:pt>
                <c:pt idx="5">
                  <c:v>0.65046535677352646</c:v>
                </c:pt>
                <c:pt idx="6">
                  <c:v>0.6510506372717878</c:v>
                </c:pt>
                <c:pt idx="7">
                  <c:v>0.64207275223061078</c:v>
                </c:pt>
                <c:pt idx="8">
                  <c:v>0.63804945054945061</c:v>
                </c:pt>
                <c:pt idx="9">
                  <c:v>0.63255656872678157</c:v>
                </c:pt>
              </c:numCache>
            </c:numRef>
          </c:yVal>
          <c:smooth val="0"/>
          <c:extLst>
            <c:ext xmlns:c16="http://schemas.microsoft.com/office/drawing/2014/chart" uri="{C3380CC4-5D6E-409C-BE32-E72D297353CC}">
              <c16:uniqueId val="{00000000-F100-41A2-BC21-FFABB174AF1A}"/>
            </c:ext>
          </c:extLst>
        </c:ser>
        <c:dLbls>
          <c:showLegendKey val="0"/>
          <c:showVal val="0"/>
          <c:showCatName val="0"/>
          <c:showSerName val="0"/>
          <c:showPercent val="0"/>
          <c:showBubbleSize val="0"/>
        </c:dLbls>
        <c:axId val="716456568"/>
        <c:axId val="716429672"/>
      </c:scatterChart>
      <c:valAx>
        <c:axId val="7164565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a:t>
                </a:r>
                <a:r>
                  <a:rPr lang="en-ZA" baseline="0"/>
                  <a:t> (h)</a:t>
                </a:r>
                <a:endParaRPr lang="en-ZA"/>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6429672"/>
        <c:crosses val="autoZero"/>
        <c:crossBetween val="midCat"/>
      </c:valAx>
      <c:valAx>
        <c:axId val="7164296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C-PC Purity number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645656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491094</xdr:colOff>
      <xdr:row>16</xdr:row>
      <xdr:rowOff>84364</xdr:rowOff>
    </xdr:from>
    <xdr:to>
      <xdr:col>5</xdr:col>
      <xdr:colOff>1108363</xdr:colOff>
      <xdr:row>30</xdr:row>
      <xdr:rowOff>160564</xdr:rowOff>
    </xdr:to>
    <xdr:graphicFrame macro="">
      <xdr:nvGraphicFramePr>
        <xdr:cNvPr id="2" name="Chart 1">
          <a:extLst>
            <a:ext uri="{FF2B5EF4-FFF2-40B4-BE49-F238E27FC236}">
              <a16:creationId xmlns:a16="http://schemas.microsoft.com/office/drawing/2014/main" id="{C337A652-C7A2-4CB0-818B-674F414132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0</xdr:colOff>
      <xdr:row>51</xdr:row>
      <xdr:rowOff>0</xdr:rowOff>
    </xdr:from>
    <xdr:to>
      <xdr:col>46</xdr:col>
      <xdr:colOff>289461</xdr:colOff>
      <xdr:row>65</xdr:row>
      <xdr:rowOff>76200</xdr:rowOff>
    </xdr:to>
    <xdr:graphicFrame macro="">
      <xdr:nvGraphicFramePr>
        <xdr:cNvPr id="8" name="Chart 7">
          <a:extLst>
            <a:ext uri="{FF2B5EF4-FFF2-40B4-BE49-F238E27FC236}">
              <a16:creationId xmlns:a16="http://schemas.microsoft.com/office/drawing/2014/main" id="{2459DCC3-4463-4258-AE1A-7CE0C23172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550471</xdr:colOff>
      <xdr:row>32</xdr:row>
      <xdr:rowOff>103909</xdr:rowOff>
    </xdr:from>
    <xdr:to>
      <xdr:col>5</xdr:col>
      <xdr:colOff>1143000</xdr:colOff>
      <xdr:row>46</xdr:row>
      <xdr:rowOff>180109</xdr:rowOff>
    </xdr:to>
    <xdr:graphicFrame macro="">
      <xdr:nvGraphicFramePr>
        <xdr:cNvPr id="9" name="Chart 8">
          <a:extLst>
            <a:ext uri="{FF2B5EF4-FFF2-40B4-BE49-F238E27FC236}">
              <a16:creationId xmlns:a16="http://schemas.microsoft.com/office/drawing/2014/main" id="{D298FB75-C83D-4CB2-9231-99D298C5B43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225137</xdr:colOff>
      <xdr:row>16</xdr:row>
      <xdr:rowOff>34636</xdr:rowOff>
    </xdr:from>
    <xdr:to>
      <xdr:col>12</xdr:col>
      <xdr:colOff>1177637</xdr:colOff>
      <xdr:row>30</xdr:row>
      <xdr:rowOff>110836</xdr:rowOff>
    </xdr:to>
    <xdr:graphicFrame macro="">
      <xdr:nvGraphicFramePr>
        <xdr:cNvPr id="10" name="Chart 9">
          <a:extLst>
            <a:ext uri="{FF2B5EF4-FFF2-40B4-BE49-F238E27FC236}">
              <a16:creationId xmlns:a16="http://schemas.microsoft.com/office/drawing/2014/main" id="{762672CC-1B23-43A2-B174-547BE81EBA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235527</xdr:colOff>
      <xdr:row>32</xdr:row>
      <xdr:rowOff>0</xdr:rowOff>
    </xdr:from>
    <xdr:to>
      <xdr:col>12</xdr:col>
      <xdr:colOff>1194955</xdr:colOff>
      <xdr:row>46</xdr:row>
      <xdr:rowOff>76200</xdr:rowOff>
    </xdr:to>
    <xdr:graphicFrame macro="">
      <xdr:nvGraphicFramePr>
        <xdr:cNvPr id="11" name="Chart 10">
          <a:extLst>
            <a:ext uri="{FF2B5EF4-FFF2-40B4-BE49-F238E27FC236}">
              <a16:creationId xmlns:a16="http://schemas.microsoft.com/office/drawing/2014/main" id="{79E91900-1D9C-4C0F-9F72-EF93DF5C16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103415</xdr:colOff>
      <xdr:row>0</xdr:row>
      <xdr:rowOff>145596</xdr:rowOff>
    </xdr:from>
    <xdr:to>
      <xdr:col>8</xdr:col>
      <xdr:colOff>141514</xdr:colOff>
      <xdr:row>8</xdr:row>
      <xdr:rowOff>174173</xdr:rowOff>
    </xdr:to>
    <xdr:sp macro="" textlink="">
      <xdr:nvSpPr>
        <xdr:cNvPr id="2" name="TextBox 1">
          <a:extLst>
            <a:ext uri="{FF2B5EF4-FFF2-40B4-BE49-F238E27FC236}">
              <a16:creationId xmlns:a16="http://schemas.microsoft.com/office/drawing/2014/main" id="{72A7A507-94B3-4D89-B658-E9E899BE8E6D}"/>
            </a:ext>
          </a:extLst>
        </xdr:cNvPr>
        <xdr:cNvSpPr txBox="1"/>
      </xdr:nvSpPr>
      <xdr:spPr>
        <a:xfrm>
          <a:off x="103415" y="145596"/>
          <a:ext cx="4914899" cy="150903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en-ZA" sz="1100">
              <a:solidFill>
                <a:schemeClr val="dk1"/>
              </a:solidFill>
              <a:effectLst/>
              <a:latin typeface="+mn-lt"/>
              <a:ea typeface="+mn-ea"/>
              <a:cs typeface="+mn-cs"/>
            </a:rPr>
            <a:t>For the experimental system, the dry </a:t>
          </a:r>
          <a:r>
            <a:rPr lang="en-ZA" sz="1100" i="1">
              <a:solidFill>
                <a:schemeClr val="dk1"/>
              </a:solidFill>
              <a:effectLst/>
              <a:latin typeface="+mn-lt"/>
              <a:ea typeface="+mn-ea"/>
              <a:cs typeface="+mn-cs"/>
            </a:rPr>
            <a:t>Spirulina</a:t>
          </a:r>
          <a:r>
            <a:rPr lang="en-ZA" sz="1100">
              <a:solidFill>
                <a:schemeClr val="dk1"/>
              </a:solidFill>
              <a:effectLst/>
              <a:latin typeface="+mn-lt"/>
              <a:ea typeface="+mn-ea"/>
              <a:cs typeface="+mn-cs"/>
            </a:rPr>
            <a:t> powder was bead-milled according to the protocol by Fagan-Endres </a:t>
          </a:r>
          <a:r>
            <a:rPr lang="en-ZA" sz="1100" i="1">
              <a:solidFill>
                <a:schemeClr val="dk1"/>
              </a:solidFill>
              <a:effectLst/>
              <a:latin typeface="+mn-lt"/>
              <a:ea typeface="+mn-ea"/>
              <a:cs typeface="+mn-cs"/>
            </a:rPr>
            <a:t>et al.</a:t>
          </a:r>
          <a:r>
            <a:rPr lang="en-ZA" sz="1100">
              <a:solidFill>
                <a:schemeClr val="dk1"/>
              </a:solidFill>
              <a:effectLst/>
              <a:latin typeface="+mn-lt"/>
              <a:ea typeface="+mn-ea"/>
              <a:cs typeface="+mn-cs"/>
            </a:rPr>
            <a:t> (2016) above (4.3.2). A control experiment was run where the 100 g of </a:t>
          </a:r>
          <a:r>
            <a:rPr lang="en-ZA" sz="1100" i="1">
              <a:solidFill>
                <a:schemeClr val="dk1"/>
              </a:solidFill>
              <a:effectLst/>
              <a:latin typeface="+mn-lt"/>
              <a:ea typeface="+mn-ea"/>
              <a:cs typeface="+mn-cs"/>
            </a:rPr>
            <a:t>Spirulina</a:t>
          </a:r>
          <a:r>
            <a:rPr lang="en-ZA" sz="1100">
              <a:solidFill>
                <a:schemeClr val="dk1"/>
              </a:solidFill>
              <a:effectLst/>
              <a:latin typeface="+mn-lt"/>
              <a:ea typeface="+mn-ea"/>
              <a:cs typeface="+mn-cs"/>
            </a:rPr>
            <a:t> powder was mixed by the overhead stirrer in 1 L of citrate buffer at 5 g/L as above, without glass beads. This was done to compare the leaching of the phycocyanin into solution without any additional cell disruption. Regular measurements, every 2 to 3 hours, were taken for analysis of C-PC concentration and purity, from which the recovery could be determined (see C-PC quantification methods found in section 4.4.1).</a:t>
          </a:r>
          <a:endParaRPr lang="en-ZA" sz="1100"/>
        </a:p>
      </xdr:txBody>
    </xdr:sp>
    <xdr:clientData/>
  </xdr:twoCellAnchor>
  <xdr:twoCellAnchor>
    <xdr:from>
      <xdr:col>0</xdr:col>
      <xdr:colOff>138793</xdr:colOff>
      <xdr:row>10</xdr:row>
      <xdr:rowOff>0</xdr:rowOff>
    </xdr:from>
    <xdr:to>
      <xdr:col>8</xdr:col>
      <xdr:colOff>185057</xdr:colOff>
      <xdr:row>19</xdr:row>
      <xdr:rowOff>10885</xdr:rowOff>
    </xdr:to>
    <xdr:sp macro="" textlink="">
      <xdr:nvSpPr>
        <xdr:cNvPr id="3" name="TextBox 2">
          <a:extLst>
            <a:ext uri="{FF2B5EF4-FFF2-40B4-BE49-F238E27FC236}">
              <a16:creationId xmlns:a16="http://schemas.microsoft.com/office/drawing/2014/main" id="{87B89F10-743C-44F8-A6BF-65AEDD3B7EEC}"/>
            </a:ext>
          </a:extLst>
        </xdr:cNvPr>
        <xdr:cNvSpPr txBox="1"/>
      </xdr:nvSpPr>
      <xdr:spPr>
        <a:xfrm>
          <a:off x="138793" y="1850571"/>
          <a:ext cx="4923064" cy="1676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ZA" sz="1100">
              <a:solidFill>
                <a:schemeClr val="dk1"/>
              </a:solidFill>
              <a:effectLst/>
              <a:latin typeface="+mn-lt"/>
              <a:ea typeface="+mn-ea"/>
              <a:cs typeface="+mn-cs"/>
            </a:rPr>
            <a:t>Dry </a:t>
          </a:r>
          <a:r>
            <a:rPr lang="en-ZA" sz="1100" i="1">
              <a:solidFill>
                <a:schemeClr val="dk1"/>
              </a:solidFill>
              <a:effectLst/>
              <a:latin typeface="+mn-lt"/>
              <a:ea typeface="+mn-ea"/>
              <a:cs typeface="+mn-cs"/>
            </a:rPr>
            <a:t>Spirulina</a:t>
          </a:r>
          <a:r>
            <a:rPr lang="en-ZA" sz="1100">
              <a:solidFill>
                <a:schemeClr val="dk1"/>
              </a:solidFill>
              <a:effectLst/>
              <a:latin typeface="+mn-lt"/>
              <a:ea typeface="+mn-ea"/>
              <a:cs typeface="+mn-cs"/>
            </a:rPr>
            <a:t> powder was bead-milled in a 3 L plastic beaker with 1 kg of 1 mm diameter borosilicate glass beads (purchased from MilliporeSigma). An overhead stirrer (Dillon RDM-100A 14” drill press) was used, operating at 180 RPM. 100 g dry </a:t>
          </a:r>
          <a:r>
            <a:rPr lang="en-ZA" sz="1100" i="1">
              <a:solidFill>
                <a:schemeClr val="dk1"/>
              </a:solidFill>
              <a:effectLst/>
              <a:latin typeface="+mn-lt"/>
              <a:ea typeface="+mn-ea"/>
              <a:cs typeface="+mn-cs"/>
            </a:rPr>
            <a:t>Spirulina</a:t>
          </a:r>
          <a:r>
            <a:rPr lang="en-ZA" sz="1100">
              <a:solidFill>
                <a:schemeClr val="dk1"/>
              </a:solidFill>
              <a:effectLst/>
              <a:latin typeface="+mn-lt"/>
              <a:ea typeface="+mn-ea"/>
              <a:cs typeface="+mn-cs"/>
            </a:rPr>
            <a:t> was loaded with a mixture of 92 % sodium citrate (Kimix Chemicals, South Africa) and 8 % citric acid (Sigma-Aldrich). Weighing was done using a Radwag PS 4500.R2 balance. This made up a 5 g/L buffering capacity of citrate salts at pH 6, confirmed using a Lasec pH 50+ DHS probe. The volume was then topped up with deionised water to 1 L. The mixture was milled for 15 minutes with the liquid then poured off and left to soak for a further 48 h to leach the C-PC from the cell debris. </a:t>
          </a:r>
        </a:p>
        <a:p>
          <a:endParaRPr lang="en-ZA" sz="1100"/>
        </a:p>
      </xdr:txBody>
    </xdr:sp>
    <xdr:clientData/>
  </xdr:twoCellAnchor>
  <xdr:twoCellAnchor>
    <xdr:from>
      <xdr:col>0</xdr:col>
      <xdr:colOff>185057</xdr:colOff>
      <xdr:row>20</xdr:row>
      <xdr:rowOff>87085</xdr:rowOff>
    </xdr:from>
    <xdr:to>
      <xdr:col>8</xdr:col>
      <xdr:colOff>206828</xdr:colOff>
      <xdr:row>59</xdr:row>
      <xdr:rowOff>141515</xdr:rowOff>
    </xdr:to>
    <mc:AlternateContent xmlns:mc="http://schemas.openxmlformats.org/markup-compatibility/2006">
      <mc:Choice xmlns:a14="http://schemas.microsoft.com/office/drawing/2010/main" Requires="a14">
        <xdr:sp macro="" textlink="">
          <xdr:nvSpPr>
            <xdr:cNvPr id="4" name="TextBox 3">
              <a:extLst>
                <a:ext uri="{FF2B5EF4-FFF2-40B4-BE49-F238E27FC236}">
                  <a16:creationId xmlns:a16="http://schemas.microsoft.com/office/drawing/2014/main" id="{1CB6C99F-7C1C-4029-A30A-0DA0F6392BD9}"/>
                </a:ext>
              </a:extLst>
            </xdr:cNvPr>
            <xdr:cNvSpPr txBox="1"/>
          </xdr:nvSpPr>
          <xdr:spPr>
            <a:xfrm>
              <a:off x="185057" y="3788228"/>
              <a:ext cx="4898571" cy="72716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b="1"/>
                <a:t>C-PC descriptors </a:t>
              </a:r>
            </a:p>
            <a:p>
              <a:r>
                <a:rPr lang="en-ZA"/>
                <a:t>For each experiment where the purity number, recovery and concentration of C-phycocyanin were relevant, the following formulae were used. In each case, the sample was appropriately diluted with deionised water, centrifuged in 2 mL Eppendorf microcentrifuge tubes at 13000 RPM in a microcentrifuge (Eppendorf MiniSpin plus), and then the absorbances were read by spectrophotometer. Each sample had absorbance quantified at 280, 620 and 650 nm, the maximum absorbance wavelengths for proteins, C-phycocyanin and allophycocyanin, respectively. The total volume from which the sample was taken was also quantified and used to determine the total phycocyanin content, which could be used to determine recoveries at each step</a:t>
              </a:r>
            </a:p>
            <a:p>
              <a:endParaRPr lang="en-ZA"/>
            </a:p>
            <a:p>
              <a:pPr marL="0" marR="0" lvl="0" indent="0" algn="l" defTabSz="914400" eaLnBrk="1" fontAlgn="auto" latinLnBrk="0" hangingPunct="1">
                <a:lnSpc>
                  <a:spcPct val="100000"/>
                </a:lnSpc>
                <a:spcBef>
                  <a:spcPts val="0"/>
                </a:spcBef>
                <a:spcAft>
                  <a:spcPts val="0"/>
                </a:spcAft>
                <a:buClrTx/>
                <a:buSzTx/>
                <a:buFontTx/>
                <a:buNone/>
                <a:tabLst/>
                <a:defRPr/>
              </a:pPr>
              <a:r>
                <a:rPr lang="en-ZA" sz="1100" b="1" i="1">
                  <a:solidFill>
                    <a:schemeClr val="dk1"/>
                  </a:solidFill>
                  <a:effectLst/>
                  <a:latin typeface="+mn-lt"/>
                  <a:ea typeface="+mn-ea"/>
                  <a:cs typeface="+mn-cs"/>
                </a:rPr>
                <a:t>C-PC Purity</a:t>
              </a:r>
              <a:endParaRPr lang="en-ZA" sz="1100">
                <a:solidFill>
                  <a:schemeClr val="dk1"/>
                </a:solidFill>
                <a:effectLst/>
                <a:latin typeface="+mn-lt"/>
                <a:ea typeface="+mn-ea"/>
                <a:cs typeface="+mn-cs"/>
              </a:endParaRPr>
            </a:p>
            <a:p>
              <a:r>
                <a:rPr lang="en-ZA" sz="1100">
                  <a:solidFill>
                    <a:schemeClr val="dk1"/>
                  </a:solidFill>
                  <a:effectLst/>
                  <a:latin typeface="+mn-lt"/>
                  <a:ea typeface="+mn-ea"/>
                  <a:cs typeface="+mn-cs"/>
                </a:rPr>
                <a:t>The purity of phycocyanin is by convention given as the purity number. This is the ratio of the absorbance at the maximum absorbance for C-PC (620 nm) to the maximum absorbance for the total amino acids present in solution (280 nm). The spectrophotometer was used to determine this ratio, using microplates for the sample readings. </a:t>
              </a:r>
            </a:p>
            <a:p>
              <a14:m>
                <m:oMath xmlns:m="http://schemas.openxmlformats.org/officeDocument/2006/math">
                  <m:r>
                    <a:rPr lang="en-ZA" sz="1100" i="1">
                      <a:solidFill>
                        <a:schemeClr val="dk1"/>
                      </a:solidFill>
                      <a:effectLst/>
                      <a:latin typeface="Cambria Math" panose="02040503050406030204" pitchFamily="18" charset="0"/>
                      <a:ea typeface="+mn-ea"/>
                      <a:cs typeface="+mn-cs"/>
                    </a:rPr>
                    <m:t>𝑐𝑃𝐶</m:t>
                  </m:r>
                  <m:r>
                    <a:rPr lang="en-ZA" sz="1100" i="1">
                      <a:solidFill>
                        <a:schemeClr val="dk1"/>
                      </a:solidFill>
                      <a:effectLst/>
                      <a:latin typeface="Cambria Math" panose="02040503050406030204" pitchFamily="18" charset="0"/>
                      <a:ea typeface="+mn-ea"/>
                      <a:cs typeface="+mn-cs"/>
                    </a:rPr>
                    <m:t> </m:t>
                  </m:r>
                  <m:r>
                    <a:rPr lang="en-ZA" sz="1100" i="1">
                      <a:solidFill>
                        <a:schemeClr val="dk1"/>
                      </a:solidFill>
                      <a:effectLst/>
                      <a:latin typeface="Cambria Math" panose="02040503050406030204" pitchFamily="18" charset="0"/>
                      <a:ea typeface="+mn-ea"/>
                      <a:cs typeface="+mn-cs"/>
                    </a:rPr>
                    <m:t>𝑝𝑢𝑟𝑖𝑡𝑦</m:t>
                  </m:r>
                  <m:r>
                    <a:rPr lang="en-ZA" sz="1100" i="1">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r>
                        <a:rPr lang="en-ZA" sz="1100" i="1">
                          <a:solidFill>
                            <a:schemeClr val="dk1"/>
                          </a:solidFill>
                          <a:effectLst/>
                          <a:latin typeface="Cambria Math" panose="02040503050406030204" pitchFamily="18" charset="0"/>
                          <a:ea typeface="+mn-ea"/>
                          <a:cs typeface="+mn-cs"/>
                        </a:rPr>
                        <m:t> </m:t>
                      </m:r>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A</m:t>
                          </m:r>
                        </m:e>
                        <m:sub>
                          <m:r>
                            <a:rPr lang="en-ZA" sz="1100">
                              <a:solidFill>
                                <a:schemeClr val="dk1"/>
                              </a:solidFill>
                              <a:effectLst/>
                              <a:latin typeface="Cambria Math" panose="02040503050406030204" pitchFamily="18" charset="0"/>
                              <a:ea typeface="+mn-ea"/>
                              <a:cs typeface="+mn-cs"/>
                            </a:rPr>
                            <m:t>620</m:t>
                          </m:r>
                        </m:sub>
                      </m:sSub>
                    </m:num>
                    <m:den>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A</m:t>
                          </m:r>
                        </m:e>
                        <m:sub>
                          <m:r>
                            <a:rPr lang="en-ZA" sz="1100">
                              <a:solidFill>
                                <a:schemeClr val="dk1"/>
                              </a:solidFill>
                              <a:effectLst/>
                              <a:latin typeface="Cambria Math" panose="02040503050406030204" pitchFamily="18" charset="0"/>
                              <a:ea typeface="+mn-ea"/>
                              <a:cs typeface="+mn-cs"/>
                            </a:rPr>
                            <m:t>280</m:t>
                          </m:r>
                        </m:sub>
                      </m:sSub>
                    </m:den>
                  </m:f>
                  <m:r>
                    <a:rPr lang="en-ZA" sz="1100" i="1">
                      <a:solidFill>
                        <a:schemeClr val="dk1"/>
                      </a:solidFill>
                      <a:effectLst/>
                      <a:latin typeface="Cambria Math" panose="02040503050406030204" pitchFamily="18" charset="0"/>
                      <a:ea typeface="+mn-ea"/>
                      <a:cs typeface="+mn-cs"/>
                    </a:rPr>
                    <m:t> </m:t>
                  </m:r>
                </m:oMath>
              </a14:m>
              <a:r>
                <a:rPr lang="en-ZA" sz="1100">
                  <a:solidFill>
                    <a:schemeClr val="dk1"/>
                  </a:solidFill>
                  <a:effectLst/>
                  <a:latin typeface="+mn-lt"/>
                  <a:ea typeface="+mn-ea"/>
                  <a:cs typeface="+mn-cs"/>
                </a:rPr>
                <a:t>			Equation 2</a:t>
              </a:r>
            </a:p>
            <a:p>
              <a:r>
                <a:rPr lang="en-ZA" sz="1100">
                  <a:solidFill>
                    <a:schemeClr val="dk1"/>
                  </a:solidFill>
                  <a:effectLst/>
                  <a:latin typeface="+mn-lt"/>
                  <a:ea typeface="+mn-ea"/>
                  <a:cs typeface="+mn-cs"/>
                </a:rPr>
                <a:t>Where </a:t>
              </a:r>
              <a14:m>
                <m:oMath xmlns:m="http://schemas.openxmlformats.org/officeDocument/2006/math">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A</m:t>
                      </m:r>
                    </m:e>
                    <m:sub>
                      <m:r>
                        <m:rPr>
                          <m:sty m:val="p"/>
                        </m:rPr>
                        <a:rPr lang="en-ZA" sz="1100">
                          <a:solidFill>
                            <a:schemeClr val="dk1"/>
                          </a:solidFill>
                          <a:effectLst/>
                          <a:latin typeface="Cambria Math" panose="02040503050406030204" pitchFamily="18" charset="0"/>
                          <a:ea typeface="+mn-ea"/>
                          <a:cs typeface="+mn-cs"/>
                        </a:rPr>
                        <m:t>λ</m:t>
                      </m:r>
                    </m:sub>
                  </m:sSub>
                </m:oMath>
              </a14:m>
              <a:r>
                <a:rPr lang="en-ZA" sz="1100">
                  <a:solidFill>
                    <a:schemeClr val="dk1"/>
                  </a:solidFill>
                  <a:effectLst/>
                  <a:latin typeface="+mn-lt"/>
                  <a:ea typeface="+mn-ea"/>
                  <a:cs typeface="+mn-cs"/>
                </a:rPr>
                <a:t> is the absorbance under a spectrophotometer at λ, the wavelength in nm.</a:t>
              </a:r>
            </a:p>
            <a:p>
              <a:endParaRPr lang="en-ZA" sz="1100" b="1" i="1">
                <a:solidFill>
                  <a:schemeClr val="dk1"/>
                </a:solidFill>
                <a:effectLst/>
                <a:latin typeface="+mn-lt"/>
                <a:ea typeface="+mn-ea"/>
                <a:cs typeface="+mn-cs"/>
              </a:endParaRPr>
            </a:p>
            <a:p>
              <a:r>
                <a:rPr lang="en-ZA" sz="1100" b="1" i="1">
                  <a:solidFill>
                    <a:schemeClr val="dk1"/>
                  </a:solidFill>
                  <a:effectLst/>
                  <a:latin typeface="+mn-lt"/>
                  <a:ea typeface="+mn-ea"/>
                  <a:cs typeface="+mn-cs"/>
                </a:rPr>
                <a:t>C-PC concentration</a:t>
              </a:r>
            </a:p>
            <a:p>
              <a:r>
                <a:rPr lang="en-ZA" sz="1100">
                  <a:solidFill>
                    <a:schemeClr val="dk1"/>
                  </a:solidFill>
                  <a:effectLst/>
                  <a:latin typeface="+mn-lt"/>
                  <a:ea typeface="+mn-ea"/>
                  <a:cs typeface="+mn-cs"/>
                </a:rPr>
                <a:t>The concentration of C-PC is found by the formula below, using the absorbances at 620 nm and 650 nm, to account for the amount of allophycocyanin in the solution (Yoshikawa and Belay, 2008):</a:t>
              </a:r>
            </a:p>
            <a:p>
              <a14:m>
                <m:oMath xmlns:m="http://schemas.openxmlformats.org/officeDocument/2006/math">
                  <m:r>
                    <a:rPr lang="en-ZA" sz="1100" i="1">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𝑐𝑃𝐶</m:t>
                  </m:r>
                  <m:r>
                    <a:rPr lang="en-ZA" sz="1100" i="1">
                      <a:solidFill>
                        <a:schemeClr val="dk1"/>
                      </a:solidFill>
                      <a:effectLst/>
                      <a:latin typeface="Cambria Math" panose="02040503050406030204" pitchFamily="18" charset="0"/>
                      <a:ea typeface="+mn-ea"/>
                      <a:cs typeface="+mn-cs"/>
                    </a:rPr>
                    <m:t>]  </m:t>
                  </m:r>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𝑚𝑔</m:t>
                      </m:r>
                      <m:r>
                        <a:rPr lang="en-ZA" sz="1100" i="1">
                          <a:solidFill>
                            <a:schemeClr val="dk1"/>
                          </a:solidFill>
                          <a:effectLst/>
                          <a:latin typeface="Cambria Math" panose="02040503050406030204" pitchFamily="18" charset="0"/>
                          <a:ea typeface="+mn-ea"/>
                          <a:cs typeface="+mn-cs"/>
                        </a:rPr>
                        <m:t>/</m:t>
                      </m:r>
                      <m:r>
                        <a:rPr lang="en-ZA" sz="1100" i="1">
                          <a:solidFill>
                            <a:schemeClr val="dk1"/>
                          </a:solidFill>
                          <a:effectLst/>
                          <a:latin typeface="Cambria Math" panose="02040503050406030204" pitchFamily="18" charset="0"/>
                          <a:ea typeface="+mn-ea"/>
                          <a:cs typeface="+mn-cs"/>
                        </a:rPr>
                        <m:t>𝑚𝐿</m:t>
                      </m:r>
                    </m:e>
                  </m:d>
                  <m:r>
                    <a:rPr lang="en-ZA" sz="1100" i="1">
                      <a:solidFill>
                        <a:schemeClr val="dk1"/>
                      </a:solidFill>
                      <a:effectLst/>
                      <a:latin typeface="Cambria Math" panose="02040503050406030204" pitchFamily="18" charset="0"/>
                      <a:ea typeface="+mn-ea"/>
                      <a:cs typeface="+mn-cs"/>
                    </a:rPr>
                    <m:t>= </m:t>
                  </m:r>
                  <m:r>
                    <a:rPr lang="en-ZA" sz="1100">
                      <a:solidFill>
                        <a:schemeClr val="dk1"/>
                      </a:solidFill>
                      <a:effectLst/>
                      <a:latin typeface="Cambria Math" panose="02040503050406030204" pitchFamily="18" charset="0"/>
                      <a:ea typeface="+mn-ea"/>
                      <a:cs typeface="+mn-cs"/>
                    </a:rPr>
                    <m:t>0.162</m:t>
                  </m:r>
                  <m:r>
                    <a:rPr lang="en-ZA" sz="1100" i="1">
                      <a:solidFill>
                        <a:schemeClr val="dk1"/>
                      </a:solidFill>
                      <a:effectLst/>
                      <a:latin typeface="Cambria Math" panose="02040503050406030204" pitchFamily="18" charset="0"/>
                      <a:ea typeface="+mn-ea"/>
                      <a:cs typeface="+mn-cs"/>
                    </a:rPr>
                    <m:t>∗</m:t>
                  </m:r>
                  <m:r>
                    <a:rPr lang="en-ZA" sz="1100">
                      <a:solidFill>
                        <a:schemeClr val="dk1"/>
                      </a:solidFill>
                      <a:effectLst/>
                      <a:latin typeface="Cambria Math" panose="02040503050406030204" pitchFamily="18" charset="0"/>
                      <a:ea typeface="+mn-ea"/>
                      <a:cs typeface="+mn-cs"/>
                    </a:rPr>
                    <m:t> </m:t>
                  </m:r>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A</m:t>
                      </m:r>
                    </m:e>
                    <m:sub>
                      <m:r>
                        <a:rPr lang="en-ZA" sz="1100">
                          <a:solidFill>
                            <a:schemeClr val="dk1"/>
                          </a:solidFill>
                          <a:effectLst/>
                          <a:latin typeface="Cambria Math" panose="02040503050406030204" pitchFamily="18" charset="0"/>
                          <a:ea typeface="+mn-ea"/>
                          <a:cs typeface="+mn-cs"/>
                        </a:rPr>
                        <m:t>620</m:t>
                      </m:r>
                    </m:sub>
                  </m:sSub>
                  <m:r>
                    <a:rPr lang="en-ZA" sz="1100">
                      <a:solidFill>
                        <a:schemeClr val="dk1"/>
                      </a:solidFill>
                      <a:effectLst/>
                      <a:latin typeface="Cambria Math" panose="02040503050406030204" pitchFamily="18" charset="0"/>
                      <a:ea typeface="+mn-ea"/>
                      <a:cs typeface="+mn-cs"/>
                    </a:rPr>
                    <m:t> – 0.098</m:t>
                  </m:r>
                  <m:r>
                    <a:rPr lang="en-ZA" sz="1100" i="1">
                      <a:solidFill>
                        <a:schemeClr val="dk1"/>
                      </a:solidFill>
                      <a:effectLst/>
                      <a:latin typeface="Cambria Math" panose="02040503050406030204" pitchFamily="18" charset="0"/>
                      <a:ea typeface="+mn-ea"/>
                      <a:cs typeface="+mn-cs"/>
                    </a:rPr>
                    <m:t>∗</m:t>
                  </m:r>
                  <m:r>
                    <a:rPr lang="en-ZA" sz="1100">
                      <a:solidFill>
                        <a:schemeClr val="dk1"/>
                      </a:solidFill>
                      <a:effectLst/>
                      <a:latin typeface="Cambria Math" panose="02040503050406030204" pitchFamily="18" charset="0"/>
                      <a:ea typeface="+mn-ea"/>
                      <a:cs typeface="+mn-cs"/>
                    </a:rPr>
                    <m:t> </m:t>
                  </m:r>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A</m:t>
                      </m:r>
                    </m:e>
                    <m:sub>
                      <m:r>
                        <a:rPr lang="en-ZA" sz="1100">
                          <a:solidFill>
                            <a:schemeClr val="dk1"/>
                          </a:solidFill>
                          <a:effectLst/>
                          <a:latin typeface="Cambria Math" panose="02040503050406030204" pitchFamily="18" charset="0"/>
                          <a:ea typeface="+mn-ea"/>
                          <a:cs typeface="+mn-cs"/>
                        </a:rPr>
                        <m:t>650</m:t>
                      </m:r>
                    </m:sub>
                  </m:sSub>
                </m:oMath>
              </a14:m>
              <a:r>
                <a:rPr lang="en-ZA" sz="1100">
                  <a:solidFill>
                    <a:schemeClr val="dk1"/>
                  </a:solidFill>
                  <a:effectLst/>
                  <a:latin typeface="+mn-lt"/>
                  <a:ea typeface="+mn-ea"/>
                  <a:cs typeface="+mn-cs"/>
                </a:rPr>
                <a:t>	Equation 3</a:t>
              </a:r>
            </a:p>
            <a:p>
              <a:r>
                <a:rPr lang="en-ZA" sz="1100">
                  <a:solidFill>
                    <a:schemeClr val="dk1"/>
                  </a:solidFill>
                  <a:effectLst/>
                  <a:latin typeface="+mn-lt"/>
                  <a:ea typeface="+mn-ea"/>
                  <a:cs typeface="+mn-cs"/>
                </a:rPr>
                <a:t>Where [C-PC] is the C-PC concentration </a:t>
              </a:r>
            </a:p>
            <a:p>
              <a:endParaRPr lang="en-ZA" sz="1100">
                <a:solidFill>
                  <a:schemeClr val="dk1"/>
                </a:solidFill>
                <a:effectLst/>
                <a:latin typeface="+mn-lt"/>
                <a:ea typeface="+mn-ea"/>
                <a:cs typeface="+mn-cs"/>
              </a:endParaRPr>
            </a:p>
            <a:p>
              <a:r>
                <a:rPr lang="en-ZA" sz="1100" b="1" i="1">
                  <a:solidFill>
                    <a:schemeClr val="dk1"/>
                  </a:solidFill>
                  <a:effectLst/>
                  <a:latin typeface="+mn-lt"/>
                  <a:ea typeface="+mn-ea"/>
                  <a:cs typeface="+mn-cs"/>
                </a:rPr>
                <a:t>C-PC recovery</a:t>
              </a:r>
            </a:p>
            <a:p>
              <a:r>
                <a:rPr lang="en-ZA" sz="1100">
                  <a:solidFill>
                    <a:schemeClr val="dk1"/>
                  </a:solidFill>
                  <a:effectLst/>
                  <a:latin typeface="+mn-lt"/>
                  <a:ea typeface="+mn-ea"/>
                  <a:cs typeface="+mn-cs"/>
                </a:rPr>
                <a:t>The recovery of phycocyanin was calculated as the fraction of the amount of C-PC recovered in a stage relative to that from the previous step. This was calculated using the values of C-PC concentration from the previous and subsequent steps, and the respective volumes that were recovered.</a:t>
              </a:r>
            </a:p>
            <a:p>
              <a14:m>
                <m:oMath xmlns:m="http://schemas.openxmlformats.org/officeDocument/2006/math">
                  <m:r>
                    <a:rPr lang="en-ZA" sz="1100" i="1">
                      <a:solidFill>
                        <a:schemeClr val="dk1"/>
                      </a:solidFill>
                      <a:effectLst/>
                      <a:latin typeface="Cambria Math" panose="02040503050406030204" pitchFamily="18" charset="0"/>
                      <a:ea typeface="+mn-ea"/>
                      <a:cs typeface="+mn-cs"/>
                    </a:rPr>
                    <m:t>𝑐𝑃𝐶</m:t>
                  </m:r>
                  <m:r>
                    <a:rPr lang="en-ZA" sz="1100" i="1">
                      <a:solidFill>
                        <a:schemeClr val="dk1"/>
                      </a:solidFill>
                      <a:effectLst/>
                      <a:latin typeface="Cambria Math" panose="02040503050406030204" pitchFamily="18" charset="0"/>
                      <a:ea typeface="+mn-ea"/>
                      <a:cs typeface="+mn-cs"/>
                    </a:rPr>
                    <m:t> </m:t>
                  </m:r>
                  <m:r>
                    <a:rPr lang="en-ZA" sz="1100" i="1">
                      <a:solidFill>
                        <a:schemeClr val="dk1"/>
                      </a:solidFill>
                      <a:effectLst/>
                      <a:latin typeface="Cambria Math" panose="02040503050406030204" pitchFamily="18" charset="0"/>
                      <a:ea typeface="+mn-ea"/>
                      <a:cs typeface="+mn-cs"/>
                    </a:rPr>
                    <m:t>𝑟𝑒𝑐𝑜𝑣𝑒𝑟𝑦</m:t>
                  </m:r>
                  <m:r>
                    <a:rPr lang="en-ZA" sz="1100" i="1">
                      <a:solidFill>
                        <a:schemeClr val="dk1"/>
                      </a:solidFill>
                      <a:effectLst/>
                      <a:latin typeface="Cambria Math" panose="02040503050406030204" pitchFamily="18" charset="0"/>
                      <a:ea typeface="+mn-ea"/>
                      <a:cs typeface="+mn-cs"/>
                    </a:rPr>
                    <m:t> </m:t>
                  </m:r>
                  <m:d>
                    <m:dPr>
                      <m:ctrlPr>
                        <a:rPr lang="en-ZA" sz="1100" i="1">
                          <a:solidFill>
                            <a:schemeClr val="dk1"/>
                          </a:solidFill>
                          <a:effectLst/>
                          <a:latin typeface="Cambria Math" panose="02040503050406030204" pitchFamily="18" charset="0"/>
                          <a:ea typeface="+mn-ea"/>
                          <a:cs typeface="+mn-cs"/>
                        </a:rPr>
                      </m:ctrlPr>
                    </m:dPr>
                    <m:e>
                      <m:r>
                        <a:rPr lang="en-ZA" sz="1100" i="1">
                          <a:solidFill>
                            <a:schemeClr val="dk1"/>
                          </a:solidFill>
                          <a:effectLst/>
                          <a:latin typeface="Cambria Math" panose="02040503050406030204" pitchFamily="18" charset="0"/>
                          <a:ea typeface="+mn-ea"/>
                          <a:cs typeface="+mn-cs"/>
                        </a:rPr>
                        <m:t>𝑓𝑟𝑎𝑐𝑡𝑖𝑜𝑛</m:t>
                      </m:r>
                    </m:e>
                  </m:d>
                  <m:r>
                    <a:rPr lang="en-ZA" sz="1100" i="1">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sSub>
                        <m:sSubPr>
                          <m:ctrlPr>
                            <a:rPr lang="en-ZA" sz="1100" i="1">
                              <a:solidFill>
                                <a:schemeClr val="dk1"/>
                              </a:solidFill>
                              <a:effectLst/>
                              <a:latin typeface="Cambria Math" panose="02040503050406030204" pitchFamily="18" charset="0"/>
                              <a:ea typeface="+mn-ea"/>
                              <a:cs typeface="+mn-cs"/>
                            </a:rPr>
                          </m:ctrlPr>
                        </m:sSubPr>
                        <m:e>
                          <m:d>
                            <m:dPr>
                              <m:begChr m:val="["/>
                              <m:endChr m:val="]"/>
                              <m:ctrlPr>
                                <a:rPr lang="en-ZA" sz="1100" i="1">
                                  <a:solidFill>
                                    <a:schemeClr val="dk1"/>
                                  </a:solidFill>
                                  <a:effectLst/>
                                  <a:latin typeface="Cambria Math" panose="02040503050406030204" pitchFamily="18" charset="0"/>
                                  <a:ea typeface="+mn-ea"/>
                                  <a:cs typeface="+mn-cs"/>
                                </a:rPr>
                              </m:ctrlPr>
                            </m:dPr>
                            <m:e>
                              <m:r>
                                <m:rPr>
                                  <m:sty m:val="p"/>
                                </m:rPr>
                                <a:rPr lang="en-ZA" sz="1100">
                                  <a:solidFill>
                                    <a:schemeClr val="dk1"/>
                                  </a:solidFill>
                                  <a:effectLst/>
                                  <a:latin typeface="Cambria Math" panose="02040503050406030204" pitchFamily="18" charset="0"/>
                                  <a:ea typeface="+mn-ea"/>
                                  <a:cs typeface="+mn-cs"/>
                                </a:rPr>
                                <m:t>C</m:t>
                              </m:r>
                              <m:r>
                                <a:rPr lang="en-ZA" sz="1100" i="1">
                                  <a:solidFill>
                                    <a:schemeClr val="dk1"/>
                                  </a:solidFill>
                                  <a:effectLst/>
                                  <a:latin typeface="Cambria Math" panose="02040503050406030204" pitchFamily="18" charset="0"/>
                                  <a:ea typeface="+mn-ea"/>
                                  <a:cs typeface="+mn-cs"/>
                                </a:rPr>
                                <m:t>−</m:t>
                              </m:r>
                              <m:r>
                                <m:rPr>
                                  <m:sty m:val="p"/>
                                </m:rPr>
                                <a:rPr lang="en-ZA" sz="1100">
                                  <a:solidFill>
                                    <a:schemeClr val="dk1"/>
                                  </a:solidFill>
                                  <a:effectLst/>
                                  <a:latin typeface="Cambria Math" panose="02040503050406030204" pitchFamily="18" charset="0"/>
                                  <a:ea typeface="+mn-ea"/>
                                  <a:cs typeface="+mn-cs"/>
                                </a:rPr>
                                <m:t>PC</m:t>
                              </m:r>
                            </m:e>
                          </m:d>
                        </m:e>
                        <m:sub>
                          <m:r>
                            <a:rPr lang="en-ZA" sz="1100">
                              <a:solidFill>
                                <a:schemeClr val="dk1"/>
                              </a:solidFill>
                              <a:effectLst/>
                              <a:latin typeface="Cambria Math" panose="02040503050406030204" pitchFamily="18" charset="0"/>
                              <a:ea typeface="+mn-ea"/>
                              <a:cs typeface="+mn-cs"/>
                            </a:rPr>
                            <m:t>2</m:t>
                          </m:r>
                        </m:sub>
                      </m:sSub>
                      <m:sSub>
                        <m:sSubPr>
                          <m:ctrlPr>
                            <a:rPr lang="en-ZA" sz="1100" i="1">
                              <a:solidFill>
                                <a:schemeClr val="dk1"/>
                              </a:solidFill>
                              <a:effectLst/>
                              <a:latin typeface="Cambria Math" panose="02040503050406030204" pitchFamily="18" charset="0"/>
                              <a:ea typeface="+mn-ea"/>
                              <a:cs typeface="+mn-cs"/>
                            </a:rPr>
                          </m:ctrlPr>
                        </m:sSubPr>
                        <m:e>
                          <m:r>
                            <m:rPr>
                              <m:sty m:val="p"/>
                            </m:rPr>
                            <a:rPr lang="en-ZA" sz="1100">
                              <a:solidFill>
                                <a:schemeClr val="dk1"/>
                              </a:solidFill>
                              <a:effectLst/>
                              <a:latin typeface="Cambria Math" panose="02040503050406030204" pitchFamily="18" charset="0"/>
                              <a:ea typeface="+mn-ea"/>
                              <a:cs typeface="+mn-cs"/>
                            </a:rPr>
                            <m:t>V</m:t>
                          </m:r>
                        </m:e>
                        <m:sub>
                          <m:r>
                            <a:rPr lang="en-ZA" sz="1100">
                              <a:solidFill>
                                <a:schemeClr val="dk1"/>
                              </a:solidFill>
                              <a:effectLst/>
                              <a:latin typeface="Cambria Math" panose="02040503050406030204" pitchFamily="18" charset="0"/>
                              <a:ea typeface="+mn-ea"/>
                              <a:cs typeface="+mn-cs"/>
                            </a:rPr>
                            <m:t>2</m:t>
                          </m:r>
                        </m:sub>
                      </m:sSub>
                    </m:num>
                    <m:den>
                      <m:sSub>
                        <m:sSubPr>
                          <m:ctrlPr>
                            <a:rPr lang="en-ZA" sz="1100" i="1">
                              <a:solidFill>
                                <a:schemeClr val="dk1"/>
                              </a:solidFill>
                              <a:effectLst/>
                              <a:latin typeface="Cambria Math" panose="02040503050406030204" pitchFamily="18" charset="0"/>
                              <a:ea typeface="+mn-ea"/>
                              <a:cs typeface="+mn-cs"/>
                            </a:rPr>
                          </m:ctrlPr>
                        </m:sSubPr>
                        <m:e>
                          <m:d>
                            <m:dPr>
                              <m:begChr m:val="["/>
                              <m:endChr m:val="]"/>
                              <m:ctrlPr>
                                <a:rPr lang="en-ZA" sz="1100" i="1">
                                  <a:solidFill>
                                    <a:schemeClr val="dk1"/>
                                  </a:solidFill>
                                  <a:effectLst/>
                                  <a:latin typeface="Cambria Math" panose="02040503050406030204" pitchFamily="18" charset="0"/>
                                  <a:ea typeface="+mn-ea"/>
                                  <a:cs typeface="+mn-cs"/>
                                </a:rPr>
                              </m:ctrlPr>
                            </m:dPr>
                            <m:e>
                              <m:r>
                                <m:rPr>
                                  <m:sty m:val="p"/>
                                </m:rPr>
                                <a:rPr lang="en-ZA" sz="1100">
                                  <a:solidFill>
                                    <a:schemeClr val="dk1"/>
                                  </a:solidFill>
                                  <a:effectLst/>
                                  <a:latin typeface="Cambria Math" panose="02040503050406030204" pitchFamily="18" charset="0"/>
                                  <a:ea typeface="+mn-ea"/>
                                  <a:cs typeface="+mn-cs"/>
                                </a:rPr>
                                <m:t>C</m:t>
                              </m:r>
                              <m:r>
                                <a:rPr lang="en-ZA" sz="1100" i="1">
                                  <a:solidFill>
                                    <a:schemeClr val="dk1"/>
                                  </a:solidFill>
                                  <a:effectLst/>
                                  <a:latin typeface="Cambria Math" panose="02040503050406030204" pitchFamily="18" charset="0"/>
                                  <a:ea typeface="+mn-ea"/>
                                  <a:cs typeface="+mn-cs"/>
                                </a:rPr>
                                <m:t>−</m:t>
                              </m:r>
                              <m:r>
                                <m:rPr>
                                  <m:sty m:val="p"/>
                                </m:rPr>
                                <a:rPr lang="en-ZA" sz="1100">
                                  <a:solidFill>
                                    <a:schemeClr val="dk1"/>
                                  </a:solidFill>
                                  <a:effectLst/>
                                  <a:latin typeface="Cambria Math" panose="02040503050406030204" pitchFamily="18" charset="0"/>
                                  <a:ea typeface="+mn-ea"/>
                                  <a:cs typeface="+mn-cs"/>
                                </a:rPr>
                                <m:t>PC</m:t>
                              </m:r>
                            </m:e>
                          </m:d>
                        </m:e>
                        <m:sub>
                          <m:r>
                            <a:rPr lang="en-ZA" sz="1100">
                              <a:solidFill>
                                <a:schemeClr val="dk1"/>
                              </a:solidFill>
                              <a:effectLst/>
                              <a:latin typeface="Cambria Math" panose="02040503050406030204" pitchFamily="18" charset="0"/>
                              <a:ea typeface="+mn-ea"/>
                              <a:cs typeface="+mn-cs"/>
                            </a:rPr>
                            <m:t>1</m:t>
                          </m:r>
                        </m:sub>
                      </m:sSub>
                      <m:sSub>
                        <m:sSubPr>
                          <m:ctrlPr>
                            <a:rPr lang="en-ZA" sz="1100" i="1">
                              <a:solidFill>
                                <a:schemeClr val="dk1"/>
                              </a:solidFill>
                              <a:effectLst/>
                              <a:latin typeface="Cambria Math" panose="02040503050406030204" pitchFamily="18" charset="0"/>
                              <a:ea typeface="+mn-ea"/>
                              <a:cs typeface="+mn-cs"/>
                            </a:rPr>
                          </m:ctrlPr>
                        </m:sSubPr>
                        <m:e>
                          <m:r>
                            <a:rPr lang="en-ZA" sz="1100" i="1">
                              <a:solidFill>
                                <a:schemeClr val="dk1"/>
                              </a:solidFill>
                              <a:effectLst/>
                              <a:latin typeface="Cambria Math" panose="02040503050406030204" pitchFamily="18" charset="0"/>
                              <a:ea typeface="+mn-ea"/>
                              <a:cs typeface="+mn-cs"/>
                            </a:rPr>
                            <m:t>𝑉</m:t>
                          </m:r>
                        </m:e>
                        <m:sub>
                          <m:r>
                            <a:rPr lang="en-ZA" sz="1100" i="1">
                              <a:solidFill>
                                <a:schemeClr val="dk1"/>
                              </a:solidFill>
                              <a:effectLst/>
                              <a:latin typeface="Cambria Math" panose="02040503050406030204" pitchFamily="18" charset="0"/>
                              <a:ea typeface="+mn-ea"/>
                              <a:cs typeface="+mn-cs"/>
                            </a:rPr>
                            <m:t>1</m:t>
                          </m:r>
                        </m:sub>
                      </m:sSub>
                    </m:den>
                  </m:f>
                </m:oMath>
              </a14:m>
              <a:r>
                <a:rPr lang="en-ZA" sz="1100">
                  <a:solidFill>
                    <a:schemeClr val="dk1"/>
                  </a:solidFill>
                  <a:effectLst/>
                  <a:latin typeface="+mn-lt"/>
                  <a:ea typeface="+mn-ea"/>
                  <a:cs typeface="+mn-cs"/>
                </a:rPr>
                <a:t>		Equation 4</a:t>
              </a:r>
            </a:p>
            <a:p>
              <a:r>
                <a:rPr lang="en-ZA" sz="1100">
                  <a:solidFill>
                    <a:schemeClr val="dk1"/>
                  </a:solidFill>
                  <a:effectLst/>
                  <a:latin typeface="+mn-lt"/>
                  <a:ea typeface="+mn-ea"/>
                  <a:cs typeface="+mn-cs"/>
                </a:rPr>
                <a:t>Where V is the volume, and 1 refers to the previous or first step, and 2 refers to the subsequent step.</a:t>
              </a:r>
            </a:p>
            <a:p>
              <a:endParaRPr lang="en-ZA" sz="1100"/>
            </a:p>
          </xdr:txBody>
        </xdr:sp>
      </mc:Choice>
      <mc:Fallback>
        <xdr:sp macro="" textlink="">
          <xdr:nvSpPr>
            <xdr:cNvPr id="4" name="TextBox 3">
              <a:extLst>
                <a:ext uri="{FF2B5EF4-FFF2-40B4-BE49-F238E27FC236}">
                  <a16:creationId xmlns:a16="http://schemas.microsoft.com/office/drawing/2014/main" id="{1CB6C99F-7C1C-4029-A30A-0DA0F6392BD9}"/>
                </a:ext>
              </a:extLst>
            </xdr:cNvPr>
            <xdr:cNvSpPr txBox="1"/>
          </xdr:nvSpPr>
          <xdr:spPr>
            <a:xfrm>
              <a:off x="185057" y="3788228"/>
              <a:ext cx="4898571" cy="72716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b="1"/>
                <a:t>C-PC descriptors </a:t>
              </a:r>
            </a:p>
            <a:p>
              <a:r>
                <a:rPr lang="en-ZA"/>
                <a:t>For each experiment where the purity number, recovery and concentration of C-phycocyanin were relevant, the following formulae were used. In each case, the sample was appropriately diluted with deionised water, centrifuged in 2 mL Eppendorf microcentrifuge tubes at 13000 RPM in a microcentrifuge (Eppendorf MiniSpin plus), and then the absorbances were read by spectrophotometer. Each sample had absorbance quantified at 280, 620 and 650 nm, the maximum absorbance wavelengths for proteins, C-phycocyanin and allophycocyanin, respectively. The total volume from which the sample was taken was also quantified and used to determine the total phycocyanin content, which could be used to determine recoveries at each step</a:t>
              </a:r>
            </a:p>
            <a:p>
              <a:endParaRPr lang="en-ZA"/>
            </a:p>
            <a:p>
              <a:pPr marL="0" marR="0" lvl="0" indent="0" algn="l" defTabSz="914400" eaLnBrk="1" fontAlgn="auto" latinLnBrk="0" hangingPunct="1">
                <a:lnSpc>
                  <a:spcPct val="100000"/>
                </a:lnSpc>
                <a:spcBef>
                  <a:spcPts val="0"/>
                </a:spcBef>
                <a:spcAft>
                  <a:spcPts val="0"/>
                </a:spcAft>
                <a:buClrTx/>
                <a:buSzTx/>
                <a:buFontTx/>
                <a:buNone/>
                <a:tabLst/>
                <a:defRPr/>
              </a:pPr>
              <a:r>
                <a:rPr lang="en-ZA" sz="1100" b="1" i="1">
                  <a:solidFill>
                    <a:schemeClr val="dk1"/>
                  </a:solidFill>
                  <a:effectLst/>
                  <a:latin typeface="+mn-lt"/>
                  <a:ea typeface="+mn-ea"/>
                  <a:cs typeface="+mn-cs"/>
                </a:rPr>
                <a:t>C-PC Purity</a:t>
              </a:r>
              <a:endParaRPr lang="en-ZA" sz="1100">
                <a:solidFill>
                  <a:schemeClr val="dk1"/>
                </a:solidFill>
                <a:effectLst/>
                <a:latin typeface="+mn-lt"/>
                <a:ea typeface="+mn-ea"/>
                <a:cs typeface="+mn-cs"/>
              </a:endParaRPr>
            </a:p>
            <a:p>
              <a:r>
                <a:rPr lang="en-ZA" sz="1100">
                  <a:solidFill>
                    <a:schemeClr val="dk1"/>
                  </a:solidFill>
                  <a:effectLst/>
                  <a:latin typeface="+mn-lt"/>
                  <a:ea typeface="+mn-ea"/>
                  <a:cs typeface="+mn-cs"/>
                </a:rPr>
                <a:t>The purity of phycocyanin is by convention given as the purity number. This is the ratio of the absorbance at the maximum absorbance for C-PC (620 nm) to the maximum absorbance for the total amino acids present in solution (280 nm). The spectrophotometer was used to determine this ratio, using microplates for the sample readings. </a:t>
              </a:r>
            </a:p>
            <a:p>
              <a:r>
                <a:rPr lang="en-ZA" sz="1100" i="0">
                  <a:solidFill>
                    <a:schemeClr val="dk1"/>
                  </a:solidFill>
                  <a:effectLst/>
                  <a:latin typeface="Cambria Math" panose="02040503050406030204" pitchFamily="18" charset="0"/>
                  <a:ea typeface="+mn-ea"/>
                  <a:cs typeface="+mn-cs"/>
                </a:rPr>
                <a:t>𝑐𝑃𝐶 𝑝𝑢𝑟𝑖𝑡𝑦=( A_620)/A_280   </a:t>
              </a:r>
              <a:r>
                <a:rPr lang="en-ZA" sz="1100">
                  <a:solidFill>
                    <a:schemeClr val="dk1"/>
                  </a:solidFill>
                  <a:effectLst/>
                  <a:latin typeface="+mn-lt"/>
                  <a:ea typeface="+mn-ea"/>
                  <a:cs typeface="+mn-cs"/>
                </a:rPr>
                <a:t>			Equation 2</a:t>
              </a:r>
            </a:p>
            <a:p>
              <a:r>
                <a:rPr lang="en-ZA" sz="1100">
                  <a:solidFill>
                    <a:schemeClr val="dk1"/>
                  </a:solidFill>
                  <a:effectLst/>
                  <a:latin typeface="+mn-lt"/>
                  <a:ea typeface="+mn-ea"/>
                  <a:cs typeface="+mn-cs"/>
                </a:rPr>
                <a:t>Where </a:t>
              </a:r>
              <a:r>
                <a:rPr lang="en-ZA" sz="1100" i="0">
                  <a:solidFill>
                    <a:schemeClr val="dk1"/>
                  </a:solidFill>
                  <a:effectLst/>
                  <a:latin typeface="Cambria Math" panose="02040503050406030204" pitchFamily="18" charset="0"/>
                  <a:ea typeface="+mn-ea"/>
                  <a:cs typeface="+mn-cs"/>
                </a:rPr>
                <a:t>A_λ</a:t>
              </a:r>
              <a:r>
                <a:rPr lang="en-ZA" sz="1100">
                  <a:solidFill>
                    <a:schemeClr val="dk1"/>
                  </a:solidFill>
                  <a:effectLst/>
                  <a:latin typeface="+mn-lt"/>
                  <a:ea typeface="+mn-ea"/>
                  <a:cs typeface="+mn-cs"/>
                </a:rPr>
                <a:t> is the absorbance under a spectrophotometer at λ, the wavelength in nm.</a:t>
              </a:r>
            </a:p>
            <a:p>
              <a:endParaRPr lang="en-ZA" sz="1100" b="1" i="1">
                <a:solidFill>
                  <a:schemeClr val="dk1"/>
                </a:solidFill>
                <a:effectLst/>
                <a:latin typeface="+mn-lt"/>
                <a:ea typeface="+mn-ea"/>
                <a:cs typeface="+mn-cs"/>
              </a:endParaRPr>
            </a:p>
            <a:p>
              <a:r>
                <a:rPr lang="en-ZA" sz="1100" b="1" i="1">
                  <a:solidFill>
                    <a:schemeClr val="dk1"/>
                  </a:solidFill>
                  <a:effectLst/>
                  <a:latin typeface="+mn-lt"/>
                  <a:ea typeface="+mn-ea"/>
                  <a:cs typeface="+mn-cs"/>
                </a:rPr>
                <a:t>C-PC concentration</a:t>
              </a:r>
            </a:p>
            <a:p>
              <a:r>
                <a:rPr lang="en-ZA" sz="1100">
                  <a:solidFill>
                    <a:schemeClr val="dk1"/>
                  </a:solidFill>
                  <a:effectLst/>
                  <a:latin typeface="+mn-lt"/>
                  <a:ea typeface="+mn-ea"/>
                  <a:cs typeface="+mn-cs"/>
                </a:rPr>
                <a:t>The concentration of C-PC is found by the formula below, using the absorbances at 620 nm and 650 nm, to account for the amount of allophycocyanin in the solution (Yoshikawa and Belay, 2008):</a:t>
              </a:r>
            </a:p>
            <a:p>
              <a:r>
                <a:rPr lang="en-ZA" sz="1100" i="0">
                  <a:solidFill>
                    <a:schemeClr val="dk1"/>
                  </a:solidFill>
                  <a:effectLst/>
                  <a:latin typeface="Cambria Math" panose="02040503050406030204" pitchFamily="18" charset="0"/>
                  <a:ea typeface="+mn-ea"/>
                  <a:cs typeface="+mn-cs"/>
                </a:rPr>
                <a:t>[𝑐𝑃𝐶]  (𝑚𝑔/𝑚𝐿)= 0.162∗ A_620  – 0.098∗ A_650</a:t>
              </a:r>
              <a:r>
                <a:rPr lang="en-ZA" sz="1100">
                  <a:solidFill>
                    <a:schemeClr val="dk1"/>
                  </a:solidFill>
                  <a:effectLst/>
                  <a:latin typeface="+mn-lt"/>
                  <a:ea typeface="+mn-ea"/>
                  <a:cs typeface="+mn-cs"/>
                </a:rPr>
                <a:t>	Equation 3</a:t>
              </a:r>
            </a:p>
            <a:p>
              <a:r>
                <a:rPr lang="en-ZA" sz="1100">
                  <a:solidFill>
                    <a:schemeClr val="dk1"/>
                  </a:solidFill>
                  <a:effectLst/>
                  <a:latin typeface="+mn-lt"/>
                  <a:ea typeface="+mn-ea"/>
                  <a:cs typeface="+mn-cs"/>
                </a:rPr>
                <a:t>Where [C-PC] is the C-PC concentration </a:t>
              </a:r>
            </a:p>
            <a:p>
              <a:endParaRPr lang="en-ZA" sz="1100">
                <a:solidFill>
                  <a:schemeClr val="dk1"/>
                </a:solidFill>
                <a:effectLst/>
                <a:latin typeface="+mn-lt"/>
                <a:ea typeface="+mn-ea"/>
                <a:cs typeface="+mn-cs"/>
              </a:endParaRPr>
            </a:p>
            <a:p>
              <a:r>
                <a:rPr lang="en-ZA" sz="1100" b="1" i="1">
                  <a:solidFill>
                    <a:schemeClr val="dk1"/>
                  </a:solidFill>
                  <a:effectLst/>
                  <a:latin typeface="+mn-lt"/>
                  <a:ea typeface="+mn-ea"/>
                  <a:cs typeface="+mn-cs"/>
                </a:rPr>
                <a:t>C-PC recovery</a:t>
              </a:r>
            </a:p>
            <a:p>
              <a:r>
                <a:rPr lang="en-ZA" sz="1100">
                  <a:solidFill>
                    <a:schemeClr val="dk1"/>
                  </a:solidFill>
                  <a:effectLst/>
                  <a:latin typeface="+mn-lt"/>
                  <a:ea typeface="+mn-ea"/>
                  <a:cs typeface="+mn-cs"/>
                </a:rPr>
                <a:t>The recovery of phycocyanin was calculated as the fraction of the amount of C-PC recovered in a stage relative to that from the previous step. This was calculated using the values of C-PC concentration from the previous and subsequent steps, and the respective volumes that were recovered.</a:t>
              </a:r>
            </a:p>
            <a:p>
              <a:r>
                <a:rPr lang="en-ZA" sz="1100" i="0">
                  <a:solidFill>
                    <a:schemeClr val="dk1"/>
                  </a:solidFill>
                  <a:effectLst/>
                  <a:latin typeface="Cambria Math" panose="02040503050406030204" pitchFamily="18" charset="0"/>
                  <a:ea typeface="+mn-ea"/>
                  <a:cs typeface="+mn-cs"/>
                </a:rPr>
                <a:t>𝑐𝑃𝐶 𝑟𝑒𝑐𝑜𝑣𝑒𝑟𝑦 (𝑓𝑟𝑎𝑐𝑡𝑖𝑜𝑛)=([C−PC]_2 V_2)/([C−PC]_1 𝑉_1 )</a:t>
              </a:r>
              <a:r>
                <a:rPr lang="en-ZA" sz="1100">
                  <a:solidFill>
                    <a:schemeClr val="dk1"/>
                  </a:solidFill>
                  <a:effectLst/>
                  <a:latin typeface="+mn-lt"/>
                  <a:ea typeface="+mn-ea"/>
                  <a:cs typeface="+mn-cs"/>
                </a:rPr>
                <a:t>		Equation 4</a:t>
              </a:r>
            </a:p>
            <a:p>
              <a:r>
                <a:rPr lang="en-ZA" sz="1100">
                  <a:solidFill>
                    <a:schemeClr val="dk1"/>
                  </a:solidFill>
                  <a:effectLst/>
                  <a:latin typeface="+mn-lt"/>
                  <a:ea typeface="+mn-ea"/>
                  <a:cs typeface="+mn-cs"/>
                </a:rPr>
                <a:t>Where V is the volume, and 1 refers to the previous or first step, and 2 refers to the subsequent step.</a:t>
              </a:r>
            </a:p>
            <a:p>
              <a:endParaRPr lang="en-ZA" sz="1100"/>
            </a:p>
          </xdr:txBody>
        </xdr:sp>
      </mc:Fallback>
    </mc:AlternateContent>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E73EF-DD0B-4418-95E9-618381B3294E}">
  <dimension ref="B2:AC34"/>
  <sheetViews>
    <sheetView zoomScale="55" zoomScaleNormal="55" workbookViewId="0">
      <selection activeCell="L53" sqref="L53"/>
    </sheetView>
  </sheetViews>
  <sheetFormatPr defaultRowHeight="14.4" x14ac:dyDescent="0.3"/>
  <cols>
    <col min="2" max="2" width="13.44140625" bestFit="1" customWidth="1"/>
    <col min="3" max="3" width="30.33203125" customWidth="1"/>
    <col min="4" max="4" width="19.88671875" bestFit="1" customWidth="1"/>
    <col min="5" max="5" width="20.88671875" bestFit="1" customWidth="1"/>
    <col min="6" max="6" width="19.88671875" bestFit="1" customWidth="1"/>
    <col min="7" max="8" width="11.6640625" customWidth="1"/>
    <col min="9" max="9" width="12.109375" customWidth="1"/>
    <col min="10" max="10" width="32" customWidth="1"/>
    <col min="11" max="11" width="19.88671875" bestFit="1" customWidth="1"/>
    <col min="12" max="12" width="20.88671875" bestFit="1" customWidth="1"/>
    <col min="13" max="13" width="19.88671875" bestFit="1" customWidth="1"/>
    <col min="15" max="24" width="13.88671875" bestFit="1" customWidth="1"/>
  </cols>
  <sheetData>
    <row r="2" spans="2:25" ht="16.2" thickBot="1" x14ac:dyDescent="0.35">
      <c r="B2" s="30" t="s">
        <v>64</v>
      </c>
      <c r="C2" s="30"/>
      <c r="D2" s="30"/>
      <c r="E2" s="30"/>
      <c r="F2" s="30"/>
      <c r="G2" s="30"/>
      <c r="H2" s="30"/>
      <c r="I2" s="30" t="s">
        <v>43</v>
      </c>
      <c r="J2" s="30"/>
      <c r="K2" s="28"/>
      <c r="L2" s="28"/>
      <c r="M2" s="28"/>
    </row>
    <row r="3" spans="2:25" ht="15" thickBot="1" x14ac:dyDescent="0.35">
      <c r="B3" s="39" t="s">
        <v>41</v>
      </c>
      <c r="C3" s="37" t="s">
        <v>58</v>
      </c>
      <c r="D3" s="38" t="s">
        <v>57</v>
      </c>
      <c r="E3" s="37" t="s">
        <v>59</v>
      </c>
      <c r="F3" s="38" t="s">
        <v>57</v>
      </c>
      <c r="G3" s="29"/>
      <c r="H3" s="29"/>
      <c r="I3" s="50" t="s">
        <v>41</v>
      </c>
      <c r="J3" s="48" t="s">
        <v>58</v>
      </c>
      <c r="K3" s="49" t="s">
        <v>57</v>
      </c>
      <c r="L3" s="54" t="s">
        <v>59</v>
      </c>
      <c r="M3" s="49" t="s">
        <v>57</v>
      </c>
      <c r="N3" s="18"/>
      <c r="O3" s="18"/>
      <c r="P3" s="18"/>
      <c r="Q3" s="18"/>
      <c r="R3" s="18"/>
      <c r="S3" s="18"/>
      <c r="T3" s="18"/>
      <c r="U3" s="18"/>
      <c r="V3" s="18"/>
      <c r="W3" s="18"/>
      <c r="X3" s="18"/>
    </row>
    <row r="4" spans="2:25" x14ac:dyDescent="0.3">
      <c r="B4" s="40">
        <v>0</v>
      </c>
      <c r="C4" s="31">
        <f>100*(0.162*'Raw data and calculations'!C22-0.098*'Raw data and calculations'!C33)</f>
        <v>0.86606666666666676</v>
      </c>
      <c r="D4" s="32">
        <f>C4*SQRT(('Raw data and calculations'!C23/'Raw data and calculations'!C22)^2+('Raw data and calculations'!C34/'Raw data and calculations'!C33)^2)</f>
        <v>0.13820955064539386</v>
      </c>
      <c r="E4" s="55">
        <f>'Raw data and calculations'!C22/'Raw data and calculations'!C11</f>
        <v>0.27505827505827507</v>
      </c>
      <c r="F4" s="56">
        <f>E4*SQRT(('Raw data and calculations'!C23/'Raw data and calculations'!C22)^2+('Raw data and calculations'!C12/'Raw data and calculations'!C11)^2)</f>
        <v>2.0742641921552781E-2</v>
      </c>
      <c r="I4" s="51">
        <v>0</v>
      </c>
      <c r="J4" s="46">
        <f>100*(0.162*'Raw data and calculations'!O22-0.098*'Raw data and calculations'!O33)</f>
        <v>0.72773333333333323</v>
      </c>
      <c r="K4" s="47">
        <f>J4*SQRT(('Raw data and calculations'!O23/'Raw data and calculations'!O22)^2+('Raw data and calculations'!O34/'Raw data and calculations'!O33)^2)</f>
        <v>0.14902623783876121</v>
      </c>
      <c r="L4" s="61">
        <f>'Raw data and calculations'!O22/'Raw data and calculations'!O11</f>
        <v>0.22248520710059169</v>
      </c>
      <c r="M4" s="62">
        <f>L4*SQRT(('Raw data and calculations'!O23/'Raw data and calculations'!O22)^2+('Raw data and calculations'!O12/'Raw data and calculations'!O11)^2)</f>
        <v>2.0259019862702548E-2</v>
      </c>
    </row>
    <row r="5" spans="2:25" x14ac:dyDescent="0.3">
      <c r="B5" s="40">
        <v>2.1666666666666665</v>
      </c>
      <c r="C5" s="33">
        <f>100*(0.162*'Raw data and calculations'!D22-0.098*'Raw data and calculations'!D33)</f>
        <v>5.1382666666666665</v>
      </c>
      <c r="D5" s="34">
        <f>C5*SQRT(('Raw data and calculations'!D23/'Raw data and calculations'!D22)^2+('Raw data and calculations'!D34/'Raw data and calculations'!D33)^2)</f>
        <v>0.6575376145112457</v>
      </c>
      <c r="E5" s="57">
        <f>'Raw data and calculations'!D22/'Raw data and calculations'!D11</f>
        <v>0.69979296066252594</v>
      </c>
      <c r="F5" s="58">
        <f>E5*SQRT(('Raw data and calculations'!D23/'Raw data and calculations'!D22)^2+('Raw data and calculations'!D12/'Raw data and calculations'!D11)^2)</f>
        <v>4.6964166309380655E-2</v>
      </c>
      <c r="I5" s="52">
        <v>2.25</v>
      </c>
      <c r="J5" s="42">
        <f>100*(0.162*'Raw data and calculations'!P22-0.098*'Raw data and calculations'!P33)</f>
        <v>5.280800000000001</v>
      </c>
      <c r="K5" s="43">
        <f>J5*SQRT(('Raw data and calculations'!P23/'Raw data and calculations'!P22)^2+('Raw data and calculations'!P34/'Raw data and calculations'!P33)^2)</f>
        <v>0.70885555397874811</v>
      </c>
      <c r="L5" s="63">
        <f>'Raw data and calculations'!P22/'Raw data and calculations'!P11</f>
        <v>0.70863309352517989</v>
      </c>
      <c r="M5" s="64">
        <f>L5*SQRT(('Raw data and calculations'!P23/'Raw data and calculations'!P22)^2+('Raw data and calculations'!P12/'Raw data and calculations'!P11)^2)</f>
        <v>4.8951442515411829E-2</v>
      </c>
    </row>
    <row r="6" spans="2:25" x14ac:dyDescent="0.3">
      <c r="B6" s="40">
        <v>4.4166666666666661</v>
      </c>
      <c r="C6" s="33">
        <f>100*(0.162*'Raw data and calculations'!E22-0.098*'Raw data and calculations'!E33)</f>
        <v>5.4936666666666669</v>
      </c>
      <c r="D6" s="34">
        <f>C6*SQRT(('Raw data and calculations'!E23/'Raw data and calculations'!E22)^2+('Raw data and calculations'!E34/'Raw data and calculations'!E33)^2)</f>
        <v>0.37851357274048741</v>
      </c>
      <c r="E6" s="57">
        <f>'Raw data and calculations'!E22/'Raw data and calculations'!E11</f>
        <v>0.68804664723032072</v>
      </c>
      <c r="F6" s="58">
        <f>E6*SQRT(('Raw data and calculations'!E23/'Raw data and calculations'!E22)^2+('Raw data and calculations'!E12/'Raw data and calculations'!E11)^2)</f>
        <v>3.092812361587766E-2</v>
      </c>
      <c r="G6" s="18"/>
      <c r="H6" s="18"/>
      <c r="I6" s="52">
        <v>4.25</v>
      </c>
      <c r="J6" s="42">
        <f>100*(0.162*'Raw data and calculations'!Q22-0.098*'Raw data and calculations'!Q33)</f>
        <v>5.5426000000000002</v>
      </c>
      <c r="K6" s="43">
        <f>J6*SQRT(('Raw data and calculations'!Q23/'Raw data and calculations'!Q22)^2+('Raw data and calculations'!Q34/'Raw data and calculations'!Q33)^2)</f>
        <v>0.10129651614330121</v>
      </c>
      <c r="L6" s="63">
        <f>'Raw data and calculations'!Q22/'Raw data and calculations'!Q11</f>
        <v>0.67596566523605151</v>
      </c>
      <c r="M6" s="64">
        <f>L6*SQRT(('Raw data and calculations'!Q23/'Raw data and calculations'!Q22)^2+('Raw data and calculations'!Q12/'Raw data and calculations'!Q11)^2)</f>
        <v>1.4055717751071974E-2</v>
      </c>
      <c r="R6" s="18"/>
      <c r="S6" s="18"/>
      <c r="T6" s="18"/>
      <c r="U6" s="18"/>
      <c r="V6" s="18"/>
      <c r="W6" s="18"/>
      <c r="X6" s="18"/>
    </row>
    <row r="7" spans="2:25" x14ac:dyDescent="0.3">
      <c r="B7" s="40">
        <v>6.4166666666666661</v>
      </c>
      <c r="C7" s="33">
        <f>100*(0.162*'Raw data and calculations'!F22-0.098*'Raw data and calculations'!F33)</f>
        <v>5.7343999999999999</v>
      </c>
      <c r="D7" s="34">
        <f>C7*SQRT(('Raw data and calculations'!F23/'Raw data and calculations'!F22)^2+('Raw data and calculations'!F34/'Raw data and calculations'!F33)^2)</f>
        <v>0.75808163778084048</v>
      </c>
      <c r="E7" s="57">
        <f>'Raw data and calculations'!F22/'Raw data and calculations'!F11</f>
        <v>0.67696440564137006</v>
      </c>
      <c r="F7" s="58">
        <f>E7*SQRT(('Raw data and calculations'!F23/'Raw data and calculations'!F22)^2+('Raw data and calculations'!F12/'Raw data and calculations'!F11)^2)</f>
        <v>5.579622185501782E-2</v>
      </c>
      <c r="G7" s="18"/>
      <c r="H7" s="18"/>
      <c r="I7" s="52">
        <v>7</v>
      </c>
      <c r="J7" s="42">
        <f>100*(0.162*'Raw data and calculations'!R22-0.098*'Raw data and calculations'!R33)</f>
        <v>5.6828999999999992</v>
      </c>
      <c r="K7" s="43">
        <f>J7*SQRT(('Raw data and calculations'!R23/'Raw data and calculations'!R22)^2+('Raw data and calculations'!R34/'Raw data and calculations'!R33)^2)</f>
        <v>8.5497811586984857E-2</v>
      </c>
      <c r="L7" s="63">
        <f>'Raw data and calculations'!R22/'Raw data and calculations'!R11</f>
        <v>0.66850068775790916</v>
      </c>
      <c r="M7" s="64">
        <f>L7*SQRT(('Raw data and calculations'!R23/'Raw data and calculations'!R22)^2+('Raw data and calculations'!R12/'Raw data and calculations'!R11)^2)</f>
        <v>1.0355387760224703E-2</v>
      </c>
      <c r="R7" s="18"/>
      <c r="S7" s="18"/>
      <c r="T7" s="18"/>
      <c r="U7" s="18"/>
      <c r="V7" s="18"/>
      <c r="W7" s="18"/>
      <c r="X7" s="18"/>
    </row>
    <row r="8" spans="2:25" x14ac:dyDescent="0.3">
      <c r="B8" s="40">
        <v>9.1666666666666661</v>
      </c>
      <c r="C8" s="33">
        <f>100*(0.162*'Raw data and calculations'!G22-0.098*'Raw data and calculations'!G33)</f>
        <v>5.5765000000000002</v>
      </c>
      <c r="D8" s="34">
        <f>C8*SQRT(('Raw data and calculations'!G23/'Raw data and calculations'!G22)^2+('Raw data and calculations'!G34/'Raw data and calculations'!G33)^2)</f>
        <v>0.20298935692364736</v>
      </c>
      <c r="E8" s="57">
        <f>'Raw data and calculations'!G22/'Raw data and calculations'!G11</f>
        <v>0.66364270760642019</v>
      </c>
      <c r="F8" s="58">
        <f>E8*SQRT(('Raw data and calculations'!G23/'Raw data and calculations'!G22)^2+('Raw data and calculations'!G12/'Raw data and calculations'!G11)^2)</f>
        <v>1.8750504997990209E-2</v>
      </c>
      <c r="I8" s="52">
        <v>9.4166666666666661</v>
      </c>
      <c r="J8" s="42">
        <f>100*(0.162*'Raw data and calculations'!S22-0.098*'Raw data and calculations'!S33)</f>
        <v>5.5136000000000003</v>
      </c>
      <c r="K8" s="43">
        <f>J8*SQRT(('Raw data and calculations'!S23/'Raw data and calculations'!S22)^2+('Raw data and calculations'!S34/'Raw data and calculations'!S33)^2)</f>
        <v>0.15768013468051953</v>
      </c>
      <c r="L8" s="63">
        <f>'Raw data and calculations'!S22/'Raw data and calculations'!S11</f>
        <v>0.65027700831024937</v>
      </c>
      <c r="M8" s="64">
        <f>L8*SQRT(('Raw data and calculations'!S23/'Raw data and calculations'!S22)^2+('Raw data and calculations'!S12/'Raw data and calculations'!S11)^2)</f>
        <v>1.5528333982486257E-2</v>
      </c>
      <c r="N8" s="18"/>
    </row>
    <row r="9" spans="2:25" x14ac:dyDescent="0.3">
      <c r="B9" s="40">
        <v>11.583333333333332</v>
      </c>
      <c r="C9" s="33">
        <f>100*(0.162*'Raw data and calculations'!H22-0.098*'Raw data and calculations'!H33)</f>
        <v>5.8239000000000001</v>
      </c>
      <c r="D9" s="34">
        <f>C9*SQRT(('Raw data and calculations'!H23/'Raw data and calculations'!H22)^2+('Raw data and calculations'!H34/'Raw data and calculations'!H33)^2)</f>
        <v>0.36759365276151895</v>
      </c>
      <c r="E9" s="57">
        <f>'Raw data and calculations'!H22/'Raw data and calculations'!H11</f>
        <v>0.66036505867014339</v>
      </c>
      <c r="F9" s="58">
        <f>E9*SQRT(('Raw data and calculations'!H23/'Raw data and calculations'!H22)^2+('Raw data and calculations'!H12/'Raw data and calculations'!H11)^2)</f>
        <v>1.9503198648807295E-2</v>
      </c>
      <c r="I9" s="52">
        <v>12.416666666666666</v>
      </c>
      <c r="J9" s="42">
        <f>100*(0.162*'Raw data and calculations'!U22-0.098*'Raw data and calculations'!U33)</f>
        <v>5.5377000000000001</v>
      </c>
      <c r="K9" s="43">
        <f>J10*SQRT(('Raw data and calculations'!T23/'Raw data and calculations'!T22)^2+('Raw data and calculations'!T34/'Raw data and calculations'!T33)^2)</f>
        <v>0.17998266884801062</v>
      </c>
      <c r="L9" s="63">
        <f>'Raw data and calculations'!T22/'Raw data and calculations'!T11</f>
        <v>0.65046535677352646</v>
      </c>
      <c r="M9" s="64">
        <f>L9*SQRT(('Raw data and calculations'!T23/'Raw data and calculations'!T22)^2+('Raw data and calculations'!T12/'Raw data and calculations'!T11)^2)</f>
        <v>1.7849062109771052E-2</v>
      </c>
      <c r="N9" s="18"/>
    </row>
    <row r="10" spans="2:25" x14ac:dyDescent="0.3">
      <c r="B10" s="40">
        <v>14.583333333333332</v>
      </c>
      <c r="C10" s="33">
        <f>100*(0.162*'Raw data and calculations'!I22-0.098*'Raw data and calculations'!I33)</f>
        <v>5.629999999999999</v>
      </c>
      <c r="D10" s="34">
        <f>C10*SQRT(('Raw data and calculations'!I23/'Raw data and calculations'!I22)^2+('Raw data and calculations'!I34/'Raw data and calculations'!I33)^2)</f>
        <v>5.0161644762263542E-2</v>
      </c>
      <c r="E10" s="57">
        <f>'Raw data and calculations'!I22/'Raw data and calculations'!I11</f>
        <v>0.64749661705006756</v>
      </c>
      <c r="F10" s="58">
        <f>E10*SQRT(('Raw data and calculations'!I23/'Raw data and calculations'!I22)^2+('Raw data and calculations'!I12/'Raw data and calculations'!I11)^2)</f>
        <v>3.6652897965061405E-3</v>
      </c>
      <c r="H10" s="18"/>
      <c r="I10" s="52">
        <v>15.416666666666666</v>
      </c>
      <c r="J10" s="42">
        <f>100*(0.162*'Raw data and calculations'!T22-0.098*'Raw data and calculations'!T33)</f>
        <v>5.5427</v>
      </c>
      <c r="K10" s="43">
        <f>J9*SQRT(('Raw data and calculations'!U23/'Raw data and calculations'!U22)^2+('Raw data and calculations'!U34/'Raw data and calculations'!U33)^2)</f>
        <v>0.14624115813965569</v>
      </c>
      <c r="L10" s="63">
        <f>'Raw data and calculations'!U22/'Raw data and calculations'!U11</f>
        <v>0.6510506372717878</v>
      </c>
      <c r="M10" s="64">
        <f>L10*SQRT(('Raw data and calculations'!U23/'Raw data and calculations'!U22)^2+('Raw data and calculations'!U12/'Raw data and calculations'!U11)^2)</f>
        <v>1.8658821256020398E-2</v>
      </c>
      <c r="R10" s="18"/>
      <c r="S10" s="18"/>
      <c r="T10" s="18"/>
      <c r="U10" s="18"/>
      <c r="V10" s="18"/>
      <c r="W10" s="18"/>
      <c r="X10" s="18"/>
    </row>
    <row r="11" spans="2:25" x14ac:dyDescent="0.3">
      <c r="B11" s="40">
        <v>17.583333333333332</v>
      </c>
      <c r="C11" s="33">
        <f>100*(0.162*'Raw data and calculations'!J22-0.098*'Raw data and calculations'!J33)</f>
        <v>5.4262000000000006</v>
      </c>
      <c r="D11" s="34">
        <f>C11*SQRT(('Raw data and calculations'!J23/'Raw data and calculations'!J22)^2+('Raw data and calculations'!J34/'Raw data and calculations'!J33)^2)</f>
        <v>0.53162612834608181</v>
      </c>
      <c r="E11" s="57">
        <f>'Raw data and calculations'!J22/'Raw data and calculations'!J11</f>
        <v>0.65327695560253696</v>
      </c>
      <c r="F11" s="58">
        <f>E11*SQRT(('Raw data and calculations'!J23/'Raw data and calculations'!J22)^2+('Raw data and calculations'!J12/'Raw data and calculations'!J11)^2)</f>
        <v>6.0312203537678424E-2</v>
      </c>
      <c r="I11" s="52">
        <v>18.416666666666664</v>
      </c>
      <c r="J11" s="42">
        <f>100*(0.162*'Raw data and calculations'!V22-0.098*'Raw data and calculations'!V33)</f>
        <v>5.5097499999999995</v>
      </c>
      <c r="K11" s="43">
        <f>J11*SQRT(('Raw data and calculations'!V23/'Raw data and calculations'!V22)^2+('Raw data and calculations'!V34/'Raw data and calculations'!V33)^2)</f>
        <v>0.11630258775499443</v>
      </c>
      <c r="L11" s="63">
        <f>'Raw data and calculations'!V22/'Raw data and calculations'!V11</f>
        <v>0.64207275223061078</v>
      </c>
      <c r="M11" s="64">
        <f>L11*SQRT(('Raw data and calculations'!V23/'Raw data and calculations'!V22)^2+('Raw data and calculations'!V12/'Raw data and calculations'!V11)^2)</f>
        <v>1.2502652439451931E-2</v>
      </c>
    </row>
    <row r="12" spans="2:25" x14ac:dyDescent="0.3">
      <c r="B12" s="40">
        <v>20.583333333333332</v>
      </c>
      <c r="C12" s="33">
        <f>100*(0.162*'Raw data and calculations'!K22-0.098*'Raw data and calculations'!K33)</f>
        <v>5.7470499999999998</v>
      </c>
      <c r="D12" s="34">
        <f>C12*SQRT(('Raw data and calculations'!K23/'Raw data and calculations'!K22)^2+('Raw data and calculations'!K34/'Raw data and calculations'!K33)^2)</f>
        <v>0.26714842422216351</v>
      </c>
      <c r="E12" s="57">
        <f>'Raw data and calculations'!K22/'Raw data and calculations'!K11</f>
        <v>0.64372736252881124</v>
      </c>
      <c r="F12" s="58">
        <f>E12*SQRT(('Raw data and calculations'!K23/'Raw data and calculations'!K22)^2+('Raw data and calculations'!K12/'Raw data and calculations'!K11)^2)</f>
        <v>2.1152477910718479E-2</v>
      </c>
      <c r="I12" s="52">
        <v>21.833333333333332</v>
      </c>
      <c r="J12" s="42">
        <f>100*(0.162*'Raw data and calculations'!W22-0.098*'Raw data and calculations'!W33)</f>
        <v>5.4546500000000009</v>
      </c>
      <c r="K12" s="43">
        <f>J12*SQRT(('Raw data and calculations'!W23/'Raw data and calculations'!W22)^2+('Raw data and calculations'!W34/'Raw data and calculations'!W33)^2)</f>
        <v>0.14737403840482879</v>
      </c>
      <c r="L12" s="63">
        <f>'Raw data and calculations'!W22/'Raw data and calculations'!W11</f>
        <v>0.63804945054945061</v>
      </c>
      <c r="M12" s="64">
        <f>L12*SQRT(('Raw data and calculations'!W23/'Raw data and calculations'!W22)^2+('Raw data and calculations'!W12/'Raw data and calculations'!W11)^2)</f>
        <v>2.0174593765433683E-2</v>
      </c>
      <c r="Y12" s="17"/>
    </row>
    <row r="13" spans="2:25" ht="15" thickBot="1" x14ac:dyDescent="0.35">
      <c r="B13" s="40">
        <v>24</v>
      </c>
      <c r="C13" s="33">
        <f>100*(0.162*'Raw data and calculations'!L22-0.098*'Raw data and calculations'!L33)</f>
        <v>5.5963000000000003</v>
      </c>
      <c r="D13" s="34">
        <f>C13*SQRT(('Raw data and calculations'!L23/'Raw data and calculations'!L22)^2+('Raw data and calculations'!L34/'Raw data and calculations'!L33)^2)</f>
        <v>3.9080337677501437E-2</v>
      </c>
      <c r="E13" s="57">
        <f>'Raw data and calculations'!L22/'Raw data and calculations'!L11</f>
        <v>0.63157894736842102</v>
      </c>
      <c r="F13" s="58">
        <f>E13*SQRT(('Raw data and calculations'!L23/'Raw data and calculations'!L22)^2+('Raw data and calculations'!L12/'Raw data and calculations'!L11)^2)</f>
        <v>3.5107173330767029E-3</v>
      </c>
      <c r="I13" s="53">
        <v>24</v>
      </c>
      <c r="J13" s="44">
        <f>100*(0.162*'Raw data and calculations'!X22-0.098*'Raw data and calculations'!X33)</f>
        <v>5.4958000000000009</v>
      </c>
      <c r="K13" s="45">
        <f>J13*SQRT(('Raw data and calculations'!X23/'Raw data and calculations'!X22)^2+('Raw data and calculations'!X34/'Raw data and calculations'!X33)^2)</f>
        <v>0.20067482293072067</v>
      </c>
      <c r="L13" s="65">
        <f>'Raw data and calculations'!X22/'Raw data and calculations'!X11</f>
        <v>0.63255656872678157</v>
      </c>
      <c r="M13" s="66">
        <f>L13*SQRT(('Raw data and calculations'!X23/'Raw data and calculations'!X22)^2+('Raw data and calculations'!X12/'Raw data and calculations'!X11)^2)</f>
        <v>1.7617021118209574E-2</v>
      </c>
    </row>
    <row r="14" spans="2:25" ht="15" thickBot="1" x14ac:dyDescent="0.35">
      <c r="B14" s="41">
        <v>26.166666666666668</v>
      </c>
      <c r="C14" s="35">
        <f>100*(0.162*'Raw data and calculations'!M22-0.098*'Raw data and calculations'!M33)</f>
        <v>5.5122500000000008</v>
      </c>
      <c r="D14" s="36">
        <f>C14*SQRT(('Raw data and calculations'!M23/'Raw data and calculations'!M22)^2+('Raw data and calculations'!M34/'Raw data and calculations'!M33)^2)</f>
        <v>0.18562692016594304</v>
      </c>
      <c r="E14" s="59">
        <f>'Raw data and calculations'!M22/'Raw data and calculations'!M11</f>
        <v>0.6323873121869783</v>
      </c>
      <c r="F14" s="60">
        <f>E14*SQRT(('Raw data and calculations'!M23/'Raw data and calculations'!M22)^2+('Raw data and calculations'!M12/'Raw data and calculations'!M11)^2)</f>
        <v>2.6629367105843755E-2</v>
      </c>
    </row>
    <row r="22" spans="25:29" x14ac:dyDescent="0.3">
      <c r="Y22" s="17"/>
    </row>
    <row r="23" spans="25:29" x14ac:dyDescent="0.3">
      <c r="Y23" s="17"/>
    </row>
    <row r="31" spans="25:29" x14ac:dyDescent="0.3">
      <c r="AB31" s="17"/>
      <c r="AC31" s="17"/>
    </row>
    <row r="33" spans="25:25" x14ac:dyDescent="0.3">
      <c r="Y33" s="17"/>
    </row>
    <row r="34" spans="25:25" x14ac:dyDescent="0.3">
      <c r="Y34" s="17"/>
    </row>
  </sheetData>
  <phoneticPr fontId="3"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ED5CB5-EC51-40B4-A7F8-56011159ABB7}">
  <dimension ref="A1:Y34"/>
  <sheetViews>
    <sheetView zoomScale="55" zoomScaleNormal="55" workbookViewId="0">
      <selection activeCell="K37" sqref="K37"/>
    </sheetView>
  </sheetViews>
  <sheetFormatPr defaultRowHeight="14.4" x14ac:dyDescent="0.3"/>
  <cols>
    <col min="1" max="1" width="23.5546875" bestFit="1" customWidth="1"/>
    <col min="2" max="2" width="19" bestFit="1" customWidth="1"/>
  </cols>
  <sheetData>
    <row r="1" spans="1:25" x14ac:dyDescent="0.3">
      <c r="C1" t="s">
        <v>42</v>
      </c>
      <c r="O1" t="s">
        <v>43</v>
      </c>
    </row>
    <row r="3" spans="1:25" x14ac:dyDescent="0.3">
      <c r="C3" t="s">
        <v>44</v>
      </c>
      <c r="O3" t="s">
        <v>44</v>
      </c>
    </row>
    <row r="4" spans="1:25" x14ac:dyDescent="0.3">
      <c r="B4" t="s">
        <v>41</v>
      </c>
      <c r="C4" s="18">
        <v>0</v>
      </c>
      <c r="D4" s="18">
        <v>2.1666666666666665</v>
      </c>
      <c r="E4" s="18">
        <v>4.4166666666666661</v>
      </c>
      <c r="F4" s="18">
        <v>6.4166666666666661</v>
      </c>
      <c r="G4" s="18">
        <v>9.1666666666666661</v>
      </c>
      <c r="H4" s="18">
        <v>11.583333333333332</v>
      </c>
      <c r="I4" s="18">
        <v>14.583333333333332</v>
      </c>
      <c r="J4" s="18">
        <v>17.583333333333332</v>
      </c>
      <c r="K4" s="18">
        <v>20.583333333333332</v>
      </c>
      <c r="L4" s="18">
        <v>24</v>
      </c>
      <c r="M4" s="18">
        <v>26.166666666666668</v>
      </c>
      <c r="N4" s="18"/>
      <c r="O4" s="18">
        <v>0</v>
      </c>
      <c r="P4" s="18">
        <v>2.25</v>
      </c>
      <c r="Q4" s="18">
        <v>4.25</v>
      </c>
      <c r="R4" s="18">
        <v>7</v>
      </c>
      <c r="S4" s="18">
        <v>9.4166666666666661</v>
      </c>
      <c r="T4" s="18">
        <v>12.416666666666666</v>
      </c>
      <c r="U4" s="18">
        <v>15.416666666666666</v>
      </c>
      <c r="V4" s="18">
        <v>18.416666666666664</v>
      </c>
      <c r="W4" s="18">
        <v>21.833333333333332</v>
      </c>
      <c r="X4" s="18">
        <v>24</v>
      </c>
    </row>
    <row r="5" spans="1:25" x14ac:dyDescent="0.3">
      <c r="B5" t="s">
        <v>56</v>
      </c>
      <c r="C5" s="19" t="s">
        <v>45</v>
      </c>
      <c r="D5" s="19" t="s">
        <v>46</v>
      </c>
      <c r="E5" s="19" t="s">
        <v>47</v>
      </c>
      <c r="F5" s="19" t="s">
        <v>48</v>
      </c>
      <c r="G5" s="19" t="s">
        <v>49</v>
      </c>
      <c r="H5" s="19" t="s">
        <v>50</v>
      </c>
      <c r="I5" s="19" t="s">
        <v>51</v>
      </c>
      <c r="J5" s="19" t="s">
        <v>52</v>
      </c>
      <c r="K5" s="19" t="s">
        <v>53</v>
      </c>
      <c r="L5" s="19" t="s">
        <v>54</v>
      </c>
      <c r="M5" s="19" t="s">
        <v>55</v>
      </c>
      <c r="N5" s="20"/>
      <c r="O5" s="19" t="s">
        <v>45</v>
      </c>
      <c r="P5" s="19" t="s">
        <v>46</v>
      </c>
      <c r="Q5" s="19" t="s">
        <v>47</v>
      </c>
      <c r="R5" s="19" t="s">
        <v>48</v>
      </c>
      <c r="S5" s="19" t="s">
        <v>49</v>
      </c>
      <c r="T5" s="19" t="s">
        <v>50</v>
      </c>
      <c r="U5" s="19" t="s">
        <v>51</v>
      </c>
      <c r="V5" s="19" t="s">
        <v>52</v>
      </c>
      <c r="W5" s="19" t="s">
        <v>53</v>
      </c>
      <c r="X5" s="19" t="s">
        <v>54</v>
      </c>
    </row>
    <row r="6" spans="1:25" x14ac:dyDescent="0.3">
      <c r="A6" s="67" t="s">
        <v>61</v>
      </c>
      <c r="B6" t="s">
        <v>6</v>
      </c>
      <c r="C6" s="21">
        <v>0.27400000000000002</v>
      </c>
      <c r="D6" s="21">
        <v>0.67200000000000004</v>
      </c>
      <c r="E6" s="21">
        <v>0.69899999999999995</v>
      </c>
      <c r="F6" s="18">
        <v>0.74450000000000005</v>
      </c>
      <c r="G6" s="18">
        <v>0.71649999999999991</v>
      </c>
      <c r="H6" s="18">
        <v>0.76700000000000002</v>
      </c>
      <c r="I6" s="22">
        <v>0.73899999999999999</v>
      </c>
      <c r="J6" s="22">
        <v>0.75</v>
      </c>
      <c r="K6" s="22">
        <v>0.78700000000000003</v>
      </c>
      <c r="L6" s="22">
        <v>0.746</v>
      </c>
      <c r="M6" s="22">
        <v>0.71099999999999997</v>
      </c>
      <c r="N6" s="20"/>
      <c r="O6" s="22">
        <v>0.29899999999999999</v>
      </c>
      <c r="P6" s="22">
        <v>0.68</v>
      </c>
      <c r="Q6" s="22">
        <f>AVERAGE(Q7,Q8)</f>
        <v>0.69900000000000007</v>
      </c>
      <c r="R6" s="18">
        <v>0.72699999999999998</v>
      </c>
      <c r="S6" s="18">
        <v>0.72199999999999998</v>
      </c>
      <c r="T6" s="18">
        <v>0.71199999999999997</v>
      </c>
      <c r="U6" s="21">
        <v>0.71299999999999997</v>
      </c>
      <c r="V6" s="21">
        <v>0.71799999999999997</v>
      </c>
      <c r="W6" s="21">
        <v>0.69299999999999995</v>
      </c>
      <c r="X6" s="21">
        <v>0.74199999999999999</v>
      </c>
    </row>
    <row r="7" spans="1:25" x14ac:dyDescent="0.3">
      <c r="A7" s="67"/>
      <c r="B7" t="s">
        <v>7</v>
      </c>
      <c r="C7" s="23">
        <v>0.29299999999999998</v>
      </c>
      <c r="D7" s="23">
        <v>0.61599999999999999</v>
      </c>
      <c r="E7" s="23">
        <v>0.70299999999999996</v>
      </c>
      <c r="F7" s="24">
        <v>0.80200000000000005</v>
      </c>
      <c r="G7" s="24">
        <v>0.73499999999999999</v>
      </c>
      <c r="H7" s="24">
        <v>0.78500000000000003</v>
      </c>
      <c r="I7" s="24">
        <v>0.74299999999999999</v>
      </c>
      <c r="J7" s="24">
        <v>0.746</v>
      </c>
      <c r="K7" s="24">
        <v>0.78100000000000003</v>
      </c>
      <c r="L7" s="24">
        <v>0.75800000000000001</v>
      </c>
      <c r="M7" s="24">
        <v>0.73099999999999998</v>
      </c>
      <c r="N7" s="20"/>
      <c r="O7" s="24">
        <v>0.27500000000000002</v>
      </c>
      <c r="P7" s="24">
        <v>0.65100000000000002</v>
      </c>
      <c r="Q7" s="24">
        <v>0.68400000000000005</v>
      </c>
      <c r="R7" s="24">
        <v>0.71499999999999997</v>
      </c>
      <c r="S7" s="24">
        <v>0.73699999999999999</v>
      </c>
      <c r="T7" s="24">
        <v>0.745</v>
      </c>
      <c r="U7" s="23">
        <v>0.70099999999999996</v>
      </c>
      <c r="V7" s="23">
        <v>0.75700000000000001</v>
      </c>
      <c r="W7" s="23">
        <v>0.72499999999999998</v>
      </c>
      <c r="X7" s="23">
        <v>0.75800000000000001</v>
      </c>
    </row>
    <row r="8" spans="1:25" x14ac:dyDescent="0.3">
      <c r="A8" s="67"/>
      <c r="B8" t="s">
        <v>8</v>
      </c>
      <c r="C8" s="23">
        <v>0.29099999999999998</v>
      </c>
      <c r="D8" s="23">
        <v>0.64400000000000002</v>
      </c>
      <c r="E8" s="23">
        <v>0.65600000000000003</v>
      </c>
      <c r="F8" s="24">
        <v>0.68700000000000006</v>
      </c>
      <c r="G8" s="24">
        <v>0.69799999999999995</v>
      </c>
      <c r="H8" s="24">
        <v>0.749</v>
      </c>
      <c r="I8" s="24">
        <v>0.74099999999999999</v>
      </c>
      <c r="J8" s="24">
        <v>0.61299999999999999</v>
      </c>
      <c r="K8" s="24">
        <v>0.73899999999999999</v>
      </c>
      <c r="L8" s="24">
        <v>0.753</v>
      </c>
      <c r="M8" s="24">
        <v>0.80400000000000005</v>
      </c>
      <c r="N8" s="20"/>
      <c r="O8" s="24">
        <v>0.27100000000000002</v>
      </c>
      <c r="P8" s="24">
        <v>0.61499999999999999</v>
      </c>
      <c r="Q8" s="24">
        <v>0.71399999999999997</v>
      </c>
      <c r="R8" s="24">
        <v>0.73899999999999999</v>
      </c>
      <c r="S8" s="24">
        <v>0.70699999999999996</v>
      </c>
      <c r="T8" s="24">
        <v>0.69799999999999995</v>
      </c>
      <c r="U8" s="23">
        <v>0.751</v>
      </c>
      <c r="V8" s="23">
        <v>0.73299999999999998</v>
      </c>
      <c r="W8" s="23">
        <v>0.752</v>
      </c>
      <c r="X8" s="23">
        <v>0.71199999999999997</v>
      </c>
    </row>
    <row r="9" spans="1:25" x14ac:dyDescent="0.3">
      <c r="A9" s="67"/>
      <c r="B9" t="s">
        <v>40</v>
      </c>
      <c r="C9" s="23"/>
      <c r="D9" s="23"/>
      <c r="E9" s="23"/>
      <c r="F9" s="24"/>
      <c r="G9" s="24"/>
      <c r="H9" s="24"/>
      <c r="I9" s="24">
        <v>0.73299999999999998</v>
      </c>
      <c r="J9" s="24">
        <v>0.72899999999999998</v>
      </c>
      <c r="K9" s="24">
        <v>0.73</v>
      </c>
      <c r="L9" s="24">
        <v>0.745</v>
      </c>
      <c r="M9" s="24">
        <v>0.749</v>
      </c>
      <c r="N9" s="20"/>
      <c r="O9" s="24"/>
      <c r="P9" s="24"/>
      <c r="Q9" s="24"/>
      <c r="R9" s="24"/>
      <c r="S9" s="24"/>
      <c r="T9" s="24">
        <v>0.746</v>
      </c>
      <c r="U9" s="23">
        <v>0.73799999999999999</v>
      </c>
      <c r="V9" s="23">
        <v>0.70599999999999996</v>
      </c>
      <c r="W9" s="23">
        <v>0.74199999999999999</v>
      </c>
      <c r="X9" s="23">
        <v>0.749</v>
      </c>
    </row>
    <row r="10" spans="1:25" x14ac:dyDescent="0.3">
      <c r="A10" s="67"/>
      <c r="C10" s="23"/>
      <c r="D10" s="23"/>
      <c r="E10" s="23"/>
      <c r="F10" s="24"/>
      <c r="G10" s="24"/>
      <c r="H10" s="24"/>
      <c r="I10" s="24"/>
      <c r="J10" s="24"/>
      <c r="K10" s="24"/>
      <c r="L10" s="24"/>
      <c r="M10" s="24"/>
      <c r="N10" s="20"/>
      <c r="O10" s="24"/>
      <c r="P10" s="24"/>
      <c r="Q10" s="24"/>
      <c r="R10" s="24"/>
      <c r="S10" s="24"/>
      <c r="T10" s="24"/>
      <c r="U10" s="23"/>
      <c r="V10" s="23"/>
      <c r="W10" s="23"/>
      <c r="X10" s="23"/>
    </row>
    <row r="11" spans="1:25" x14ac:dyDescent="0.3">
      <c r="A11" s="67"/>
      <c r="B11" t="s">
        <v>16</v>
      </c>
      <c r="C11" s="23">
        <f>AVERAGE(C6:C8)</f>
        <v>0.28599999999999998</v>
      </c>
      <c r="D11" s="23">
        <f t="shared" ref="D11:P11" si="0">AVERAGE(D6:D8)</f>
        <v>0.64400000000000002</v>
      </c>
      <c r="E11" s="23">
        <f t="shared" si="0"/>
        <v>0.68599999999999994</v>
      </c>
      <c r="F11" s="24">
        <f>AVERAGE(F7:F8)</f>
        <v>0.74450000000000005</v>
      </c>
      <c r="G11" s="24">
        <f t="shared" ref="G11:H11" si="1">AVERAGE(G7:G8)</f>
        <v>0.71649999999999991</v>
      </c>
      <c r="H11" s="24">
        <f t="shared" si="1"/>
        <v>0.76700000000000002</v>
      </c>
      <c r="I11" s="24">
        <f>AVERAGE(I6:I9)</f>
        <v>0.73899999999999999</v>
      </c>
      <c r="J11" s="24">
        <f t="shared" ref="J11:M11" si="2">AVERAGE(J6:J9)</f>
        <v>0.70950000000000002</v>
      </c>
      <c r="K11" s="24">
        <f t="shared" si="2"/>
        <v>0.75924999999999998</v>
      </c>
      <c r="L11" s="24">
        <f t="shared" si="2"/>
        <v>0.75050000000000006</v>
      </c>
      <c r="M11" s="24">
        <f t="shared" si="2"/>
        <v>0.74875000000000003</v>
      </c>
      <c r="N11" s="22"/>
      <c r="O11" s="24">
        <f t="shared" si="0"/>
        <v>0.28166666666666668</v>
      </c>
      <c r="P11" s="24">
        <f t="shared" si="0"/>
        <v>0.64866666666666661</v>
      </c>
      <c r="Q11" s="24">
        <f>AVERAGE(Q7:Q8)</f>
        <v>0.69900000000000007</v>
      </c>
      <c r="R11" s="24">
        <f t="shared" ref="R11:S11" si="3">AVERAGE(R7:R8)</f>
        <v>0.72699999999999998</v>
      </c>
      <c r="S11" s="24">
        <f t="shared" si="3"/>
        <v>0.72199999999999998</v>
      </c>
      <c r="T11" s="24">
        <f>AVERAGE(T6:T9)</f>
        <v>0.72524999999999995</v>
      </c>
      <c r="U11" s="23">
        <f t="shared" ref="U11:X11" si="4">AVERAGE(U6:U9)</f>
        <v>0.72575000000000001</v>
      </c>
      <c r="V11" s="23">
        <f t="shared" si="4"/>
        <v>0.72850000000000004</v>
      </c>
      <c r="W11" s="23">
        <f t="shared" si="4"/>
        <v>0.72799999999999998</v>
      </c>
      <c r="X11" s="23">
        <f t="shared" si="4"/>
        <v>0.74024999999999996</v>
      </c>
    </row>
    <row r="12" spans="1:25" x14ac:dyDescent="0.3">
      <c r="A12" s="67"/>
      <c r="B12" t="s">
        <v>60</v>
      </c>
      <c r="C12" s="23">
        <f>_xlfn.STDEV.S(C6:C8)/SQRT(3)</f>
        <v>6.027713773341695E-3</v>
      </c>
      <c r="D12" s="23">
        <f t="shared" ref="D12:M12" si="5">_xlfn.STDEV.S(D6:D8)/SQRT(3)</f>
        <v>1.6165807537309538E-2</v>
      </c>
      <c r="E12" s="23">
        <f t="shared" si="5"/>
        <v>1.5044378795195655E-2</v>
      </c>
      <c r="F12" s="24">
        <f>_xlfn.STDEV.S(F6:F8)/SQRT(2)</f>
        <v>4.0658639918226477E-2</v>
      </c>
      <c r="G12" s="24">
        <f>_xlfn.STDEV.S(G6:G8)/SQRT(2)</f>
        <v>1.308147545195114E-2</v>
      </c>
      <c r="H12" s="24">
        <f>_xlfn.STDEV.S(H6:H8)/SQRT(2)</f>
        <v>1.2727922061357866E-2</v>
      </c>
      <c r="I12" s="24">
        <f t="shared" si="5"/>
        <v>1.1547005383792527E-3</v>
      </c>
      <c r="J12" s="24">
        <f t="shared" si="5"/>
        <v>4.5014812376964697E-2</v>
      </c>
      <c r="K12" s="24">
        <f t="shared" si="5"/>
        <v>1.5099668870541512E-2</v>
      </c>
      <c r="L12" s="24">
        <f t="shared" si="5"/>
        <v>3.4801021696368537E-3</v>
      </c>
      <c r="M12" s="24">
        <f t="shared" si="5"/>
        <v>2.8262656948308651E-2</v>
      </c>
      <c r="N12" s="22"/>
      <c r="O12" s="24">
        <f>_xlfn.STDEV.S(O6:O8)/SQRT(3)</f>
        <v>8.7432513657359906E-3</v>
      </c>
      <c r="P12" s="24">
        <f t="shared" ref="P12:X12" si="6">_xlfn.STDEV.S(P6:P8)/SQRT(3)</f>
        <v>1.8800118202938119E-2</v>
      </c>
      <c r="Q12" s="24">
        <f>_xlfn.STDEV.S(Q6:Q8)/SQRT(2)</f>
        <v>1.0606601717798182E-2</v>
      </c>
      <c r="R12" s="24">
        <f>_xlfn.STDEV.S(R6:R8)/SQRT(2)</f>
        <v>8.4852813742385767E-3</v>
      </c>
      <c r="S12" s="24">
        <f>_xlfn.STDEV.S(S6:S8)/SQRT(2)</f>
        <v>1.0606601717798222E-2</v>
      </c>
      <c r="T12" s="24">
        <f t="shared" si="6"/>
        <v>1.3932376362670923E-2</v>
      </c>
      <c r="U12" s="23">
        <f t="shared" si="6"/>
        <v>1.5070206073943101E-2</v>
      </c>
      <c r="V12" s="23">
        <f t="shared" si="6"/>
        <v>1.1357816691600558E-2</v>
      </c>
      <c r="W12" s="23">
        <f t="shared" si="6"/>
        <v>1.7052207416571565E-2</v>
      </c>
      <c r="X12" s="23">
        <f t="shared" si="6"/>
        <v>1.3482498944104469E-2</v>
      </c>
      <c r="Y12" s="17"/>
    </row>
    <row r="13" spans="1:25" x14ac:dyDescent="0.3">
      <c r="C13" s="25"/>
      <c r="D13" s="25"/>
      <c r="E13" s="25"/>
      <c r="F13" s="26"/>
      <c r="G13" s="26"/>
      <c r="H13" s="26"/>
      <c r="I13" s="26"/>
      <c r="J13" s="26"/>
      <c r="K13" s="26"/>
      <c r="L13" s="26"/>
      <c r="M13" s="26"/>
      <c r="N13" s="20"/>
      <c r="O13" s="26"/>
      <c r="P13" s="26"/>
      <c r="Q13" s="26"/>
      <c r="R13" s="26"/>
      <c r="S13" s="26"/>
      <c r="T13" s="26"/>
      <c r="U13" s="25"/>
      <c r="V13" s="25"/>
      <c r="W13" s="25"/>
      <c r="X13" s="25"/>
    </row>
    <row r="14" spans="1:25" x14ac:dyDescent="0.3">
      <c r="C14" s="18"/>
      <c r="D14" s="18"/>
      <c r="E14" s="18"/>
      <c r="F14" s="27"/>
      <c r="G14" s="27"/>
      <c r="H14" s="27"/>
      <c r="I14" s="27"/>
      <c r="J14" s="27"/>
      <c r="K14" s="27"/>
      <c r="L14" s="27"/>
      <c r="M14" s="27"/>
      <c r="N14" s="20"/>
      <c r="O14" s="27"/>
      <c r="P14" s="27"/>
      <c r="Q14" s="27"/>
      <c r="R14" s="27"/>
      <c r="S14" s="27"/>
      <c r="T14" s="27"/>
      <c r="U14" s="18"/>
      <c r="V14" s="18"/>
      <c r="W14" s="18"/>
      <c r="X14" s="18"/>
    </row>
    <row r="15" spans="1:25" x14ac:dyDescent="0.3">
      <c r="C15" s="18"/>
      <c r="D15" s="18"/>
      <c r="E15" s="18"/>
      <c r="F15" s="27"/>
      <c r="G15" s="27"/>
      <c r="H15" s="27"/>
      <c r="I15" s="27"/>
      <c r="J15" s="27"/>
      <c r="K15" s="27"/>
      <c r="L15" s="27"/>
      <c r="M15" s="27"/>
      <c r="N15" s="20"/>
      <c r="O15" s="27"/>
      <c r="P15" s="27"/>
      <c r="Q15" s="27"/>
      <c r="R15" s="27"/>
      <c r="S15" s="27"/>
      <c r="T15" s="27"/>
      <c r="U15" s="18"/>
      <c r="V15" s="18"/>
      <c r="W15" s="18"/>
      <c r="X15" s="18"/>
    </row>
    <row r="16" spans="1:25" x14ac:dyDescent="0.3">
      <c r="B16" t="s">
        <v>56</v>
      </c>
      <c r="C16" s="19" t="s">
        <v>45</v>
      </c>
      <c r="D16" s="19" t="s">
        <v>46</v>
      </c>
      <c r="E16" s="19" t="s">
        <v>47</v>
      </c>
      <c r="F16" s="19" t="s">
        <v>48</v>
      </c>
      <c r="G16" s="19" t="s">
        <v>49</v>
      </c>
      <c r="H16" s="19" t="s">
        <v>50</v>
      </c>
      <c r="I16" s="19" t="s">
        <v>51</v>
      </c>
      <c r="J16" s="19" t="s">
        <v>52</v>
      </c>
      <c r="K16" s="19" t="s">
        <v>53</v>
      </c>
      <c r="L16" s="19" t="s">
        <v>54</v>
      </c>
      <c r="M16" s="19" t="s">
        <v>55</v>
      </c>
      <c r="N16" s="20"/>
      <c r="O16" s="19" t="s">
        <v>45</v>
      </c>
      <c r="P16" s="19" t="s">
        <v>46</v>
      </c>
      <c r="Q16" s="19" t="s">
        <v>47</v>
      </c>
      <c r="R16" s="19" t="s">
        <v>48</v>
      </c>
      <c r="S16" s="19" t="s">
        <v>49</v>
      </c>
      <c r="T16" s="19" t="s">
        <v>50</v>
      </c>
      <c r="U16" s="19" t="s">
        <v>51</v>
      </c>
      <c r="V16" s="19" t="s">
        <v>52</v>
      </c>
      <c r="W16" s="19" t="s">
        <v>53</v>
      </c>
      <c r="X16" s="19" t="s">
        <v>54</v>
      </c>
    </row>
    <row r="17" spans="1:25" x14ac:dyDescent="0.3">
      <c r="A17" s="67" t="s">
        <v>62</v>
      </c>
      <c r="B17" t="s">
        <v>6</v>
      </c>
      <c r="C17" s="21">
        <v>7.3999999999999996E-2</v>
      </c>
      <c r="D17" s="21">
        <v>0.50600000000000001</v>
      </c>
      <c r="E17" s="21">
        <v>0.5</v>
      </c>
      <c r="F17" s="18">
        <v>0.504</v>
      </c>
      <c r="G17" s="18">
        <v>0.47550000000000003</v>
      </c>
      <c r="H17" s="18">
        <v>0.50649999999999995</v>
      </c>
      <c r="I17" s="22">
        <v>0.48</v>
      </c>
      <c r="J17" s="22">
        <v>0.49399999999999999</v>
      </c>
      <c r="K17" s="22">
        <v>0.51200000000000001</v>
      </c>
      <c r="L17" s="22">
        <v>0.47499999999999998</v>
      </c>
      <c r="M17" s="22">
        <v>0.46800000000000003</v>
      </c>
      <c r="N17" s="20"/>
      <c r="O17" s="22">
        <v>7.2999999999999995E-2</v>
      </c>
      <c r="P17" s="22">
        <v>0.51500000000000001</v>
      </c>
      <c r="Q17" s="22">
        <f>AVERAGE(Q18,Q19)</f>
        <v>0.47250000000000003</v>
      </c>
      <c r="R17" s="18">
        <v>0.48599999999999999</v>
      </c>
      <c r="S17" s="18">
        <v>0.46950000000000003</v>
      </c>
      <c r="T17" s="18">
        <v>0.46700000000000003</v>
      </c>
      <c r="U17" s="21">
        <v>0.46800000000000003</v>
      </c>
      <c r="V17" s="21">
        <v>0.47</v>
      </c>
      <c r="W17" s="21">
        <v>0.44500000000000001</v>
      </c>
      <c r="X17" s="21">
        <v>0.46899999999999997</v>
      </c>
    </row>
    <row r="18" spans="1:25" x14ac:dyDescent="0.3">
      <c r="A18" s="67"/>
      <c r="B18" t="s">
        <v>7</v>
      </c>
      <c r="C18" s="23">
        <v>0.09</v>
      </c>
      <c r="D18" s="23">
        <v>0.41499999999999998</v>
      </c>
      <c r="E18" s="23">
        <v>0.47899999999999998</v>
      </c>
      <c r="F18" s="24">
        <v>0.54800000000000004</v>
      </c>
      <c r="G18" s="24">
        <v>0.49</v>
      </c>
      <c r="H18" s="24">
        <v>0.52400000000000002</v>
      </c>
      <c r="I18" s="24">
        <v>0.48499999999999999</v>
      </c>
      <c r="J18" s="24">
        <v>0.48599999999999999</v>
      </c>
      <c r="K18" s="24">
        <v>0.50600000000000001</v>
      </c>
      <c r="L18" s="24">
        <v>0.47799999999999998</v>
      </c>
      <c r="M18" s="24">
        <v>0.46200000000000002</v>
      </c>
      <c r="N18" s="20"/>
      <c r="O18" s="24">
        <v>0.06</v>
      </c>
      <c r="P18" s="24">
        <v>0.44600000000000001</v>
      </c>
      <c r="Q18" s="24">
        <v>0.46300000000000002</v>
      </c>
      <c r="R18" s="24">
        <v>0.47899999999999998</v>
      </c>
      <c r="S18" s="24">
        <v>0.48199999999999998</v>
      </c>
      <c r="T18" s="24">
        <v>0.48399999999999999</v>
      </c>
      <c r="U18" s="23">
        <v>0.45600000000000002</v>
      </c>
      <c r="V18" s="23">
        <v>0.48399999999999999</v>
      </c>
      <c r="W18" s="23">
        <v>0.45900000000000002</v>
      </c>
      <c r="X18" s="23">
        <v>0.48299999999999998</v>
      </c>
    </row>
    <row r="19" spans="1:25" x14ac:dyDescent="0.3">
      <c r="A19" s="67"/>
      <c r="B19" t="s">
        <v>8</v>
      </c>
      <c r="C19" s="23">
        <v>7.1999999999999995E-2</v>
      </c>
      <c r="D19" s="23">
        <v>0.43099999999999999</v>
      </c>
      <c r="E19" s="23">
        <v>0.437</v>
      </c>
      <c r="F19" s="24">
        <v>0.46</v>
      </c>
      <c r="G19" s="24">
        <v>0.46100000000000002</v>
      </c>
      <c r="H19" s="24">
        <v>0.48899999999999999</v>
      </c>
      <c r="I19" s="24">
        <v>0.47599999999999998</v>
      </c>
      <c r="J19" s="24">
        <v>0.39700000000000002</v>
      </c>
      <c r="K19" s="24">
        <v>0.47099999999999997</v>
      </c>
      <c r="L19" s="24">
        <v>0.47299999999999998</v>
      </c>
      <c r="M19" s="24">
        <v>0.49099999999999999</v>
      </c>
      <c r="N19" s="20"/>
      <c r="O19" s="24">
        <v>5.5E-2</v>
      </c>
      <c r="P19" s="24">
        <v>0.41799999999999998</v>
      </c>
      <c r="Q19" s="24">
        <v>0.48199999999999998</v>
      </c>
      <c r="R19" s="24">
        <v>0.49299999999999999</v>
      </c>
      <c r="S19" s="24">
        <v>0.45700000000000002</v>
      </c>
      <c r="T19" s="24">
        <v>0.45200000000000001</v>
      </c>
      <c r="U19" s="23">
        <v>0.48799999999999999</v>
      </c>
      <c r="V19" s="23">
        <v>0.46600000000000003</v>
      </c>
      <c r="W19" s="23">
        <v>0.47899999999999998</v>
      </c>
      <c r="X19" s="23">
        <v>0.44900000000000001</v>
      </c>
    </row>
    <row r="20" spans="1:25" x14ac:dyDescent="0.3">
      <c r="A20" s="67"/>
      <c r="B20" t="s">
        <v>40</v>
      </c>
      <c r="C20" s="23"/>
      <c r="D20" s="23"/>
      <c r="E20" s="23"/>
      <c r="F20" s="24"/>
      <c r="G20" s="24"/>
      <c r="H20" s="24"/>
      <c r="I20" s="24">
        <v>0.47299999999999998</v>
      </c>
      <c r="J20" s="24">
        <v>0.47699999999999998</v>
      </c>
      <c r="K20" s="24">
        <v>0.46600000000000003</v>
      </c>
      <c r="L20" s="24">
        <v>0.47</v>
      </c>
      <c r="M20" s="24">
        <v>0.47299999999999998</v>
      </c>
      <c r="N20" s="20"/>
      <c r="O20" s="24"/>
      <c r="P20" s="24"/>
      <c r="Q20" s="24"/>
      <c r="R20" s="24"/>
      <c r="S20" s="24"/>
      <c r="T20" s="24">
        <v>0.48399999999999999</v>
      </c>
      <c r="U20" s="23">
        <v>0.47799999999999998</v>
      </c>
      <c r="V20" s="23">
        <v>0.45100000000000001</v>
      </c>
      <c r="W20" s="23">
        <v>0.47499999999999998</v>
      </c>
      <c r="X20" s="23">
        <v>0.47199999999999998</v>
      </c>
    </row>
    <row r="21" spans="1:25" x14ac:dyDescent="0.3">
      <c r="A21" s="67"/>
      <c r="C21" s="23"/>
      <c r="D21" s="23"/>
      <c r="E21" s="23"/>
      <c r="F21" s="24"/>
      <c r="G21" s="24"/>
      <c r="H21" s="24"/>
      <c r="I21" s="24"/>
      <c r="J21" s="24"/>
      <c r="K21" s="24"/>
      <c r="L21" s="24"/>
      <c r="M21" s="24"/>
      <c r="N21" s="20"/>
      <c r="O21" s="24"/>
      <c r="P21" s="24"/>
      <c r="Q21" s="24"/>
      <c r="R21" s="24"/>
      <c r="S21" s="24"/>
      <c r="T21" s="24"/>
      <c r="U21" s="23"/>
      <c r="V21" s="23"/>
      <c r="W21" s="23"/>
      <c r="X21" s="23"/>
    </row>
    <row r="22" spans="1:25" x14ac:dyDescent="0.3">
      <c r="A22" s="67"/>
      <c r="B22" t="s">
        <v>16</v>
      </c>
      <c r="C22" s="23">
        <f>AVERAGE(C17:C19)</f>
        <v>7.8666666666666663E-2</v>
      </c>
      <c r="D22" s="23">
        <f t="shared" ref="D22:E22" si="7">AVERAGE(D17:D19)</f>
        <v>0.45066666666666672</v>
      </c>
      <c r="E22" s="23">
        <f t="shared" si="7"/>
        <v>0.47199999999999998</v>
      </c>
      <c r="F22" s="24">
        <f>AVERAGE(F18:F19)</f>
        <v>0.504</v>
      </c>
      <c r="G22" s="24">
        <f t="shared" ref="G22:H22" si="8">AVERAGE(G18:G19)</f>
        <v>0.47550000000000003</v>
      </c>
      <c r="H22" s="24">
        <f t="shared" si="8"/>
        <v>0.50649999999999995</v>
      </c>
      <c r="I22" s="24">
        <f>AVERAGE(I17:I20)</f>
        <v>0.47849999999999993</v>
      </c>
      <c r="J22" s="24">
        <f t="shared" ref="J22:M22" si="9">AVERAGE(J17:J20)</f>
        <v>0.46350000000000002</v>
      </c>
      <c r="K22" s="24">
        <f t="shared" si="9"/>
        <v>0.48874999999999996</v>
      </c>
      <c r="L22" s="24">
        <f t="shared" si="9"/>
        <v>0.47399999999999998</v>
      </c>
      <c r="M22" s="24">
        <f t="shared" si="9"/>
        <v>0.47350000000000003</v>
      </c>
      <c r="N22" s="20"/>
      <c r="O22" s="24">
        <f t="shared" ref="O22:P22" si="10">AVERAGE(O17:O19)</f>
        <v>6.2666666666666662E-2</v>
      </c>
      <c r="P22" s="24">
        <f t="shared" si="10"/>
        <v>0.45966666666666667</v>
      </c>
      <c r="Q22" s="24">
        <f>AVERAGE(Q18:Q19)</f>
        <v>0.47250000000000003</v>
      </c>
      <c r="R22" s="24">
        <f t="shared" ref="R22:S22" si="11">AVERAGE(R18:R19)</f>
        <v>0.48599999999999999</v>
      </c>
      <c r="S22" s="24">
        <f t="shared" si="11"/>
        <v>0.46950000000000003</v>
      </c>
      <c r="T22" s="24">
        <f>AVERAGE(T17:T20)</f>
        <v>0.47175</v>
      </c>
      <c r="U22" s="23">
        <f t="shared" ref="U22:X22" si="12">AVERAGE(U17:U20)</f>
        <v>0.47249999999999998</v>
      </c>
      <c r="V22" s="23">
        <f t="shared" si="12"/>
        <v>0.46775</v>
      </c>
      <c r="W22" s="23">
        <f t="shared" si="12"/>
        <v>0.46450000000000002</v>
      </c>
      <c r="X22" s="23">
        <f t="shared" si="12"/>
        <v>0.46825</v>
      </c>
      <c r="Y22" s="17"/>
    </row>
    <row r="23" spans="1:25" x14ac:dyDescent="0.3">
      <c r="A23" s="67"/>
      <c r="B23" t="s">
        <v>60</v>
      </c>
      <c r="C23" s="23">
        <f>_xlfn.STDEV.S(C17:C19)/SQRT(3)</f>
        <v>5.6960024968783435E-3</v>
      </c>
      <c r="D23" s="23">
        <f t="shared" ref="D23:M23" si="13">_xlfn.STDEV.S(D17:D19)/SQRT(3)</f>
        <v>2.8049559315215244E-2</v>
      </c>
      <c r="E23" s="23">
        <f t="shared" si="13"/>
        <v>1.8520259177452137E-2</v>
      </c>
      <c r="F23" s="24">
        <f>_xlfn.STDEV.S(F17:F19)/SQRT(2)</f>
        <v>3.1112698372208095E-2</v>
      </c>
      <c r="G23" s="24">
        <f>_xlfn.STDEV.S(G17:G19)/SQRT(2)</f>
        <v>1.0253048327204927E-2</v>
      </c>
      <c r="H23" s="24">
        <f>_xlfn.STDEV.S(H17:H19)/SQRT(2)</f>
        <v>1.2374368670764592E-2</v>
      </c>
      <c r="I23" s="24">
        <f t="shared" si="13"/>
        <v>2.6034165586355539E-3</v>
      </c>
      <c r="J23" s="24">
        <f t="shared" si="13"/>
        <v>3.1085902485424685E-2</v>
      </c>
      <c r="K23" s="24">
        <f t="shared" si="13"/>
        <v>1.2784539273843416E-2</v>
      </c>
      <c r="L23" s="24">
        <f t="shared" si="13"/>
        <v>1.4529663145135591E-3</v>
      </c>
      <c r="M23" s="24">
        <f t="shared" si="13"/>
        <v>8.8380490557085582E-3</v>
      </c>
      <c r="N23" s="20"/>
      <c r="O23" s="24">
        <f>_xlfn.STDEV.S(O17:O19)/SQRT(3)</f>
        <v>5.3644923131436909E-3</v>
      </c>
      <c r="P23" s="24">
        <f t="shared" ref="P23:X23" si="14">_xlfn.STDEV.S(P17:P19)/SQRT(3)</f>
        <v>2.882321595134343E-2</v>
      </c>
      <c r="Q23" s="24">
        <f>_xlfn.STDEV.S(Q17:Q19)/SQRT(2)</f>
        <v>6.7175144212721872E-3</v>
      </c>
      <c r="R23" s="24">
        <f>_xlfn.STDEV.S(R17:R19)/SQRT(2)</f>
        <v>4.9497474683058368E-3</v>
      </c>
      <c r="S23" s="24">
        <f>_xlfn.STDEV.S(S17:S19)/SQRT(2)</f>
        <v>8.8388347648318318E-3</v>
      </c>
      <c r="T23" s="24">
        <f t="shared" si="14"/>
        <v>9.2436164159080229E-3</v>
      </c>
      <c r="U23" s="23">
        <f t="shared" si="14"/>
        <v>9.3333333333333254E-3</v>
      </c>
      <c r="V23" s="23">
        <f t="shared" si="14"/>
        <v>5.4569018479149588E-3</v>
      </c>
      <c r="W23" s="23">
        <f t="shared" si="14"/>
        <v>9.865765724632488E-3</v>
      </c>
      <c r="X23" s="23">
        <f t="shared" si="14"/>
        <v>9.865765724632488E-3</v>
      </c>
      <c r="Y23" s="17"/>
    </row>
    <row r="24" spans="1:25" x14ac:dyDescent="0.3">
      <c r="C24" s="25"/>
      <c r="D24" s="25"/>
      <c r="E24" s="25"/>
      <c r="F24" s="26"/>
      <c r="G24" s="26"/>
      <c r="H24" s="26"/>
      <c r="I24" s="26"/>
      <c r="J24" s="26"/>
      <c r="K24" s="26"/>
      <c r="L24" s="26"/>
      <c r="M24" s="26"/>
      <c r="N24" s="20"/>
      <c r="O24" s="26"/>
      <c r="P24" s="26"/>
      <c r="Q24" s="26"/>
      <c r="R24" s="26"/>
      <c r="S24" s="26"/>
      <c r="T24" s="26"/>
      <c r="U24" s="25"/>
      <c r="V24" s="25"/>
      <c r="W24" s="25"/>
      <c r="X24" s="25"/>
    </row>
    <row r="25" spans="1:25" x14ac:dyDescent="0.3">
      <c r="C25" s="18"/>
      <c r="D25" s="18"/>
      <c r="E25" s="18"/>
      <c r="F25" s="27"/>
      <c r="G25" s="27"/>
      <c r="H25" s="27"/>
      <c r="I25" s="27"/>
      <c r="J25" s="27"/>
      <c r="K25" s="27"/>
      <c r="L25" s="27"/>
      <c r="M25" s="27"/>
      <c r="N25" s="20"/>
      <c r="O25" s="27"/>
      <c r="P25" s="27"/>
      <c r="Q25" s="27"/>
      <c r="R25" s="27"/>
      <c r="S25" s="27"/>
      <c r="T25" s="27"/>
      <c r="U25" s="18"/>
      <c r="V25" s="18"/>
      <c r="W25" s="18"/>
      <c r="X25" s="18"/>
    </row>
    <row r="26" spans="1:25" x14ac:dyDescent="0.3">
      <c r="C26" s="18"/>
      <c r="D26" s="18"/>
      <c r="E26" s="18"/>
      <c r="F26" s="27"/>
      <c r="G26" s="27"/>
      <c r="H26" s="27"/>
      <c r="I26" s="27"/>
      <c r="J26" s="27"/>
      <c r="K26" s="27"/>
      <c r="L26" s="27"/>
      <c r="M26" s="27"/>
      <c r="N26" s="20"/>
      <c r="O26" s="27"/>
      <c r="P26" s="27"/>
      <c r="Q26" s="27"/>
      <c r="R26" s="27"/>
      <c r="S26" s="27"/>
      <c r="T26" s="27"/>
      <c r="U26" s="18"/>
      <c r="V26" s="18"/>
      <c r="W26" s="18"/>
      <c r="X26" s="18"/>
    </row>
    <row r="27" spans="1:25" x14ac:dyDescent="0.3">
      <c r="B27" t="s">
        <v>56</v>
      </c>
      <c r="C27" s="19" t="s">
        <v>45</v>
      </c>
      <c r="D27" s="19" t="s">
        <v>46</v>
      </c>
      <c r="E27" s="19" t="s">
        <v>47</v>
      </c>
      <c r="F27" s="19" t="s">
        <v>48</v>
      </c>
      <c r="G27" s="19" t="s">
        <v>49</v>
      </c>
      <c r="H27" s="19" t="s">
        <v>50</v>
      </c>
      <c r="I27" s="19" t="s">
        <v>51</v>
      </c>
      <c r="J27" s="19" t="s">
        <v>52</v>
      </c>
      <c r="K27" s="19" t="s">
        <v>53</v>
      </c>
      <c r="L27" s="19" t="s">
        <v>54</v>
      </c>
      <c r="M27" s="19" t="s">
        <v>55</v>
      </c>
      <c r="N27" s="20"/>
      <c r="O27" s="19" t="s">
        <v>45</v>
      </c>
      <c r="P27" s="19" t="s">
        <v>46</v>
      </c>
      <c r="Q27" s="19" t="s">
        <v>47</v>
      </c>
      <c r="R27" s="19" t="s">
        <v>48</v>
      </c>
      <c r="S27" s="19" t="s">
        <v>49</v>
      </c>
      <c r="T27" s="19" t="s">
        <v>50</v>
      </c>
      <c r="U27" s="19" t="s">
        <v>51</v>
      </c>
      <c r="V27" s="19" t="s">
        <v>52</v>
      </c>
      <c r="W27" s="19" t="s">
        <v>53</v>
      </c>
      <c r="X27" s="19" t="s">
        <v>54</v>
      </c>
    </row>
    <row r="28" spans="1:25" x14ac:dyDescent="0.3">
      <c r="A28" s="67" t="s">
        <v>63</v>
      </c>
      <c r="B28" t="s">
        <v>6</v>
      </c>
      <c r="C28" s="21">
        <v>3.9E-2</v>
      </c>
      <c r="D28" s="21">
        <v>0.27</v>
      </c>
      <c r="E28" s="21">
        <v>0.24199999999999999</v>
      </c>
      <c r="F28" s="18">
        <v>0.248</v>
      </c>
      <c r="G28" s="18">
        <v>0.217</v>
      </c>
      <c r="H28" s="18">
        <v>0.24299999999999999</v>
      </c>
      <c r="I28" s="22">
        <v>0.22</v>
      </c>
      <c r="J28" s="22">
        <v>0.23</v>
      </c>
      <c r="K28" s="22">
        <v>0.23799999999999999</v>
      </c>
      <c r="L28" s="22">
        <v>0.215</v>
      </c>
      <c r="M28" s="22">
        <v>0.22900000000000001</v>
      </c>
      <c r="N28" s="20"/>
      <c r="O28" s="22">
        <v>0.04</v>
      </c>
      <c r="P28" s="22">
        <v>0.27300000000000002</v>
      </c>
      <c r="Q28" s="22">
        <f>AVERAGE(Q29,Q30)</f>
        <v>0.2155</v>
      </c>
      <c r="R28" s="18">
        <v>0.2235</v>
      </c>
      <c r="S28" s="18">
        <v>0.2135</v>
      </c>
      <c r="T28" s="18">
        <v>0.215</v>
      </c>
      <c r="U28" s="21">
        <v>0.217</v>
      </c>
      <c r="V28" s="21">
        <v>0.217</v>
      </c>
      <c r="W28" s="21">
        <v>0.20499999999999999</v>
      </c>
      <c r="X28" s="21">
        <v>0.219</v>
      </c>
    </row>
    <row r="29" spans="1:25" x14ac:dyDescent="0.3">
      <c r="A29" s="67"/>
      <c r="B29" t="s">
        <v>7</v>
      </c>
      <c r="C29" s="23">
        <v>5.2999999999999999E-2</v>
      </c>
      <c r="D29" s="23">
        <v>0.19500000000000001</v>
      </c>
      <c r="E29" s="23">
        <v>0.218</v>
      </c>
      <c r="F29" s="24">
        <v>0.28899999999999998</v>
      </c>
      <c r="G29" s="24">
        <v>0.22600000000000001</v>
      </c>
      <c r="H29" s="24">
        <v>0.26300000000000001</v>
      </c>
      <c r="I29" s="24">
        <v>0.221</v>
      </c>
      <c r="J29" s="24">
        <v>0.222</v>
      </c>
      <c r="K29" s="24">
        <v>0.23200000000000001</v>
      </c>
      <c r="L29" s="24">
        <v>0.215</v>
      </c>
      <c r="M29" s="24">
        <v>0.21</v>
      </c>
      <c r="N29" s="20"/>
      <c r="O29" s="24">
        <v>2.5999999999999999E-2</v>
      </c>
      <c r="P29" s="24">
        <v>0.20100000000000001</v>
      </c>
      <c r="Q29" s="24">
        <v>0.21199999999999999</v>
      </c>
      <c r="R29" s="24">
        <v>0.22</v>
      </c>
      <c r="S29" s="24">
        <v>0.22</v>
      </c>
      <c r="T29" s="24">
        <v>0.222</v>
      </c>
      <c r="U29" s="23">
        <v>0.20899999999999999</v>
      </c>
      <c r="V29" s="23">
        <v>0.219</v>
      </c>
      <c r="W29" s="23">
        <v>0.20899999999999999</v>
      </c>
      <c r="X29" s="23">
        <v>0.221</v>
      </c>
    </row>
    <row r="30" spans="1:25" x14ac:dyDescent="0.3">
      <c r="A30" s="67"/>
      <c r="B30" t="s">
        <v>8</v>
      </c>
      <c r="C30" s="23">
        <v>3.3000000000000002E-2</v>
      </c>
      <c r="D30" s="23">
        <v>0.19700000000000001</v>
      </c>
      <c r="E30" s="23">
        <v>0.19900000000000001</v>
      </c>
      <c r="F30" s="24">
        <v>0.20699999999999999</v>
      </c>
      <c r="G30" s="24">
        <v>0.20799999999999999</v>
      </c>
      <c r="H30" s="24">
        <v>0.223</v>
      </c>
      <c r="I30" s="24">
        <v>0.216</v>
      </c>
      <c r="J30" s="24">
        <v>0.18099999999999999</v>
      </c>
      <c r="K30" s="24">
        <v>0.21</v>
      </c>
      <c r="L30" s="24">
        <v>0.21099999999999999</v>
      </c>
      <c r="M30" s="24">
        <v>0.22800000000000001</v>
      </c>
      <c r="N30" s="27"/>
      <c r="O30" s="24">
        <v>2.1999999999999999E-2</v>
      </c>
      <c r="P30" s="24">
        <v>0.189</v>
      </c>
      <c r="Q30" s="24">
        <v>0.219</v>
      </c>
      <c r="R30" s="24">
        <v>0.22700000000000001</v>
      </c>
      <c r="S30" s="24">
        <v>0.20699999999999999</v>
      </c>
      <c r="T30" s="24">
        <v>0.20300000000000001</v>
      </c>
      <c r="U30" s="23">
        <v>0.222</v>
      </c>
      <c r="V30" s="23">
        <v>0.20699999999999999</v>
      </c>
      <c r="W30" s="23">
        <v>0.217</v>
      </c>
      <c r="X30" s="23">
        <v>0.20100000000000001</v>
      </c>
    </row>
    <row r="31" spans="1:25" x14ac:dyDescent="0.3">
      <c r="A31" s="67"/>
      <c r="B31" t="s">
        <v>40</v>
      </c>
      <c r="C31" s="23"/>
      <c r="D31" s="23"/>
      <c r="E31" s="23"/>
      <c r="F31" s="27"/>
      <c r="G31" s="27"/>
      <c r="H31" s="24"/>
      <c r="I31" s="24">
        <v>0.20899999999999999</v>
      </c>
      <c r="J31" s="24">
        <v>0.217</v>
      </c>
      <c r="K31" s="24">
        <v>0.20599999999999999</v>
      </c>
      <c r="L31" s="24">
        <v>0.20899999999999999</v>
      </c>
      <c r="M31" s="24">
        <v>0.214</v>
      </c>
      <c r="N31" s="27"/>
      <c r="O31" s="27"/>
      <c r="P31" s="27"/>
      <c r="Q31" s="27"/>
      <c r="R31" s="24"/>
      <c r="S31" s="24"/>
      <c r="T31" s="24">
        <v>0.217</v>
      </c>
      <c r="U31" s="23">
        <v>0.216</v>
      </c>
      <c r="V31" s="23">
        <v>0.20100000000000001</v>
      </c>
      <c r="W31" s="23">
        <v>0.214</v>
      </c>
      <c r="X31" s="23">
        <v>0.21199999999999999</v>
      </c>
    </row>
    <row r="32" spans="1:25" x14ac:dyDescent="0.3">
      <c r="A32" s="67"/>
      <c r="C32" s="18"/>
      <c r="D32" s="18"/>
      <c r="E32" s="18"/>
      <c r="F32" s="27"/>
      <c r="G32" s="27"/>
      <c r="H32" s="27"/>
      <c r="I32" s="27"/>
      <c r="J32" s="27"/>
      <c r="K32" s="27"/>
      <c r="L32" s="27"/>
      <c r="M32" s="27"/>
      <c r="N32" s="27"/>
      <c r="O32" s="27"/>
      <c r="P32" s="27"/>
      <c r="Q32" s="27"/>
      <c r="R32" s="24"/>
      <c r="S32" s="24"/>
      <c r="T32" s="24"/>
      <c r="U32" s="23"/>
      <c r="V32" s="23"/>
      <c r="W32" s="23"/>
      <c r="X32" s="18"/>
    </row>
    <row r="33" spans="1:25" x14ac:dyDescent="0.3">
      <c r="A33" s="67"/>
      <c r="B33" t="s">
        <v>16</v>
      </c>
      <c r="C33" s="23">
        <f>AVERAGE(C28:C30)</f>
        <v>4.1666666666666664E-2</v>
      </c>
      <c r="D33" s="23">
        <f t="shared" ref="D33:E33" si="15">AVERAGE(D28:D30)</f>
        <v>0.22066666666666668</v>
      </c>
      <c r="E33" s="23">
        <f t="shared" si="15"/>
        <v>0.21966666666666668</v>
      </c>
      <c r="F33" s="23">
        <f>AVERAGE(F29:F30)</f>
        <v>0.248</v>
      </c>
      <c r="G33" s="23">
        <f t="shared" ref="G33:H33" si="16">AVERAGE(G29:G30)</f>
        <v>0.217</v>
      </c>
      <c r="H33" s="23">
        <f t="shared" si="16"/>
        <v>0.24299999999999999</v>
      </c>
      <c r="I33" s="23">
        <f>AVERAGE(I28:I31)</f>
        <v>0.2165</v>
      </c>
      <c r="J33" s="23">
        <f t="shared" ref="J33:M33" si="17">AVERAGE(J28:J31)</f>
        <v>0.21249999999999999</v>
      </c>
      <c r="K33" s="23">
        <f t="shared" si="17"/>
        <v>0.22149999999999997</v>
      </c>
      <c r="L33" s="23">
        <f t="shared" si="17"/>
        <v>0.21249999999999999</v>
      </c>
      <c r="M33" s="23">
        <f t="shared" si="17"/>
        <v>0.22025</v>
      </c>
      <c r="N33" s="18"/>
      <c r="O33" s="23">
        <f t="shared" ref="O33:P33" si="18">AVERAGE(O28:O30)</f>
        <v>2.9333333333333333E-2</v>
      </c>
      <c r="P33" s="23">
        <f t="shared" si="18"/>
        <v>0.221</v>
      </c>
      <c r="Q33" s="23">
        <f>AVERAGE(Q29:Q30)</f>
        <v>0.2155</v>
      </c>
      <c r="R33" s="23">
        <f t="shared" ref="R33:S33" si="19">AVERAGE(R29:R30)</f>
        <v>0.2235</v>
      </c>
      <c r="S33" s="23">
        <f t="shared" si="19"/>
        <v>0.2135</v>
      </c>
      <c r="T33" s="23">
        <f>AVERAGE(T28:T31)</f>
        <v>0.21425</v>
      </c>
      <c r="U33" s="23">
        <f t="shared" ref="U33:X33" si="20">AVERAGE(U28:U31)</f>
        <v>0.216</v>
      </c>
      <c r="V33" s="23">
        <f t="shared" si="20"/>
        <v>0.21100000000000002</v>
      </c>
      <c r="W33" s="23">
        <f t="shared" si="20"/>
        <v>0.21124999999999999</v>
      </c>
      <c r="X33" s="23">
        <f t="shared" si="20"/>
        <v>0.21325</v>
      </c>
      <c r="Y33" s="17"/>
    </row>
    <row r="34" spans="1:25" x14ac:dyDescent="0.3">
      <c r="A34" s="67"/>
      <c r="B34" t="s">
        <v>60</v>
      </c>
      <c r="C34" s="23">
        <f>_xlfn.STDEV.S(C28:C30)/SQRT(3)</f>
        <v>5.9254629448770666E-3</v>
      </c>
      <c r="D34" s="23">
        <f t="shared" ref="D34:M34" si="21">_xlfn.STDEV.S(D28:D30)/SQRT(3)</f>
        <v>2.4673422498262734E-2</v>
      </c>
      <c r="E34" s="23">
        <f t="shared" si="21"/>
        <v>1.2440971737681012E-2</v>
      </c>
      <c r="F34" s="23">
        <f>_xlfn.STDEV.S(F28:F30)/SQRT(2)</f>
        <v>2.8991378028648703E-2</v>
      </c>
      <c r="G34" s="23">
        <f>_xlfn.STDEV.S(G28:G30)/SQRT(2)</f>
        <v>6.3639610306789329E-3</v>
      </c>
      <c r="H34" s="23">
        <f>_xlfn.STDEV.S(H28:H30)/SQRT(2)</f>
        <v>1.4142135623730952E-2</v>
      </c>
      <c r="I34" s="23">
        <f t="shared" si="21"/>
        <v>1.5275252316519481E-3</v>
      </c>
      <c r="J34" s="23">
        <f t="shared" si="21"/>
        <v>1.5176736583776098E-2</v>
      </c>
      <c r="K34" s="23">
        <f t="shared" si="21"/>
        <v>8.5114302232024708E-3</v>
      </c>
      <c r="L34" s="23">
        <f t="shared" si="21"/>
        <v>1.3333333333333348E-3</v>
      </c>
      <c r="M34" s="23">
        <f t="shared" si="21"/>
        <v>6.1734197258173848E-3</v>
      </c>
      <c r="N34" s="18"/>
      <c r="O34" s="23">
        <f>_xlfn.STDEV.S(O28:O30)/SQRT(3)</f>
        <v>5.4569018479149762E-3</v>
      </c>
      <c r="P34" s="23">
        <f t="shared" ref="P34:X34" si="22">_xlfn.STDEV.S(P28:P30)/SQRT(3)</f>
        <v>2.6229754097208069E-2</v>
      </c>
      <c r="Q34" s="23">
        <f>_xlfn.STDEV.S(Q28:Q30)/SQRT(2)</f>
        <v>2.4748737341529184E-3</v>
      </c>
      <c r="R34" s="23">
        <f>_xlfn.STDEV.S(R28:R30)/SQRT(2)</f>
        <v>2.4748737341529184E-3</v>
      </c>
      <c r="S34" s="23">
        <f>_xlfn.STDEV.S(S28:S30)/SQRT(2)</f>
        <v>4.5961940777125626E-3</v>
      </c>
      <c r="T34" s="23">
        <f t="shared" si="22"/>
        <v>5.5477723256977425E-3</v>
      </c>
      <c r="U34" s="23">
        <f t="shared" si="22"/>
        <v>3.7859388972001861E-3</v>
      </c>
      <c r="V34" s="23">
        <f t="shared" si="22"/>
        <v>3.7118429085533518E-3</v>
      </c>
      <c r="W34" s="23">
        <f t="shared" si="22"/>
        <v>3.5276684147527906E-3</v>
      </c>
      <c r="X34" s="23">
        <f t="shared" si="22"/>
        <v>6.3595946761129682E-3</v>
      </c>
      <c r="Y34" s="17"/>
    </row>
  </sheetData>
  <mergeCells count="3">
    <mergeCell ref="A6:A12"/>
    <mergeCell ref="A17:A23"/>
    <mergeCell ref="A28:A3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DDBD8-E1FE-4E2F-9835-EB17FC265788}">
  <dimension ref="A1"/>
  <sheetViews>
    <sheetView tabSelected="1" zoomScale="70" zoomScaleNormal="70" workbookViewId="0">
      <selection activeCell="J32" sqref="J32"/>
    </sheetView>
  </sheetViews>
  <sheetFormatPr defaultRowHeight="14.4" x14ac:dyDescent="0.3"/>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121D5-697B-49E4-9E11-98BEECCEA677}">
  <dimension ref="A1:T54"/>
  <sheetViews>
    <sheetView topLeftCell="I1" zoomScale="85" zoomScaleNormal="85" workbookViewId="0">
      <selection activeCell="Q28" sqref="Q28"/>
    </sheetView>
  </sheetViews>
  <sheetFormatPr defaultRowHeight="14.4" x14ac:dyDescent="0.3"/>
  <cols>
    <col min="3" max="3" width="11.6640625" bestFit="1" customWidth="1"/>
    <col min="4" max="4" width="11.6640625" customWidth="1"/>
    <col min="6" max="6" width="11.88671875" bestFit="1" customWidth="1"/>
    <col min="7" max="8" width="12" bestFit="1" customWidth="1"/>
    <col min="12" max="12" width="9.33203125" customWidth="1"/>
    <col min="13" max="13" width="32.6640625" bestFit="1" customWidth="1"/>
    <col min="14" max="14" width="39" bestFit="1" customWidth="1"/>
    <col min="15" max="15" width="12.33203125" bestFit="1" customWidth="1"/>
    <col min="16" max="16" width="20" bestFit="1" customWidth="1"/>
    <col min="17" max="17" width="19.6640625" bestFit="1" customWidth="1"/>
  </cols>
  <sheetData>
    <row r="1" spans="1:19" x14ac:dyDescent="0.3">
      <c r="A1" t="s">
        <v>37</v>
      </c>
    </row>
    <row r="2" spans="1:19" x14ac:dyDescent="0.3">
      <c r="B2" s="2"/>
      <c r="C2" s="68" t="s">
        <v>13</v>
      </c>
      <c r="D2" s="68"/>
      <c r="E2" s="68"/>
      <c r="F2" s="9"/>
      <c r="G2" s="3"/>
      <c r="H2" s="3"/>
      <c r="I2" s="2"/>
      <c r="J2" s="68" t="s">
        <v>14</v>
      </c>
      <c r="K2" s="68"/>
      <c r="L2" s="2"/>
    </row>
    <row r="3" spans="1:19" x14ac:dyDescent="0.3">
      <c r="B3" s="2" t="s">
        <v>5</v>
      </c>
      <c r="C3" s="2" t="s">
        <v>9</v>
      </c>
      <c r="D3" s="2" t="s">
        <v>10</v>
      </c>
      <c r="E3" s="2" t="s">
        <v>15</v>
      </c>
      <c r="I3" s="2" t="s">
        <v>5</v>
      </c>
      <c r="J3" s="2" t="s">
        <v>11</v>
      </c>
      <c r="K3" s="2" t="s">
        <v>12</v>
      </c>
      <c r="L3" s="6" t="s">
        <v>23</v>
      </c>
    </row>
    <row r="4" spans="1:19" x14ac:dyDescent="0.3">
      <c r="B4" s="2" t="s">
        <v>6</v>
      </c>
      <c r="C4" s="5">
        <v>1.02</v>
      </c>
      <c r="D4" s="5">
        <v>1</v>
      </c>
      <c r="E4" s="5">
        <f>SUM(C4:D4)</f>
        <v>2.02</v>
      </c>
      <c r="G4" s="4"/>
      <c r="H4" s="4"/>
      <c r="I4" s="5" t="s">
        <v>6</v>
      </c>
      <c r="J4" s="7">
        <f>C4*0.4/E4</f>
        <v>0.20198019801980199</v>
      </c>
      <c r="K4" s="7">
        <f>D4*0.1/E4</f>
        <v>4.9504950495049507E-2</v>
      </c>
      <c r="L4" s="7">
        <f>1-K4-J4</f>
        <v>0.74851485148514851</v>
      </c>
    </row>
    <row r="5" spans="1:19" x14ac:dyDescent="0.3">
      <c r="B5" s="2" t="s">
        <v>7</v>
      </c>
      <c r="C5" s="5">
        <v>1.01</v>
      </c>
      <c r="D5" s="5">
        <v>1</v>
      </c>
      <c r="E5" s="5">
        <f>SUM(C5:D5)</f>
        <v>2.0099999999999998</v>
      </c>
      <c r="G5" s="4"/>
      <c r="H5" s="4"/>
      <c r="I5" s="5" t="s">
        <v>7</v>
      </c>
      <c r="J5" s="7">
        <f>C5*0.4/E5</f>
        <v>0.20099502487562193</v>
      </c>
      <c r="K5" s="7">
        <f>D5*0.1/E5</f>
        <v>4.9751243781094537E-2</v>
      </c>
      <c r="L5" s="7">
        <f t="shared" ref="L5:L6" si="0">1-K5-J5</f>
        <v>0.74925373134328355</v>
      </c>
    </row>
    <row r="6" spans="1:19" x14ac:dyDescent="0.3">
      <c r="B6" s="2" t="s">
        <v>8</v>
      </c>
      <c r="C6" s="5">
        <v>1.01</v>
      </c>
      <c r="D6" s="5">
        <v>1.01</v>
      </c>
      <c r="E6" s="5">
        <f>SUM(C6:D6)</f>
        <v>2.02</v>
      </c>
      <c r="G6" s="4"/>
      <c r="H6" s="4"/>
      <c r="I6" s="5" t="s">
        <v>8</v>
      </c>
      <c r="J6" s="7">
        <f>C6*0.4/E6</f>
        <v>0.2</v>
      </c>
      <c r="K6" s="7">
        <f>D6*0.1/E6</f>
        <v>0.05</v>
      </c>
      <c r="L6" s="7">
        <f t="shared" si="0"/>
        <v>0.75</v>
      </c>
      <c r="P6" t="s">
        <v>0</v>
      </c>
      <c r="Q6" t="s">
        <v>34</v>
      </c>
    </row>
    <row r="7" spans="1:19" x14ac:dyDescent="0.3">
      <c r="C7" s="4"/>
      <c r="D7" s="4"/>
      <c r="E7" s="4"/>
      <c r="F7" s="4"/>
      <c r="G7" s="4"/>
      <c r="H7" s="4"/>
      <c r="I7" s="5" t="s">
        <v>16</v>
      </c>
      <c r="J7" s="7">
        <f>AVERAGE(J4:J6)</f>
        <v>0.2009917409651413</v>
      </c>
      <c r="K7" s="7">
        <f>AVERAGE(K4:K6)</f>
        <v>4.9752064758714687E-2</v>
      </c>
      <c r="L7" s="7">
        <f>AVERAGE(L4:L6)</f>
        <v>0.74925619427614398</v>
      </c>
      <c r="P7" t="s">
        <v>1</v>
      </c>
      <c r="Q7" t="s">
        <v>35</v>
      </c>
    </row>
    <row r="8" spans="1:19" x14ac:dyDescent="0.3">
      <c r="B8" t="s">
        <v>25</v>
      </c>
      <c r="C8" s="4"/>
      <c r="D8" s="4"/>
      <c r="E8" s="4"/>
      <c r="F8" s="4"/>
      <c r="G8" s="4"/>
      <c r="H8" s="4"/>
      <c r="I8" s="5" t="s">
        <v>2</v>
      </c>
      <c r="J8" s="5">
        <f>_xlfn.STDEV.S(J4:J6)</f>
        <v>9.9010309435833819E-4</v>
      </c>
      <c r="K8" s="5">
        <f>_xlfn.STDEV.S(K4:K6)</f>
        <v>2.4752577358958449E-4</v>
      </c>
      <c r="L8" s="5">
        <f>_xlfn.STDEV.S(L4:L6)</f>
        <v>7.4257732076875359E-4</v>
      </c>
    </row>
    <row r="9" spans="1:19" x14ac:dyDescent="0.3">
      <c r="B9">
        <v>1.5</v>
      </c>
    </row>
    <row r="10" spans="1:19" x14ac:dyDescent="0.3">
      <c r="B10" s="2" t="s">
        <v>3</v>
      </c>
      <c r="C10" s="2" t="s">
        <v>17</v>
      </c>
      <c r="D10" s="2" t="s">
        <v>26</v>
      </c>
      <c r="E10" s="2" t="s">
        <v>18</v>
      </c>
      <c r="F10" s="2" t="s">
        <v>27</v>
      </c>
      <c r="G10" s="2" t="s">
        <v>22</v>
      </c>
      <c r="H10" s="2" t="s">
        <v>21</v>
      </c>
      <c r="I10" s="2" t="s">
        <v>20</v>
      </c>
      <c r="L10" s="2" t="s">
        <v>3</v>
      </c>
      <c r="M10" s="2" t="s">
        <v>24</v>
      </c>
      <c r="N10" s="2" t="s">
        <v>30</v>
      </c>
      <c r="O10" s="2" t="s">
        <v>29</v>
      </c>
      <c r="P10" s="2" t="s">
        <v>31</v>
      </c>
      <c r="Q10" s="2" t="s">
        <v>32</v>
      </c>
      <c r="R10" s="2" t="s">
        <v>33</v>
      </c>
      <c r="S10" s="16" t="s">
        <v>39</v>
      </c>
    </row>
    <row r="11" spans="1:19" x14ac:dyDescent="0.3">
      <c r="B11" s="2" t="s">
        <v>6</v>
      </c>
      <c r="C11" s="5">
        <v>0.5</v>
      </c>
      <c r="D11" s="5">
        <f>C11+1.5</f>
        <v>2</v>
      </c>
      <c r="E11" s="5">
        <v>1.3425</v>
      </c>
      <c r="F11" s="5">
        <v>2.1000000000000001E-2</v>
      </c>
      <c r="G11" s="5">
        <v>9.86</v>
      </c>
      <c r="H11" s="5">
        <v>0.2</v>
      </c>
      <c r="I11" s="5">
        <v>0.40799999999999997</v>
      </c>
      <c r="L11" s="2" t="s">
        <v>6</v>
      </c>
      <c r="M11" s="10">
        <f>I11/0.0111</f>
        <v>36.756756756756751</v>
      </c>
      <c r="N11" s="10">
        <f>(M11*G11/H11)/1000000/F11</f>
        <v>8.6290862290862275E-2</v>
      </c>
      <c r="O11" s="10">
        <f>N11*D11/C11</f>
        <v>0.3451634491634491</v>
      </c>
      <c r="P11" s="11">
        <f>N11*0.1475+1.3338</f>
        <v>1.3465279021879022</v>
      </c>
      <c r="Q11" s="12">
        <f>E11-(P11-1.3338)</f>
        <v>1.3297720978120979</v>
      </c>
      <c r="R11" s="10">
        <f>(Q11-1.3338)/0.1435</f>
        <v>-2.8069004793743319E-2</v>
      </c>
      <c r="S11">
        <f>R11*4</f>
        <v>-0.11227601917497328</v>
      </c>
    </row>
    <row r="12" spans="1:19" x14ac:dyDescent="0.3">
      <c r="B12" s="2" t="s">
        <v>7</v>
      </c>
      <c r="C12" s="5">
        <v>0.5</v>
      </c>
      <c r="D12" s="5">
        <f t="shared" ref="D12:D13" si="1">C12+1.5</f>
        <v>2</v>
      </c>
      <c r="E12" s="5">
        <v>1.3422000000000001</v>
      </c>
      <c r="F12" s="5">
        <v>2.0500000000000001E-2</v>
      </c>
      <c r="G12" s="5">
        <v>9.92</v>
      </c>
      <c r="H12" s="5">
        <v>0.2</v>
      </c>
      <c r="I12" s="5">
        <v>0.23599999999999999</v>
      </c>
      <c r="L12" s="2" t="s">
        <v>7</v>
      </c>
      <c r="M12" s="2">
        <f t="shared" ref="M12:M13" si="2">I12/0.0111</f>
        <v>21.261261261261261</v>
      </c>
      <c r="N12" s="2">
        <f t="shared" ref="N12:N13" si="3">(M12*G12/H12)/1000000/F12</f>
        <v>5.1441880905295542E-2</v>
      </c>
      <c r="O12" s="2">
        <f t="shared" ref="O12:O13" si="4">N12*D12/C12</f>
        <v>0.20576752362118217</v>
      </c>
      <c r="P12" s="11">
        <f t="shared" ref="P12:P13" si="5">N12*0.1475+1.3338</f>
        <v>1.3413876774335312</v>
      </c>
      <c r="Q12" s="14">
        <f t="shared" ref="Q12:Q13" si="6">E12-(P12-1.3338)</f>
        <v>1.334612322566469</v>
      </c>
      <c r="R12" s="2">
        <f t="shared" ref="R12:R13" si="7">(Q12-1.3338)/0.1435</f>
        <v>5.6607844353233714E-3</v>
      </c>
      <c r="S12">
        <f t="shared" ref="S12:S24" si="8">R12*4</f>
        <v>2.2643137741293486E-2</v>
      </c>
    </row>
    <row r="13" spans="1:19" x14ac:dyDescent="0.3">
      <c r="B13" s="2" t="s">
        <v>8</v>
      </c>
      <c r="C13" s="5">
        <v>0.52</v>
      </c>
      <c r="D13" s="5">
        <f t="shared" si="1"/>
        <v>2.02</v>
      </c>
      <c r="E13" s="5">
        <v>1.3423</v>
      </c>
      <c r="F13" s="5">
        <v>2.1100000000000001E-2</v>
      </c>
      <c r="G13" s="5">
        <v>9.81</v>
      </c>
      <c r="H13" s="5">
        <v>0.2</v>
      </c>
      <c r="I13" s="5">
        <v>0.26400000000000001</v>
      </c>
      <c r="L13" s="2" t="s">
        <v>8</v>
      </c>
      <c r="M13" s="2">
        <f t="shared" si="2"/>
        <v>23.783783783783782</v>
      </c>
      <c r="N13" s="2">
        <f t="shared" si="3"/>
        <v>5.5288843345715384E-2</v>
      </c>
      <c r="O13" s="2">
        <f t="shared" si="4"/>
        <v>0.21477589145835591</v>
      </c>
      <c r="P13" s="11">
        <f t="shared" si="5"/>
        <v>1.3419551043934932</v>
      </c>
      <c r="Q13" s="14">
        <f t="shared" si="6"/>
        <v>1.334144895606507</v>
      </c>
      <c r="R13" s="2">
        <f t="shared" si="7"/>
        <v>2.4034537038805331E-3</v>
      </c>
      <c r="S13">
        <f t="shared" si="8"/>
        <v>9.6138148155221325E-3</v>
      </c>
    </row>
    <row r="14" spans="1:19" x14ac:dyDescent="0.3">
      <c r="B14" s="2" t="s">
        <v>16</v>
      </c>
      <c r="C14" s="5">
        <f>AVERAGE(C11:C13)</f>
        <v>0.50666666666666671</v>
      </c>
      <c r="D14" s="5">
        <f>C14+1.5</f>
        <v>2.0066666666666668</v>
      </c>
      <c r="E14" s="5">
        <f t="shared" ref="E14:H14" si="9">AVERAGE(E11:E13)</f>
        <v>1.3423333333333334</v>
      </c>
      <c r="F14" s="5">
        <f t="shared" si="9"/>
        <v>2.0866666666666669E-2</v>
      </c>
      <c r="G14" s="5">
        <f t="shared" si="9"/>
        <v>9.8633333333333351</v>
      </c>
      <c r="H14" s="5">
        <f t="shared" si="9"/>
        <v>0.20000000000000004</v>
      </c>
      <c r="I14" s="5">
        <f>AVERAGE(I11:I13)</f>
        <v>0.30266666666666664</v>
      </c>
      <c r="L14" s="2" t="s">
        <v>16</v>
      </c>
      <c r="M14" s="5">
        <f>AVERAGE(M11:M13)</f>
        <v>27.267267267267261</v>
      </c>
      <c r="N14" s="5">
        <f t="shared" ref="N14" si="10">AVERAGE(N11:N13)</f>
        <v>6.4340528847291065E-2</v>
      </c>
      <c r="O14" s="5">
        <f>AVERAGE(O12:O13)</f>
        <v>0.21027170753976904</v>
      </c>
      <c r="P14" s="13">
        <f>AVERAGE(P12:P13)</f>
        <v>1.3416713909135121</v>
      </c>
      <c r="Q14" s="13">
        <f t="shared" ref="Q14:R14" si="11">AVERAGE(Q12:Q13)</f>
        <v>1.334378609086488</v>
      </c>
      <c r="R14" s="15">
        <f t="shared" si="11"/>
        <v>4.0321190696019525E-3</v>
      </c>
      <c r="S14">
        <f t="shared" si="8"/>
        <v>1.612847627840781E-2</v>
      </c>
    </row>
    <row r="15" spans="1:19" x14ac:dyDescent="0.3">
      <c r="B15" s="2" t="s">
        <v>2</v>
      </c>
      <c r="C15" s="5">
        <f>_xlfn.STDEV.S(C11:C13)</f>
        <v>1.1547005383792525E-2</v>
      </c>
      <c r="D15" s="5">
        <f>_xlfn.STDEV.S(D11:D13)</f>
        <v>1.1547005383792526E-2</v>
      </c>
      <c r="E15" s="5">
        <f t="shared" ref="E15:G15" si="12">_xlfn.STDEV.S(E11:E13)</f>
        <v>1.5275252316517785E-4</v>
      </c>
      <c r="F15" s="5">
        <f t="shared" si="12"/>
        <v>3.2145502536643189E-4</v>
      </c>
      <c r="G15" s="5">
        <f t="shared" si="12"/>
        <v>5.507570547286076E-2</v>
      </c>
      <c r="H15" s="5">
        <f t="shared" ref="H15" si="13">_xlfn.STDEV.S(H11:H13)</f>
        <v>3.3993498887762956E-17</v>
      </c>
      <c r="I15" s="5">
        <f>_xlfn.STDEV.S(I11:I13)</f>
        <v>9.2289399896918548E-2</v>
      </c>
      <c r="L15" s="2" t="s">
        <v>2</v>
      </c>
      <c r="M15" s="5">
        <f>_xlfn.STDEV.S(M11:M13)</f>
        <v>8.3143603510737538</v>
      </c>
      <c r="N15" s="5">
        <f t="shared" ref="N15" si="14">_xlfn.STDEV.S(N11:N13)</f>
        <v>1.9106612303531778E-2</v>
      </c>
      <c r="O15" s="5">
        <f>_xlfn.STDEV.S(O12:O13)</f>
        <v>6.3698779850883411E-3</v>
      </c>
      <c r="P15" s="13">
        <f>_xlfn.STDEV.S(P12:P13)</f>
        <v>4.0123145121722346E-4</v>
      </c>
      <c r="Q15" s="13">
        <f t="shared" ref="Q15:R15" si="15">_xlfn.STDEV.S(Q12:Q13)</f>
        <v>3.3052077309857648E-4</v>
      </c>
      <c r="R15" s="13">
        <f t="shared" si="15"/>
        <v>2.3032806487705672E-3</v>
      </c>
      <c r="S15">
        <f t="shared" si="8"/>
        <v>9.2131225950822689E-3</v>
      </c>
    </row>
    <row r="16" spans="1:19" x14ac:dyDescent="0.3">
      <c r="C16" s="4"/>
      <c r="D16" s="4"/>
      <c r="E16" s="4"/>
      <c r="F16" s="4"/>
      <c r="G16" s="4"/>
      <c r="H16" s="4"/>
      <c r="I16" s="4"/>
      <c r="P16" s="8"/>
      <c r="S16">
        <f t="shared" si="8"/>
        <v>0</v>
      </c>
    </row>
    <row r="17" spans="1:19" x14ac:dyDescent="0.3">
      <c r="C17" s="4"/>
      <c r="D17" s="4"/>
      <c r="E17" s="4"/>
      <c r="F17" s="4"/>
      <c r="G17" s="4"/>
      <c r="H17" s="4"/>
      <c r="I17" s="4"/>
      <c r="P17" s="8"/>
      <c r="S17">
        <f t="shared" si="8"/>
        <v>0</v>
      </c>
    </row>
    <row r="18" spans="1:19" x14ac:dyDescent="0.3">
      <c r="C18" s="4"/>
      <c r="D18" s="4"/>
      <c r="E18" s="4"/>
      <c r="F18" s="4"/>
      <c r="G18" s="4"/>
      <c r="H18" s="4"/>
      <c r="I18" s="4"/>
      <c r="P18" s="8"/>
      <c r="S18">
        <f t="shared" si="8"/>
        <v>0</v>
      </c>
    </row>
    <row r="19" spans="1:19" x14ac:dyDescent="0.3">
      <c r="B19" s="2" t="s">
        <v>4</v>
      </c>
      <c r="C19" s="5" t="s">
        <v>17</v>
      </c>
      <c r="D19" s="2" t="s">
        <v>26</v>
      </c>
      <c r="E19" s="5" t="s">
        <v>18</v>
      </c>
      <c r="F19" s="5" t="s">
        <v>19</v>
      </c>
      <c r="G19" s="5" t="s">
        <v>22</v>
      </c>
      <c r="H19" s="5" t="s">
        <v>21</v>
      </c>
      <c r="I19" s="5" t="s">
        <v>20</v>
      </c>
      <c r="L19" s="2" t="s">
        <v>4</v>
      </c>
      <c r="M19" s="2" t="s">
        <v>24</v>
      </c>
      <c r="N19" s="2" t="s">
        <v>28</v>
      </c>
      <c r="O19" s="2" t="s">
        <v>29</v>
      </c>
      <c r="P19" s="2" t="s">
        <v>31</v>
      </c>
      <c r="Q19" s="2" t="s">
        <v>32</v>
      </c>
      <c r="R19" s="2" t="s">
        <v>33</v>
      </c>
      <c r="S19" t="e">
        <f t="shared" si="8"/>
        <v>#VALUE!</v>
      </c>
    </row>
    <row r="20" spans="1:19" x14ac:dyDescent="0.3">
      <c r="B20" s="2" t="s">
        <v>6</v>
      </c>
      <c r="C20" s="5">
        <v>0.24</v>
      </c>
      <c r="D20" s="5">
        <f>C20+1.5</f>
        <v>1.74</v>
      </c>
      <c r="E20" s="5">
        <v>1.3391999999999999</v>
      </c>
      <c r="F20" s="5">
        <v>2.01E-2</v>
      </c>
      <c r="G20" s="5">
        <v>9.9499999999999993</v>
      </c>
      <c r="H20" s="5">
        <v>0.2</v>
      </c>
      <c r="I20" s="5">
        <v>0.16800000000000001</v>
      </c>
      <c r="L20" s="2" t="s">
        <v>6</v>
      </c>
      <c r="M20" s="2">
        <f>I20/0.0111</f>
        <v>15.135135135135135</v>
      </c>
      <c r="N20" s="2">
        <f>(M20*G20/H20)/1000000/F20</f>
        <v>3.7461341938953875E-2</v>
      </c>
      <c r="O20" s="2">
        <f>N20*D20/C20</f>
        <v>0.27159472905741561</v>
      </c>
      <c r="P20" s="13">
        <f>N20*0.1475+1.3338</f>
        <v>1.3393255479359958</v>
      </c>
      <c r="Q20" s="14">
        <f>E20-(P20-1.3338)</f>
        <v>1.3336744520640043</v>
      </c>
      <c r="R20" s="2">
        <f>(Q20-1.3338)/0.135</f>
        <v>-9.2998471108029644E-4</v>
      </c>
      <c r="S20">
        <f t="shared" si="8"/>
        <v>-3.7199388443211858E-3</v>
      </c>
    </row>
    <row r="21" spans="1:19" x14ac:dyDescent="0.3">
      <c r="B21" s="2" t="s">
        <v>7</v>
      </c>
      <c r="C21" s="5">
        <v>0.4</v>
      </c>
      <c r="D21" s="5">
        <f t="shared" ref="D21:D22" si="16">C21+1.5</f>
        <v>1.9</v>
      </c>
      <c r="E21" s="5">
        <v>1.3413999999999999</v>
      </c>
      <c r="F21" s="5">
        <v>2.1000000000000001E-2</v>
      </c>
      <c r="G21" s="5">
        <v>9.99</v>
      </c>
      <c r="H21" s="5">
        <v>0.2</v>
      </c>
      <c r="I21" s="5">
        <v>0.22900000000000001</v>
      </c>
      <c r="L21" s="2" t="s">
        <v>7</v>
      </c>
      <c r="M21" s="2">
        <f t="shared" ref="M21:M22" si="17">I21/0.0111</f>
        <v>20.63063063063063</v>
      </c>
      <c r="N21" s="2">
        <f t="shared" ref="N21:N22" si="18">(M21*G21/H21)/1000000/F21</f>
        <v>4.9071428571428564E-2</v>
      </c>
      <c r="O21" s="2">
        <f t="shared" ref="O21:O22" si="19">N21*D21/C21</f>
        <v>0.23308928571428567</v>
      </c>
      <c r="P21" s="13">
        <f t="shared" ref="P21:P22" si="20">N21*0.1475+1.3338</f>
        <v>1.3410380357142857</v>
      </c>
      <c r="Q21" s="14">
        <f t="shared" ref="Q21:Q22" si="21">E21-(P21-1.3338)</f>
        <v>1.3341619642857143</v>
      </c>
      <c r="R21" s="2">
        <f t="shared" ref="R21:R22" si="22">(Q21-1.3338)/0.135</f>
        <v>2.6812169312164626E-3</v>
      </c>
      <c r="S21">
        <f t="shared" si="8"/>
        <v>1.072486772486585E-2</v>
      </c>
    </row>
    <row r="22" spans="1:19" x14ac:dyDescent="0.3">
      <c r="B22" s="2" t="s">
        <v>8</v>
      </c>
      <c r="C22" s="5">
        <v>0.28000000000000003</v>
      </c>
      <c r="D22" s="5">
        <f t="shared" si="16"/>
        <v>1.78</v>
      </c>
      <c r="E22" s="5">
        <v>1.3404</v>
      </c>
      <c r="F22" s="5">
        <v>2.1100000000000001E-2</v>
      </c>
      <c r="G22" s="5">
        <v>9.8000000000000007</v>
      </c>
      <c r="H22" s="5">
        <v>0.2</v>
      </c>
      <c r="I22" s="5">
        <v>0.222</v>
      </c>
      <c r="L22" s="2" t="s">
        <v>8</v>
      </c>
      <c r="M22" s="2">
        <f t="shared" si="17"/>
        <v>20</v>
      </c>
      <c r="N22" s="2">
        <f t="shared" si="18"/>
        <v>4.6445497630331747E-2</v>
      </c>
      <c r="O22" s="2">
        <f t="shared" si="19"/>
        <v>0.29526066350710894</v>
      </c>
      <c r="P22" s="13">
        <f t="shared" si="20"/>
        <v>1.3406507109004739</v>
      </c>
      <c r="Q22" s="14">
        <f t="shared" si="21"/>
        <v>1.3335492890995262</v>
      </c>
      <c r="R22" s="2">
        <f t="shared" si="22"/>
        <v>-1.8571177812881849E-3</v>
      </c>
      <c r="S22">
        <f t="shared" si="8"/>
        <v>-7.4284711251527396E-3</v>
      </c>
    </row>
    <row r="23" spans="1:19" x14ac:dyDescent="0.3">
      <c r="B23" s="2" t="s">
        <v>16</v>
      </c>
      <c r="C23" s="5">
        <f>AVERAGE(C20:C22)</f>
        <v>0.3066666666666667</v>
      </c>
      <c r="D23" s="5">
        <f>C23+1.5</f>
        <v>1.8066666666666666</v>
      </c>
      <c r="E23" s="5">
        <f t="shared" ref="E23" si="23">AVERAGE(E20:E22)</f>
        <v>1.3403333333333334</v>
      </c>
      <c r="F23" s="5">
        <f t="shared" ref="F23" si="24">AVERAGE(F20:F22)</f>
        <v>2.0733333333333333E-2</v>
      </c>
      <c r="G23" s="5">
        <f t="shared" ref="G23:H23" si="25">AVERAGE(G20:G22)</f>
        <v>9.9133333333333322</v>
      </c>
      <c r="H23" s="5">
        <f t="shared" si="25"/>
        <v>0.20000000000000004</v>
      </c>
      <c r="I23" s="5">
        <f t="shared" ref="I23" si="26">AVERAGE(I20:I22)</f>
        <v>0.20633333333333334</v>
      </c>
      <c r="L23" s="2" t="s">
        <v>16</v>
      </c>
      <c r="M23" s="5">
        <f>AVERAGE(M20:M22)</f>
        <v>18.588588588588589</v>
      </c>
      <c r="N23" s="5">
        <f t="shared" ref="N23" si="27">AVERAGE(N20:N22)</f>
        <v>4.4326089380238055E-2</v>
      </c>
      <c r="O23" s="5">
        <f t="shared" ref="O23" si="28">AVERAGE(O20:O22)</f>
        <v>0.26664822609293676</v>
      </c>
      <c r="P23" s="13">
        <f>AVERAGE(P20:P22)</f>
        <v>1.3403380981835851</v>
      </c>
      <c r="Q23" s="13">
        <f t="shared" ref="Q23:R23" si="29">AVERAGE(Q20:Q22)</f>
        <v>1.3337952351497482</v>
      </c>
      <c r="R23" s="13">
        <f t="shared" si="29"/>
        <v>-3.5295187050672911E-5</v>
      </c>
      <c r="S23">
        <f t="shared" si="8"/>
        <v>-1.4118074820269164E-4</v>
      </c>
    </row>
    <row r="24" spans="1:19" x14ac:dyDescent="0.3">
      <c r="B24" s="2" t="s">
        <v>2</v>
      </c>
      <c r="C24" s="5">
        <f>_xlfn.STDEV.S(C20:C22)</f>
        <v>8.326663997864539E-2</v>
      </c>
      <c r="D24" s="5">
        <f>_xlfn.STDEV.S(D20:D22)</f>
        <v>8.3266639978645265E-2</v>
      </c>
      <c r="E24" s="5">
        <f t="shared" ref="E24:H24" si="30">_xlfn.STDEV.S(E20:E22)</f>
        <v>1.1015141094572133E-3</v>
      </c>
      <c r="F24" s="5">
        <f t="shared" si="30"/>
        <v>5.5075705472861088E-4</v>
      </c>
      <c r="G24" s="5">
        <f t="shared" si="30"/>
        <v>0.10016652800877768</v>
      </c>
      <c r="H24" s="5">
        <f t="shared" si="30"/>
        <v>3.3993498887762956E-17</v>
      </c>
      <c r="I24" s="5">
        <f>_xlfn.STDEV.S(I20:I22)</f>
        <v>3.3381631675718643E-2</v>
      </c>
      <c r="L24" s="2" t="s">
        <v>2</v>
      </c>
      <c r="M24" s="5">
        <f>_xlfn.STDEV.S(M20:M22)</f>
        <v>3.0073542050196869</v>
      </c>
      <c r="N24" s="5">
        <f t="shared" ref="N24:O24" si="31">_xlfn.STDEV.S(N20:N22)</f>
        <v>6.0883040661021317E-3</v>
      </c>
      <c r="O24" s="5">
        <f t="shared" si="31"/>
        <v>3.1379467376736789E-2</v>
      </c>
      <c r="P24" s="5">
        <f t="shared" ref="P24:Q24" si="32">_xlfn.STDEV.S(P20:P22)</f>
        <v>8.9802484975001165E-4</v>
      </c>
      <c r="Q24" s="5">
        <f t="shared" si="32"/>
        <v>3.2370377862182251E-4</v>
      </c>
      <c r="R24" s="5">
        <f>_xlfn.STDEV.S(R20:R22)</f>
        <v>2.397805767569055E-3</v>
      </c>
      <c r="S24">
        <f t="shared" si="8"/>
        <v>9.59122307027622E-3</v>
      </c>
    </row>
    <row r="25" spans="1:19" x14ac:dyDescent="0.3">
      <c r="C25" s="4"/>
      <c r="D25" s="4"/>
      <c r="E25" s="4"/>
      <c r="F25" s="4"/>
      <c r="G25" s="4"/>
      <c r="H25" s="4"/>
      <c r="I25" s="4"/>
    </row>
    <row r="26" spans="1:19" x14ac:dyDescent="0.3">
      <c r="A26" t="s">
        <v>38</v>
      </c>
    </row>
    <row r="27" spans="1:19" x14ac:dyDescent="0.3">
      <c r="B27" s="2"/>
      <c r="C27" s="68" t="s">
        <v>13</v>
      </c>
      <c r="D27" s="68"/>
      <c r="E27" s="68"/>
      <c r="F27" s="9"/>
      <c r="G27" s="3"/>
      <c r="H27" s="3"/>
      <c r="I27" s="2"/>
      <c r="J27" s="68" t="s">
        <v>14</v>
      </c>
      <c r="K27" s="68"/>
      <c r="L27" s="2"/>
    </row>
    <row r="28" spans="1:19" x14ac:dyDescent="0.3">
      <c r="B28" s="2" t="s">
        <v>5</v>
      </c>
      <c r="C28" s="2" t="s">
        <v>9</v>
      </c>
      <c r="D28" s="2" t="s">
        <v>36</v>
      </c>
      <c r="E28" s="2" t="s">
        <v>15</v>
      </c>
      <c r="I28" s="2" t="s">
        <v>5</v>
      </c>
      <c r="J28" s="2" t="s">
        <v>11</v>
      </c>
      <c r="K28" s="2" t="s">
        <v>12</v>
      </c>
      <c r="L28" s="6" t="s">
        <v>23</v>
      </c>
    </row>
    <row r="29" spans="1:19" x14ac:dyDescent="0.3">
      <c r="B29" s="2" t="s">
        <v>6</v>
      </c>
      <c r="C29" s="5">
        <v>0.99</v>
      </c>
      <c r="D29" s="5">
        <v>1</v>
      </c>
      <c r="E29" s="5">
        <f>SUM(C29:D29)</f>
        <v>1.99</v>
      </c>
      <c r="G29" s="4"/>
      <c r="H29" s="4"/>
      <c r="I29" s="5" t="s">
        <v>6</v>
      </c>
      <c r="J29" s="7">
        <f>C29*0.4/E29</f>
        <v>0.19899497487437187</v>
      </c>
      <c r="K29" s="7">
        <f>D29*0.2/E29</f>
        <v>0.10050251256281408</v>
      </c>
      <c r="L29" s="7">
        <f>1-K29-J29</f>
        <v>0.70050251256281404</v>
      </c>
    </row>
    <row r="30" spans="1:19" x14ac:dyDescent="0.3">
      <c r="B30" s="2" t="s">
        <v>7</v>
      </c>
      <c r="C30" s="5">
        <v>1</v>
      </c>
      <c r="D30" s="5">
        <v>0.99</v>
      </c>
      <c r="E30" s="5">
        <f>SUM(C30:D30)</f>
        <v>1.99</v>
      </c>
      <c r="G30" s="4"/>
      <c r="H30" s="4"/>
      <c r="I30" s="5" t="s">
        <v>7</v>
      </c>
      <c r="J30" s="7">
        <f>C30*0.4/E30</f>
        <v>0.20100502512562815</v>
      </c>
      <c r="K30" s="7">
        <f>D30*0.2/E30</f>
        <v>9.9497487437185936E-2</v>
      </c>
      <c r="L30" s="7">
        <f t="shared" ref="L30:L31" si="33">1-K30-J30</f>
        <v>0.69949748743718598</v>
      </c>
    </row>
    <row r="31" spans="1:19" x14ac:dyDescent="0.3">
      <c r="B31" s="2" t="s">
        <v>8</v>
      </c>
      <c r="C31" s="5">
        <v>1.01</v>
      </c>
      <c r="D31" s="5">
        <v>1</v>
      </c>
      <c r="E31" s="5">
        <f>SUM(C31:D31)</f>
        <v>2.0099999999999998</v>
      </c>
      <c r="G31" s="4"/>
      <c r="H31" s="4"/>
      <c r="I31" s="5" t="s">
        <v>8</v>
      </c>
      <c r="J31" s="7">
        <f>C31*0.4/E31</f>
        <v>0.20099502487562193</v>
      </c>
      <c r="K31" s="7">
        <f>D31*0.2/E31</f>
        <v>9.9502487562189074E-2</v>
      </c>
      <c r="L31" s="7">
        <f t="shared" si="33"/>
        <v>0.69950248756218902</v>
      </c>
      <c r="P31" t="s">
        <v>0</v>
      </c>
      <c r="Q31" t="s">
        <v>34</v>
      </c>
    </row>
    <row r="32" spans="1:19" x14ac:dyDescent="0.3">
      <c r="C32" s="4"/>
      <c r="D32" s="4"/>
      <c r="E32" s="4"/>
      <c r="F32" s="4"/>
      <c r="G32" s="4"/>
      <c r="H32" s="4"/>
      <c r="I32" s="5" t="s">
        <v>16</v>
      </c>
      <c r="J32" s="7">
        <f>AVERAGE(J29:J31)</f>
        <v>0.20033167495854065</v>
      </c>
      <c r="K32" s="7">
        <f>AVERAGE(K29:K31)</f>
        <v>9.98341625207297E-2</v>
      </c>
      <c r="L32" s="7">
        <f>AVERAGE(L29:L31)</f>
        <v>0.69983416252072972</v>
      </c>
      <c r="P32" t="s">
        <v>1</v>
      </c>
      <c r="Q32" t="s">
        <v>35</v>
      </c>
    </row>
    <row r="33" spans="2:20" x14ac:dyDescent="0.3">
      <c r="B33" t="s">
        <v>25</v>
      </c>
      <c r="C33" s="4"/>
      <c r="D33" s="4"/>
      <c r="E33" s="4"/>
      <c r="F33" s="4"/>
      <c r="G33" s="4"/>
      <c r="H33" s="4"/>
      <c r="I33" s="5" t="s">
        <v>2</v>
      </c>
      <c r="J33" s="5">
        <f>_xlfn.STDEV.S(J29:J31)</f>
        <v>1.1576270286723022E-3</v>
      </c>
      <c r="K33" s="5">
        <f>_xlfn.STDEV.S(K29:K31)</f>
        <v>5.7881351433614308E-4</v>
      </c>
      <c r="L33" s="5">
        <f>_xlfn.STDEV.S(L29:L31)</f>
        <v>5.7881351433612281E-4</v>
      </c>
    </row>
    <row r="34" spans="2:20" x14ac:dyDescent="0.3">
      <c r="B34">
        <v>1.5</v>
      </c>
    </row>
    <row r="35" spans="2:20" x14ac:dyDescent="0.3">
      <c r="B35" s="2" t="s">
        <v>3</v>
      </c>
      <c r="C35" s="2" t="s">
        <v>17</v>
      </c>
      <c r="D35" s="2" t="s">
        <v>26</v>
      </c>
      <c r="E35" s="2" t="s">
        <v>18</v>
      </c>
      <c r="F35" s="2" t="s">
        <v>27</v>
      </c>
      <c r="G35" s="2" t="s">
        <v>22</v>
      </c>
      <c r="H35" s="2" t="s">
        <v>21</v>
      </c>
      <c r="I35" s="2" t="s">
        <v>20</v>
      </c>
      <c r="L35" s="2" t="s">
        <v>3</v>
      </c>
      <c r="M35" s="2" t="s">
        <v>24</v>
      </c>
      <c r="N35" s="2" t="s">
        <v>30</v>
      </c>
      <c r="O35" s="2" t="s">
        <v>29</v>
      </c>
      <c r="P35" s="2" t="s">
        <v>31</v>
      </c>
      <c r="Q35" s="2" t="s">
        <v>32</v>
      </c>
      <c r="R35" s="2" t="s">
        <v>33</v>
      </c>
      <c r="S35" s="16" t="s">
        <v>39</v>
      </c>
    </row>
    <row r="36" spans="2:20" x14ac:dyDescent="0.3">
      <c r="B36" s="2" t="s">
        <v>6</v>
      </c>
      <c r="C36" s="5">
        <v>0.5</v>
      </c>
      <c r="D36" s="5">
        <f>C36+1.5</f>
        <v>2</v>
      </c>
      <c r="E36" s="5">
        <v>1.343</v>
      </c>
      <c r="F36" s="5">
        <v>2.1000000000000001E-2</v>
      </c>
      <c r="G36" s="5">
        <v>9.9600000000000009</v>
      </c>
      <c r="H36" s="5">
        <v>0.2</v>
      </c>
      <c r="I36" s="5">
        <v>0.14000000000000001</v>
      </c>
      <c r="L36" s="2" t="s">
        <v>6</v>
      </c>
      <c r="M36" s="2">
        <f>I36/0.0111</f>
        <v>12.612612612612613</v>
      </c>
      <c r="N36" s="2">
        <f>(M36*G36/H36)/1000000/F36</f>
        <v>2.990990990990991E-2</v>
      </c>
      <c r="O36" s="2">
        <f>N36*D36/C36</f>
        <v>0.11963963963963964</v>
      </c>
      <c r="P36" s="13">
        <f>N36*0.1475+1.3338</f>
        <v>1.3382117117117118</v>
      </c>
      <c r="Q36" s="14">
        <f>E36-(P36-1.3338)</f>
        <v>1.3385882882882882</v>
      </c>
      <c r="R36" s="2">
        <f>(Q36-1.3338)/0.1435</f>
        <v>3.3367862636154322E-2</v>
      </c>
      <c r="S36">
        <f>R36*4</f>
        <v>0.13347145054461729</v>
      </c>
    </row>
    <row r="37" spans="2:20" x14ac:dyDescent="0.3">
      <c r="B37" s="2" t="s">
        <v>7</v>
      </c>
      <c r="C37" s="5">
        <v>0.5</v>
      </c>
      <c r="D37" s="5">
        <f t="shared" ref="D37:D38" si="34">C37+1.5</f>
        <v>2</v>
      </c>
      <c r="E37" s="5">
        <v>1.343</v>
      </c>
      <c r="F37" s="5">
        <v>2.1000000000000001E-2</v>
      </c>
      <c r="G37" s="5">
        <v>9.9600000000000009</v>
      </c>
      <c r="H37" s="5">
        <v>0.2</v>
      </c>
      <c r="I37" s="5">
        <v>0.14799999999999999</v>
      </c>
      <c r="L37" s="2" t="s">
        <v>7</v>
      </c>
      <c r="M37" s="2">
        <f t="shared" ref="M37:M38" si="35">I37/0.0111</f>
        <v>13.333333333333332</v>
      </c>
      <c r="N37" s="2">
        <f t="shared" ref="N37:N38" si="36">(M37*G37/H37)/1000000/F37</f>
        <v>3.1619047619047616E-2</v>
      </c>
      <c r="O37" s="2">
        <f t="shared" ref="O37:O38" si="37">N37*D37/C37</f>
        <v>0.12647619047619046</v>
      </c>
      <c r="P37" s="13">
        <f t="shared" ref="P37:P38" si="38">N37*0.1475+1.3338</f>
        <v>1.3384638095238097</v>
      </c>
      <c r="Q37" s="14">
        <f t="shared" ref="Q37:Q38" si="39">E37-(P37-1.3338)</f>
        <v>1.3383361904761903</v>
      </c>
      <c r="R37" s="2">
        <f t="shared" ref="R37" si="40">(Q37-1.3338)/0.1435</f>
        <v>3.1611083457771777E-2</v>
      </c>
      <c r="S37">
        <f t="shared" ref="S37:S49" si="41">R37*4</f>
        <v>0.12644433383108711</v>
      </c>
    </row>
    <row r="38" spans="2:20" x14ac:dyDescent="0.3">
      <c r="B38" s="2" t="s">
        <v>8</v>
      </c>
      <c r="C38" s="5">
        <v>0.51</v>
      </c>
      <c r="D38" s="5">
        <f t="shared" si="34"/>
        <v>2.0099999999999998</v>
      </c>
      <c r="E38" s="5">
        <v>1.343</v>
      </c>
      <c r="F38" s="5">
        <v>2.0299999999999999E-2</v>
      </c>
      <c r="G38" s="5">
        <v>9.9499999999999993</v>
      </c>
      <c r="H38" s="5">
        <v>0.2</v>
      </c>
      <c r="I38" s="5">
        <v>0.151</v>
      </c>
      <c r="L38" s="2" t="s">
        <v>8</v>
      </c>
      <c r="M38" s="2">
        <f t="shared" si="35"/>
        <v>13.603603603603602</v>
      </c>
      <c r="N38" s="2">
        <f t="shared" si="36"/>
        <v>3.3338880752673848E-2</v>
      </c>
      <c r="O38" s="2">
        <f t="shared" si="37"/>
        <v>0.13139441237818514</v>
      </c>
      <c r="P38" s="13">
        <f t="shared" si="38"/>
        <v>1.3387174849110195</v>
      </c>
      <c r="Q38" s="14">
        <f t="shared" si="39"/>
        <v>1.3380825150889806</v>
      </c>
      <c r="R38" s="2">
        <f>(Q38-1.3338)/0.1435</f>
        <v>2.9843310724602626E-2</v>
      </c>
      <c r="S38">
        <f t="shared" si="41"/>
        <v>0.1193732428984105</v>
      </c>
    </row>
    <row r="39" spans="2:20" x14ac:dyDescent="0.3">
      <c r="B39" s="2" t="s">
        <v>16</v>
      </c>
      <c r="C39" s="5">
        <f>AVERAGE(C36:C38)</f>
        <v>0.5033333333333333</v>
      </c>
      <c r="D39" s="5">
        <f>C39+1.5</f>
        <v>2.0033333333333334</v>
      </c>
      <c r="E39" s="5">
        <f t="shared" ref="E39" si="42">AVERAGE(E36:E38)</f>
        <v>1.343</v>
      </c>
      <c r="F39" s="5">
        <f t="shared" ref="F39" si="43">AVERAGE(F36:F38)</f>
        <v>2.0766666666666666E-2</v>
      </c>
      <c r="G39" s="5">
        <f t="shared" ref="G39" si="44">AVERAGE(G36:G38)</f>
        <v>9.956666666666667</v>
      </c>
      <c r="H39" s="5">
        <f t="shared" ref="H39" si="45">AVERAGE(H36:H38)</f>
        <v>0.20000000000000004</v>
      </c>
      <c r="I39" s="5">
        <f>AVERAGE(I36:I38)</f>
        <v>0.14633333333333334</v>
      </c>
      <c r="L39" s="2" t="s">
        <v>16</v>
      </c>
      <c r="M39" s="5">
        <f>AVERAGE(M36:M38)</f>
        <v>13.183183183183182</v>
      </c>
      <c r="N39" s="5">
        <f t="shared" ref="N39" si="46">AVERAGE(N36:N38)</f>
        <v>3.1622612760543789E-2</v>
      </c>
      <c r="O39" s="5">
        <f>AVERAGE(O37:O38)</f>
        <v>0.12893530142718779</v>
      </c>
      <c r="P39" s="13">
        <f>AVERAGE(P37:P38)</f>
        <v>1.3385906472174147</v>
      </c>
      <c r="Q39" s="13">
        <f t="shared" ref="Q39" si="47">AVERAGE(Q37:Q38)</f>
        <v>1.3382093527825853</v>
      </c>
      <c r="R39" s="13">
        <f t="shared" ref="R39" si="48">AVERAGE(R37:R38)</f>
        <v>3.0727197091187201E-2</v>
      </c>
      <c r="S39">
        <f t="shared" si="41"/>
        <v>0.12290878836474881</v>
      </c>
      <c r="T39" s="1"/>
    </row>
    <row r="40" spans="2:20" x14ac:dyDescent="0.3">
      <c r="B40" s="2" t="s">
        <v>2</v>
      </c>
      <c r="C40" s="5">
        <f>_xlfn.STDEV.S(C36:C38)</f>
        <v>5.7735026918962623E-3</v>
      </c>
      <c r="D40" s="5">
        <f>_xlfn.STDEV.S(D36:D38)</f>
        <v>5.7735026918961348E-3</v>
      </c>
      <c r="E40" s="5">
        <f t="shared" ref="E40:H40" si="49">_xlfn.STDEV.S(E36:E38)</f>
        <v>0</v>
      </c>
      <c r="F40" s="5">
        <f t="shared" si="49"/>
        <v>4.0414518843273964E-4</v>
      </c>
      <c r="G40" s="5">
        <f t="shared" si="49"/>
        <v>5.77350269189716E-3</v>
      </c>
      <c r="H40" s="5">
        <f t="shared" si="49"/>
        <v>3.3993498887762956E-17</v>
      </c>
      <c r="I40" s="5">
        <f>_xlfn.STDEV.S(I36:I38)</f>
        <v>5.6862407030773164E-3</v>
      </c>
      <c r="L40" s="2" t="s">
        <v>2</v>
      </c>
      <c r="M40" s="5">
        <f>_xlfn.STDEV.S(M36:M38)</f>
        <v>0.51227393721417236</v>
      </c>
      <c r="N40" s="5">
        <f t="shared" ref="N40" si="50">_xlfn.STDEV.S(N36:N38)</f>
        <v>1.7144882014195153E-3</v>
      </c>
      <c r="O40" s="5">
        <f>_xlfn.STDEV.S(O37:O38)</f>
        <v>3.4777080582806333E-3</v>
      </c>
      <c r="P40" s="13">
        <f>_xlfn.STDEV.S(P37:P38)</f>
        <v>1.7937558651615369E-4</v>
      </c>
      <c r="Q40" s="13">
        <f t="shared" ref="Q40:R40" si="51">_xlfn.STDEV.S(Q37:Q38)</f>
        <v>1.7937558651615369E-4</v>
      </c>
      <c r="R40" s="13">
        <f t="shared" si="51"/>
        <v>1.2500040872205841E-3</v>
      </c>
      <c r="S40">
        <f t="shared" si="41"/>
        <v>5.0000163488823366E-3</v>
      </c>
    </row>
    <row r="41" spans="2:20" x14ac:dyDescent="0.3">
      <c r="C41" s="4"/>
      <c r="D41" s="4"/>
      <c r="E41" s="4"/>
      <c r="F41" s="4"/>
      <c r="G41" s="4"/>
      <c r="H41" s="4"/>
      <c r="I41" s="4"/>
      <c r="P41" s="8"/>
      <c r="S41">
        <f t="shared" si="41"/>
        <v>0</v>
      </c>
    </row>
    <row r="42" spans="2:20" x14ac:dyDescent="0.3">
      <c r="C42" s="4"/>
      <c r="D42" s="4"/>
      <c r="E42" s="4"/>
      <c r="F42" s="4"/>
      <c r="G42" s="4"/>
      <c r="H42" s="4"/>
      <c r="I42" s="4"/>
      <c r="P42" s="8"/>
      <c r="S42">
        <f t="shared" si="41"/>
        <v>0</v>
      </c>
    </row>
    <row r="43" spans="2:20" x14ac:dyDescent="0.3">
      <c r="C43" s="4"/>
      <c r="D43" s="4"/>
      <c r="E43" s="4"/>
      <c r="F43" s="4"/>
      <c r="G43" s="4"/>
      <c r="H43" s="4"/>
      <c r="I43" s="4"/>
      <c r="P43" s="8"/>
      <c r="S43">
        <f t="shared" si="41"/>
        <v>0</v>
      </c>
    </row>
    <row r="44" spans="2:20" x14ac:dyDescent="0.3">
      <c r="B44" s="2" t="s">
        <v>4</v>
      </c>
      <c r="C44" s="5" t="s">
        <v>17</v>
      </c>
      <c r="D44" s="2" t="s">
        <v>26</v>
      </c>
      <c r="E44" s="5" t="s">
        <v>18</v>
      </c>
      <c r="F44" s="5" t="s">
        <v>19</v>
      </c>
      <c r="G44" s="5" t="s">
        <v>22</v>
      </c>
      <c r="H44" s="5" t="s">
        <v>21</v>
      </c>
      <c r="I44" s="5" t="s">
        <v>20</v>
      </c>
      <c r="L44" s="2" t="s">
        <v>4</v>
      </c>
      <c r="M44" s="2" t="s">
        <v>24</v>
      </c>
      <c r="N44" s="2" t="s">
        <v>28</v>
      </c>
      <c r="O44" s="2" t="s">
        <v>29</v>
      </c>
      <c r="P44" s="2" t="s">
        <v>31</v>
      </c>
      <c r="Q44" s="2" t="s">
        <v>32</v>
      </c>
      <c r="R44" s="2" t="s">
        <v>33</v>
      </c>
      <c r="S44" t="e">
        <f t="shared" si="41"/>
        <v>#VALUE!</v>
      </c>
    </row>
    <row r="45" spans="2:20" x14ac:dyDescent="0.3">
      <c r="B45" s="2" t="s">
        <v>6</v>
      </c>
      <c r="C45" s="5">
        <v>0.25</v>
      </c>
      <c r="D45" s="5">
        <f>C45+1.5</f>
        <v>1.75</v>
      </c>
      <c r="E45" s="5">
        <v>1.3422000000000001</v>
      </c>
      <c r="F45" s="5">
        <v>2.1600000000000001E-2</v>
      </c>
      <c r="G45" s="5">
        <v>10.01</v>
      </c>
      <c r="H45" s="5">
        <v>0.2</v>
      </c>
      <c r="I45" s="5">
        <v>0.27400000000000002</v>
      </c>
      <c r="L45" s="2" t="s">
        <v>6</v>
      </c>
      <c r="M45" s="2">
        <f>I45/0.0111</f>
        <v>24.684684684684687</v>
      </c>
      <c r="N45" s="2">
        <f>(M45*G45/H45)/1000000/F45</f>
        <v>5.7197614280947606E-2</v>
      </c>
      <c r="O45" s="2">
        <f>N45*D45/C45</f>
        <v>0.40038329996663324</v>
      </c>
      <c r="P45" s="13">
        <f>N45*0.1475+1.3338</f>
        <v>1.3422366481064398</v>
      </c>
      <c r="Q45" s="14">
        <f>E45-(P45-1.3338)</f>
        <v>1.3337633518935603</v>
      </c>
      <c r="R45" s="2">
        <f>(Q45-1.3338)/0.1435</f>
        <v>-2.5538750132246622E-4</v>
      </c>
      <c r="S45">
        <f t="shared" si="41"/>
        <v>-1.0215500052898649E-3</v>
      </c>
    </row>
    <row r="46" spans="2:20" x14ac:dyDescent="0.3">
      <c r="B46" s="2" t="s">
        <v>7</v>
      </c>
      <c r="C46" s="5">
        <v>0.3</v>
      </c>
      <c r="D46" s="5">
        <f t="shared" ref="D46:D47" si="52">C46+1.5</f>
        <v>1.8</v>
      </c>
      <c r="E46" s="5">
        <v>1.3432999999999999</v>
      </c>
      <c r="F46" s="5">
        <v>2.0799999999999999E-2</v>
      </c>
      <c r="G46" s="5">
        <v>9.9700000000000006</v>
      </c>
      <c r="H46" s="5">
        <v>0.2</v>
      </c>
      <c r="I46" s="5">
        <v>0.32800000000000001</v>
      </c>
      <c r="L46" s="2" t="s">
        <v>7</v>
      </c>
      <c r="M46" s="2">
        <f t="shared" ref="M46:M47" si="53">I46/0.0111</f>
        <v>29.54954954954955</v>
      </c>
      <c r="N46" s="2">
        <f t="shared" ref="N46:N47" si="54">(M46*G46/H46)/1000000/F46</f>
        <v>7.0819473319473317E-2</v>
      </c>
      <c r="O46" s="2">
        <f t="shared" ref="O46:O47" si="55">N46*D46/C46</f>
        <v>0.42491683991683987</v>
      </c>
      <c r="P46" s="13">
        <f t="shared" ref="P46:P47" si="56">N46*0.1475+1.3338</f>
        <v>1.3442458723146224</v>
      </c>
      <c r="Q46" s="14">
        <f t="shared" ref="Q46:Q47" si="57">E46-(P46-1.3338)</f>
        <v>1.3328541276853776</v>
      </c>
      <c r="R46" s="2">
        <f t="shared" ref="R46:R47" si="58">(Q46-1.3338)/0.1435</f>
        <v>-6.5914447012021538E-3</v>
      </c>
      <c r="S46">
        <f t="shared" si="41"/>
        <v>-2.6365778804808615E-2</v>
      </c>
    </row>
    <row r="47" spans="2:20" x14ac:dyDescent="0.3">
      <c r="B47" s="2" t="s">
        <v>8</v>
      </c>
      <c r="C47" s="5">
        <v>0.31</v>
      </c>
      <c r="D47" s="5">
        <f t="shared" si="52"/>
        <v>1.81</v>
      </c>
      <c r="E47" s="5">
        <v>1.3440000000000001</v>
      </c>
      <c r="F47" s="5">
        <v>2.1000000000000001E-2</v>
      </c>
      <c r="G47" s="5">
        <v>9.9700000000000006</v>
      </c>
      <c r="H47" s="5">
        <v>0.2</v>
      </c>
      <c r="I47" s="5">
        <v>0.33400000000000002</v>
      </c>
      <c r="L47" s="2" t="s">
        <v>8</v>
      </c>
      <c r="M47" s="2">
        <f t="shared" si="53"/>
        <v>30.09009009009009</v>
      </c>
      <c r="N47" s="2">
        <f t="shared" si="54"/>
        <v>7.1428142428142438E-2</v>
      </c>
      <c r="O47" s="2">
        <f t="shared" si="55"/>
        <v>0.4170481864352833</v>
      </c>
      <c r="P47" s="13">
        <f t="shared" si="56"/>
        <v>1.344335651008151</v>
      </c>
      <c r="Q47" s="14">
        <f t="shared" si="57"/>
        <v>1.3334643489918492</v>
      </c>
      <c r="R47" s="2">
        <f t="shared" si="58"/>
        <v>-2.3390314156858313E-3</v>
      </c>
      <c r="S47">
        <f t="shared" si="41"/>
        <v>-9.3561256627433254E-3</v>
      </c>
    </row>
    <row r="48" spans="2:20" x14ac:dyDescent="0.3">
      <c r="B48" s="2" t="s">
        <v>16</v>
      </c>
      <c r="C48" s="5">
        <f>AVERAGE(C45:C47)</f>
        <v>0.28666666666666668</v>
      </c>
      <c r="D48" s="5">
        <f>C48+1.5</f>
        <v>1.7866666666666666</v>
      </c>
      <c r="E48" s="5">
        <f t="shared" ref="E48" si="59">AVERAGE(E45:E47)</f>
        <v>1.3431666666666668</v>
      </c>
      <c r="F48" s="5">
        <f t="shared" ref="F48" si="60">AVERAGE(F45:F47)</f>
        <v>2.1133333333333334E-2</v>
      </c>
      <c r="G48" s="5">
        <f t="shared" ref="G48" si="61">AVERAGE(G45:G47)</f>
        <v>9.9833333333333343</v>
      </c>
      <c r="H48" s="5">
        <f t="shared" ref="H48" si="62">AVERAGE(H45:H47)</f>
        <v>0.20000000000000004</v>
      </c>
      <c r="I48" s="5">
        <f t="shared" ref="I48" si="63">AVERAGE(I45:I47)</f>
        <v>0.31200000000000006</v>
      </c>
      <c r="L48" s="2" t="s">
        <v>16</v>
      </c>
      <c r="M48" s="5">
        <f>AVERAGE(M45:M47)</f>
        <v>28.108108108108109</v>
      </c>
      <c r="N48" s="5">
        <f t="shared" ref="N48" si="64">AVERAGE(N45:N47)</f>
        <v>6.6481743342854449E-2</v>
      </c>
      <c r="O48" s="5">
        <f t="shared" ref="O48" si="65">AVERAGE(O45:O47)</f>
        <v>0.41411610877291882</v>
      </c>
      <c r="P48" s="13">
        <f>AVERAGE(P45:P47)</f>
        <v>1.3436060571430712</v>
      </c>
      <c r="Q48" s="13">
        <f t="shared" ref="Q48" si="66">AVERAGE(Q45:Q47)</f>
        <v>1.3333606095235957</v>
      </c>
      <c r="R48" s="13">
        <f t="shared" ref="R48" si="67">AVERAGE(R45:R47)</f>
        <v>-3.0619545394034837E-3</v>
      </c>
      <c r="S48">
        <f t="shared" si="41"/>
        <v>-1.2247818157613935E-2</v>
      </c>
    </row>
    <row r="49" spans="2:19" x14ac:dyDescent="0.3">
      <c r="B49" s="2" t="s">
        <v>2</v>
      </c>
      <c r="C49" s="5">
        <f>_xlfn.STDEV.S(C45:C47)</f>
        <v>3.2145502536643181E-2</v>
      </c>
      <c r="D49" s="5">
        <f>_xlfn.STDEV.S(D45:D47)</f>
        <v>3.2145502536643208E-2</v>
      </c>
      <c r="E49" s="5">
        <f t="shared" ref="E49:H49" si="68">_xlfn.STDEV.S(E45:E47)</f>
        <v>9.0737717258774868E-4</v>
      </c>
      <c r="F49" s="5">
        <f t="shared" si="68"/>
        <v>4.1633319989322736E-4</v>
      </c>
      <c r="G49" s="5">
        <f t="shared" si="68"/>
        <v>2.3094010767584539E-2</v>
      </c>
      <c r="H49" s="5">
        <f t="shared" si="68"/>
        <v>3.3993498887762956E-17</v>
      </c>
      <c r="I49" s="5">
        <f>_xlfn.STDEV.S(I45:I47)</f>
        <v>3.304542328371661E-2</v>
      </c>
      <c r="L49" s="2" t="s">
        <v>2</v>
      </c>
      <c r="M49" s="5">
        <f>_xlfn.STDEV.S(M45:M47)</f>
        <v>2.9770651606951892</v>
      </c>
      <c r="N49" s="5">
        <f t="shared" ref="N49:Q49" si="69">_xlfn.STDEV.S(N45:N47)</f>
        <v>8.0460492696459111E-3</v>
      </c>
      <c r="O49" s="5">
        <f t="shared" si="69"/>
        <v>1.2526829414728165E-2</v>
      </c>
      <c r="P49" s="5">
        <f t="shared" si="69"/>
        <v>1.1867922672727693E-3</v>
      </c>
      <c r="Q49" s="5">
        <f t="shared" si="69"/>
        <v>4.6340433008498847E-4</v>
      </c>
      <c r="R49" s="5">
        <f>_xlfn.STDEV.S(R45:R47)</f>
        <v>3.2292984674912096E-3</v>
      </c>
      <c r="S49">
        <f t="shared" si="41"/>
        <v>1.2917193869964838E-2</v>
      </c>
    </row>
    <row r="54" spans="2:19" x14ac:dyDescent="0.3">
      <c r="O54">
        <f>P5</f>
        <v>0</v>
      </c>
    </row>
  </sheetData>
  <mergeCells count="4">
    <mergeCell ref="C2:E2"/>
    <mergeCell ref="J2:K2"/>
    <mergeCell ref="C27:E27"/>
    <mergeCell ref="J27:K2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46584D94221548B0A15FA545F36AFC" ma:contentTypeVersion="10" ma:contentTypeDescription="Create a new document." ma:contentTypeScope="" ma:versionID="290b5b2a46ad0f8afc2388c418bb707b">
  <xsd:schema xmlns:xsd="http://www.w3.org/2001/XMLSchema" xmlns:xs="http://www.w3.org/2001/XMLSchema" xmlns:p="http://schemas.microsoft.com/office/2006/metadata/properties" xmlns:ns3="63fd02ab-cfc4-4f9e-a638-b2ef7d8e85ad" xmlns:ns4="9e4cadc0-eff7-4d89-90e3-26cb00012714" targetNamespace="http://schemas.microsoft.com/office/2006/metadata/properties" ma:root="true" ma:fieldsID="8732e139883400d1d0542eccae0582b2" ns3:_="" ns4:_="">
    <xsd:import namespace="63fd02ab-cfc4-4f9e-a638-b2ef7d8e85ad"/>
    <xsd:import namespace="9e4cadc0-eff7-4d89-90e3-26cb0001271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DateTake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fd02ab-cfc4-4f9e-a638-b2ef7d8e85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e4cadc0-eff7-4d89-90e3-26cb0001271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76092C4-FBEA-40E0-8918-FBC8440009E5}">
  <ds:schemaRefs>
    <ds:schemaRef ds:uri="http://schemas.microsoft.com/sharepoint/v3/contenttype/forms"/>
  </ds:schemaRefs>
</ds:datastoreItem>
</file>

<file path=customXml/itemProps2.xml><?xml version="1.0" encoding="utf-8"?>
<ds:datastoreItem xmlns:ds="http://schemas.openxmlformats.org/officeDocument/2006/customXml" ds:itemID="{02C4CBFB-06A8-4020-8A9F-04AF54F7F2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3fd02ab-cfc4-4f9e-a638-b2ef7d8e85ad"/>
    <ds:schemaRef ds:uri="9e4cadc0-eff7-4d89-90e3-26cb0001271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BD07321-8B8F-48DA-957C-2FF505BA5C23}">
  <ds:schemaRefs>
    <ds:schemaRef ds:uri="http://schemas.microsoft.com/office/2006/metadata/properties"/>
    <ds:schemaRef ds:uri="63fd02ab-cfc4-4f9e-a638-b2ef7d8e85ad"/>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9e4cadc0-eff7-4d89-90e3-26cb00012714"/>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Results and graphs</vt:lpstr>
      <vt:lpstr>Raw data and calculations</vt:lpstr>
      <vt:lpstr>Method</vt:lpstr>
      <vt:lpstr>Phase diagram  PEG 10k citrate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Hockey</dc:creator>
  <cp:lastModifiedBy>James Hockey</cp:lastModifiedBy>
  <cp:lastPrinted>2019-07-25T14:31:47Z</cp:lastPrinted>
  <dcterms:created xsi:type="dcterms:W3CDTF">2019-06-20T10:10:31Z</dcterms:created>
  <dcterms:modified xsi:type="dcterms:W3CDTF">2021-09-06T11:43:30Z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0x0101006546584D94221548B0A15FA545F36AFC</vt:lpwstr>
  </property>
</Properties>
</file>