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4.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5.xml" ContentType="application/vnd.openxmlformats-officedocument.drawing+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Users\james\Desktop\Backup current\Appendices\Experiments\Fixed\"/>
    </mc:Choice>
  </mc:AlternateContent>
  <xr:revisionPtr revIDLastSave="0" documentId="13_ncr:1_{B5761426-8FC6-4351-9224-F342154EC706}" xr6:coauthVersionLast="47" xr6:coauthVersionMax="47" xr10:uidLastSave="{00000000-0000-0000-0000-000000000000}"/>
  <bookViews>
    <workbookView xWindow="-108" yWindow="-108" windowWidth="23256" windowHeight="13176" xr2:uid="{DC652E53-AB43-4677-AD4C-21BA2D9CC3AC}"/>
  </bookViews>
  <sheets>
    <sheet name="Summary phase diagram results" sheetId="36" r:id="rId1"/>
    <sheet name="Equilibrium curve models" sheetId="38" r:id="rId2"/>
    <sheet name="R I standards" sheetId="20" r:id="rId3"/>
    <sheet name="Eppies after freeze drying " sheetId="30" r:id="rId4"/>
    <sheet name="PEG 4000 + CIT" sheetId="31" r:id="rId5"/>
    <sheet name="PEG 6000 + CIT" sheetId="34" r:id="rId6"/>
    <sheet name="PEG 10000 + CIT" sheetId="35" r:id="rId7"/>
    <sheet name="Methods" sheetId="37" r:id="rId8"/>
  </sheets>
  <definedNames>
    <definedName name="solver_adj" localSheetId="6" hidden="1">'PEG 10000 + CIT'!$AS$36:$AU$36</definedName>
    <definedName name="solver_adj" localSheetId="4" hidden="1">'PEG 4000 + CIT'!$AW$79:$AY$79</definedName>
    <definedName name="solver_adj" localSheetId="5" hidden="1">'PEG 6000 + CIT'!$AT$39:$AV$39</definedName>
    <definedName name="solver_cvg" localSheetId="6" hidden="1">0.0001</definedName>
    <definedName name="solver_cvg" localSheetId="4" hidden="1">0.0001</definedName>
    <definedName name="solver_cvg" localSheetId="5" hidden="1">0.0001</definedName>
    <definedName name="solver_drv" localSheetId="6" hidden="1">1</definedName>
    <definedName name="solver_drv" localSheetId="4" hidden="1">1</definedName>
    <definedName name="solver_drv" localSheetId="5" hidden="1">1</definedName>
    <definedName name="solver_eng" localSheetId="6" hidden="1">1</definedName>
    <definedName name="solver_eng" localSheetId="4" hidden="1">1</definedName>
    <definedName name="solver_eng" localSheetId="5" hidden="1">1</definedName>
    <definedName name="solver_est" localSheetId="6" hidden="1">1</definedName>
    <definedName name="solver_est" localSheetId="4" hidden="1">1</definedName>
    <definedName name="solver_est" localSheetId="5" hidden="1">1</definedName>
    <definedName name="solver_itr" localSheetId="6" hidden="1">2147483647</definedName>
    <definedName name="solver_itr" localSheetId="4" hidden="1">2147483647</definedName>
    <definedName name="solver_itr" localSheetId="5" hidden="1">2147483647</definedName>
    <definedName name="solver_lhs1" localSheetId="6" hidden="1">'PEG 10000 + CIT'!$AX$24</definedName>
    <definedName name="solver_lhs1" localSheetId="4" hidden="1">'PEG 4000 + CIT'!$BB$65</definedName>
    <definedName name="solver_lhs1" localSheetId="5" hidden="1">'PEG 6000 + CIT'!$AY$27</definedName>
    <definedName name="solver_lhs2" localSheetId="6" hidden="1">'PEG 10000 + CIT'!$AV$26:$AV$33</definedName>
    <definedName name="solver_lhs2" localSheetId="4" hidden="1">'PEG 4000 + CIT'!$BB$67:$BB$76</definedName>
    <definedName name="solver_lhs2" localSheetId="5" hidden="1">'PEG 6000 + CIT'!$AW$29:$AW$36</definedName>
    <definedName name="solver_lhs3" localSheetId="6" hidden="1">'PEG 10000 + CIT'!$AI$76</definedName>
    <definedName name="solver_lhs3" localSheetId="4" hidden="1">'PEG 4000 + CIT'!$AY$61</definedName>
    <definedName name="solver_lhs3" localSheetId="5" hidden="1">'PEG 6000 + CIT'!$AI$77</definedName>
    <definedName name="solver_lhs4" localSheetId="6" hidden="1">'PEG 10000 + CIT'!$AI$77</definedName>
    <definedName name="solver_lhs4" localSheetId="4" hidden="1">'PEG 4000 + CIT'!$AJ$29</definedName>
    <definedName name="solver_lhs4" localSheetId="5" hidden="1">'PEG 6000 + CIT'!$AI$78</definedName>
    <definedName name="solver_lhs5" localSheetId="6" hidden="1">'PEG 10000 + CIT'!$AJ$77</definedName>
    <definedName name="solver_lhs5" localSheetId="4" hidden="1">'PEG 4000 + CIT'!$AK$29</definedName>
    <definedName name="solver_lhs5" localSheetId="5" hidden="1">'PEG 6000 + CIT'!$AJ$78</definedName>
    <definedName name="solver_lhs6" localSheetId="6" hidden="1">'PEG 10000 + CIT'!$AK$76</definedName>
    <definedName name="solver_lhs6" localSheetId="4" hidden="1">'PEG 4000 + CIT'!$AK$29</definedName>
    <definedName name="solver_lhs6" localSheetId="5" hidden="1">'PEG 6000 + CIT'!$AK$77</definedName>
    <definedName name="solver_lhs7" localSheetId="6" hidden="1">'PEG 10000 + CIT'!$AL$79:$AL$80</definedName>
    <definedName name="solver_lhs7" localSheetId="4" hidden="1">'PEG 4000 + CIT'!$AL$28</definedName>
    <definedName name="solver_lhs7" localSheetId="5" hidden="1">'PEG 6000 + CIT'!$AK$77</definedName>
    <definedName name="solver_lhs8" localSheetId="4" hidden="1">'PEG 4000 + CIT'!$AM$31:$AM$32</definedName>
    <definedName name="solver_lhs8" localSheetId="5" hidden="1">'PEG 6000 + CIT'!$AL$80:$AL$81</definedName>
    <definedName name="solver_lhs9" localSheetId="4" hidden="1">'PEG 4000 + CIT'!$AL$100</definedName>
    <definedName name="solver_mip" localSheetId="6" hidden="1">2147483647</definedName>
    <definedName name="solver_mip" localSheetId="4" hidden="1">2147483647</definedName>
    <definedName name="solver_mip" localSheetId="5" hidden="1">2147483647</definedName>
    <definedName name="solver_mni" localSheetId="6" hidden="1">30</definedName>
    <definedName name="solver_mni" localSheetId="4" hidden="1">30</definedName>
    <definedName name="solver_mni" localSheetId="5" hidden="1">30</definedName>
    <definedName name="solver_mrt" localSheetId="6" hidden="1">0.075</definedName>
    <definedName name="solver_mrt" localSheetId="4" hidden="1">0.075</definedName>
    <definedName name="solver_mrt" localSheetId="5" hidden="1">0.075</definedName>
    <definedName name="solver_msl" localSheetId="6" hidden="1">2</definedName>
    <definedName name="solver_msl" localSheetId="4" hidden="1">2</definedName>
    <definedName name="solver_msl" localSheetId="5" hidden="1">2</definedName>
    <definedName name="solver_neg" localSheetId="6" hidden="1">1</definedName>
    <definedName name="solver_neg" localSheetId="4" hidden="1">1</definedName>
    <definedName name="solver_neg" localSheetId="5" hidden="1">1</definedName>
    <definedName name="solver_nod" localSheetId="6" hidden="1">2147483647</definedName>
    <definedName name="solver_nod" localSheetId="4" hidden="1">2147483647</definedName>
    <definedName name="solver_nod" localSheetId="5" hidden="1">2147483647</definedName>
    <definedName name="solver_num" localSheetId="6" hidden="1">2</definedName>
    <definedName name="solver_num" localSheetId="4" hidden="1">2</definedName>
    <definedName name="solver_num" localSheetId="5" hidden="1">2</definedName>
    <definedName name="solver_nwt" localSheetId="6" hidden="1">1</definedName>
    <definedName name="solver_nwt" localSheetId="4" hidden="1">1</definedName>
    <definedName name="solver_nwt" localSheetId="5" hidden="1">1</definedName>
    <definedName name="solver_opt" localSheetId="6" hidden="1">'PEG 10000 + CIT'!$AV$34</definedName>
    <definedName name="solver_opt" localSheetId="4" hidden="1">'PEG 4000 + CIT'!$BB$77</definedName>
    <definedName name="solver_opt" localSheetId="5" hidden="1">'PEG 6000 + CIT'!$AW$37</definedName>
    <definedName name="solver_pre" localSheetId="6" hidden="1">0.000001</definedName>
    <definedName name="solver_pre" localSheetId="4" hidden="1">0.000001</definedName>
    <definedName name="solver_pre" localSheetId="5" hidden="1">0.000001</definedName>
    <definedName name="solver_rbv" localSheetId="6" hidden="1">1</definedName>
    <definedName name="solver_rbv" localSheetId="4" hidden="1">2</definedName>
    <definedName name="solver_rbv" localSheetId="5" hidden="1">1</definedName>
    <definedName name="solver_rel1" localSheetId="6" hidden="1">2</definedName>
    <definedName name="solver_rel1" localSheetId="4" hidden="1">2</definedName>
    <definedName name="solver_rel1" localSheetId="5" hidden="1">2</definedName>
    <definedName name="solver_rel2" localSheetId="6" hidden="1">1</definedName>
    <definedName name="solver_rel2" localSheetId="4" hidden="1">1</definedName>
    <definedName name="solver_rel2" localSheetId="5" hidden="1">1</definedName>
    <definedName name="solver_rel3" localSheetId="6" hidden="1">1</definedName>
    <definedName name="solver_rel3" localSheetId="4" hidden="1">3</definedName>
    <definedName name="solver_rel3" localSheetId="5" hidden="1">1</definedName>
    <definedName name="solver_rel4" localSheetId="6" hidden="1">1</definedName>
    <definedName name="solver_rel4" localSheetId="4" hidden="1">1</definedName>
    <definedName name="solver_rel4" localSheetId="5" hidden="1">1</definedName>
    <definedName name="solver_rel5" localSheetId="6" hidden="1">1</definedName>
    <definedName name="solver_rel5" localSheetId="4" hidden="1">1</definedName>
    <definedName name="solver_rel5" localSheetId="5" hidden="1">1</definedName>
    <definedName name="solver_rel6" localSheetId="6" hidden="1">1</definedName>
    <definedName name="solver_rel6" localSheetId="4" hidden="1">3</definedName>
    <definedName name="solver_rel6" localSheetId="5" hidden="1">1</definedName>
    <definedName name="solver_rel7" localSheetId="6" hidden="1">1</definedName>
    <definedName name="solver_rel7" localSheetId="4" hidden="1">1</definedName>
    <definedName name="solver_rel7" localSheetId="5" hidden="1">3</definedName>
    <definedName name="solver_rel8" localSheetId="4" hidden="1">1</definedName>
    <definedName name="solver_rel8" localSheetId="5" hidden="1">1</definedName>
    <definedName name="solver_rel9" localSheetId="4" hidden="1">1</definedName>
    <definedName name="solver_rhs1" localSheetId="6" hidden="1">'PEG 10000 + CIT'!$AW$24</definedName>
    <definedName name="solver_rhs1" localSheetId="4" hidden="1">'PEG 4000 + CIT'!$BA$65</definedName>
    <definedName name="solver_rhs1" localSheetId="5" hidden="1">'PEG 6000 + CIT'!$AX$27</definedName>
    <definedName name="solver_rhs2" localSheetId="6" hidden="1">0.001</definedName>
    <definedName name="solver_rhs2" localSheetId="4" hidden="1">0.004</definedName>
    <definedName name="solver_rhs2" localSheetId="5" hidden="1">0.001</definedName>
    <definedName name="solver_rhs3" localSheetId="6" hidden="1">'PEG 10000 + CIT'!$AP$76</definedName>
    <definedName name="solver_rhs3" localSheetId="4" hidden="1">400</definedName>
    <definedName name="solver_rhs3" localSheetId="5" hidden="1">'PEG 6000 + CIT'!$AP$77</definedName>
    <definedName name="solver_rhs4" localSheetId="6" hidden="1">'PEG 10000 + CIT'!$AP$77</definedName>
    <definedName name="solver_rhs4" localSheetId="4" hidden="1">'PEG 4000 + CIT'!$AQ$29</definedName>
    <definedName name="solver_rhs4" localSheetId="5" hidden="1">'PEG 6000 + CIT'!$AP$78</definedName>
    <definedName name="solver_rhs5" localSheetId="6" hidden="1">'PEG 10000 + CIT'!$AJ$53</definedName>
    <definedName name="solver_rhs5" localSheetId="4" hidden="1">0.02</definedName>
    <definedName name="solver_rhs5" localSheetId="5" hidden="1">'PEG 6000 + CIT'!$AJ$54</definedName>
    <definedName name="solver_rhs6" localSheetId="6" hidden="1">0.03</definedName>
    <definedName name="solver_rhs6" localSheetId="4" hidden="1">0.01</definedName>
    <definedName name="solver_rhs6" localSheetId="5" hidden="1">0.036</definedName>
    <definedName name="solver_rhs7" localSheetId="6" hidden="1">0.05</definedName>
    <definedName name="solver_rhs7" localSheetId="4" hidden="1">0.053</definedName>
    <definedName name="solver_rhs7" localSheetId="5" hidden="1">0.03</definedName>
    <definedName name="solver_rhs8" localSheetId="4" hidden="1">0.05</definedName>
    <definedName name="solver_rhs8" localSheetId="5" hidden="1">0.05</definedName>
    <definedName name="solver_rhs9" localSheetId="4" hidden="1">'PEG 4000 + CIT'!$AL$76</definedName>
    <definedName name="solver_rlx" localSheetId="6" hidden="1">2</definedName>
    <definedName name="solver_rlx" localSheetId="4" hidden="1">2</definedName>
    <definedName name="solver_rlx" localSheetId="5" hidden="1">2</definedName>
    <definedName name="solver_rsd" localSheetId="6" hidden="1">0</definedName>
    <definedName name="solver_rsd" localSheetId="4" hidden="1">0</definedName>
    <definedName name="solver_rsd" localSheetId="5" hidden="1">0</definedName>
    <definedName name="solver_scl" localSheetId="6" hidden="1">1</definedName>
    <definedName name="solver_scl" localSheetId="4" hidden="1">1</definedName>
    <definedName name="solver_scl" localSheetId="5" hidden="1">1</definedName>
    <definedName name="solver_sho" localSheetId="6" hidden="1">2</definedName>
    <definedName name="solver_sho" localSheetId="4" hidden="1">2</definedName>
    <definedName name="solver_sho" localSheetId="5" hidden="1">2</definedName>
    <definedName name="solver_ssz" localSheetId="6" hidden="1">100</definedName>
    <definedName name="solver_ssz" localSheetId="4" hidden="1">100</definedName>
    <definedName name="solver_ssz" localSheetId="5" hidden="1">100</definedName>
    <definedName name="solver_tim" localSheetId="6" hidden="1">2147483647</definedName>
    <definedName name="solver_tim" localSheetId="4" hidden="1">2147483647</definedName>
    <definedName name="solver_tim" localSheetId="5" hidden="1">2147483647</definedName>
    <definedName name="solver_tol" localSheetId="6" hidden="1">0.01</definedName>
    <definedName name="solver_tol" localSheetId="4" hidden="1">0.01</definedName>
    <definedName name="solver_tol" localSheetId="5" hidden="1">0.01</definedName>
    <definedName name="solver_typ" localSheetId="6" hidden="1">2</definedName>
    <definedName name="solver_typ" localSheetId="4" hidden="1">2</definedName>
    <definedName name="solver_typ" localSheetId="5" hidden="1">2</definedName>
    <definedName name="solver_val" localSheetId="6" hidden="1">0</definedName>
    <definedName name="solver_val" localSheetId="4" hidden="1">0</definedName>
    <definedName name="solver_val" localSheetId="5" hidden="1">0</definedName>
    <definedName name="solver_ver" localSheetId="6" hidden="1">3</definedName>
    <definedName name="solver_ver" localSheetId="4" hidden="1">3</definedName>
    <definedName name="solver_ver" localSheetId="5" hidden="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30" l="1"/>
  <c r="O20" i="30"/>
  <c r="O4" i="30"/>
  <c r="O3" i="30"/>
  <c r="O7" i="30"/>
  <c r="O8" i="20"/>
  <c r="AC8" i="20"/>
  <c r="V8" i="20"/>
  <c r="I8" i="20"/>
  <c r="AV34" i="35"/>
  <c r="AU26" i="35"/>
  <c r="AV26" i="35" s="1"/>
  <c r="U37" i="31" l="1"/>
  <c r="AB28" i="31"/>
  <c r="AB29" i="31"/>
  <c r="H15" i="30"/>
  <c r="O19" i="30"/>
  <c r="W4" i="30"/>
  <c r="W3" i="30"/>
  <c r="W8" i="30"/>
  <c r="W7" i="30"/>
  <c r="W12" i="30"/>
  <c r="W11" i="30"/>
  <c r="W16" i="30"/>
  <c r="W15" i="30"/>
  <c r="W20" i="30"/>
  <c r="W19" i="30"/>
  <c r="P20" i="30"/>
  <c r="P16" i="30"/>
  <c r="P15" i="30"/>
  <c r="P12" i="30"/>
  <c r="P11" i="30"/>
  <c r="P8" i="30"/>
  <c r="P7" i="30"/>
  <c r="P4" i="30"/>
  <c r="P3" i="30"/>
  <c r="I20" i="30"/>
  <c r="I19" i="30"/>
  <c r="I16" i="30"/>
  <c r="I12" i="30"/>
  <c r="I11" i="30"/>
  <c r="I8" i="30"/>
  <c r="I7" i="30"/>
  <c r="I4" i="30"/>
  <c r="U13" i="31"/>
  <c r="AI76" i="31" l="1"/>
  <c r="H12" i="31"/>
  <c r="E51" i="38" l="1"/>
  <c r="E52" i="38"/>
  <c r="E53" i="38"/>
  <c r="E54" i="38"/>
  <c r="E55" i="38"/>
  <c r="E56" i="38"/>
  <c r="E57" i="38"/>
  <c r="E58" i="38"/>
  <c r="E59" i="38"/>
  <c r="E60" i="38"/>
  <c r="E61" i="38"/>
  <c r="E62" i="38"/>
  <c r="E63" i="38"/>
  <c r="E64" i="38"/>
  <c r="E65" i="38"/>
  <c r="E66" i="38"/>
  <c r="E67" i="38"/>
  <c r="E68" i="38"/>
  <c r="E69" i="38"/>
  <c r="E70" i="38"/>
  <c r="E71" i="38"/>
  <c r="E72" i="38"/>
  <c r="E73" i="38"/>
  <c r="E74" i="38"/>
  <c r="E75" i="38"/>
  <c r="E76" i="38"/>
  <c r="E77" i="38"/>
  <c r="E78" i="38"/>
  <c r="E79" i="38"/>
  <c r="E80" i="38"/>
  <c r="E81" i="38"/>
  <c r="E82" i="38"/>
  <c r="E83" i="38"/>
  <c r="E50" i="38"/>
  <c r="D37" i="38"/>
  <c r="E37" i="38" s="1"/>
  <c r="D38" i="38"/>
  <c r="E38" i="38" s="1"/>
  <c r="D39" i="38"/>
  <c r="D40" i="38"/>
  <c r="E40" i="38" s="1"/>
  <c r="D41" i="38"/>
  <c r="E41" i="38" s="1"/>
  <c r="D42" i="38"/>
  <c r="E42" i="38" s="1"/>
  <c r="D43" i="38"/>
  <c r="D44" i="38"/>
  <c r="E44" i="38" s="1"/>
  <c r="D23" i="38"/>
  <c r="E23" i="38" s="1"/>
  <c r="D24" i="38"/>
  <c r="D25" i="38"/>
  <c r="D26" i="38"/>
  <c r="E26" i="38" s="1"/>
  <c r="D27" i="38"/>
  <c r="D28" i="38"/>
  <c r="D29" i="38"/>
  <c r="D22" i="38"/>
  <c r="E22" i="38" s="1"/>
  <c r="D8" i="38"/>
  <c r="E8" i="38" s="1"/>
  <c r="D9" i="38"/>
  <c r="E9" i="38" s="1"/>
  <c r="D10" i="38"/>
  <c r="E10" i="38" s="1"/>
  <c r="D11" i="38"/>
  <c r="E11" i="38" s="1"/>
  <c r="D12" i="38"/>
  <c r="E12" i="38" s="1"/>
  <c r="D13" i="38"/>
  <c r="D14" i="38"/>
  <c r="D7" i="38"/>
  <c r="E7" i="38" s="1"/>
  <c r="C51" i="38"/>
  <c r="C52" i="38"/>
  <c r="C53" i="38"/>
  <c r="C54" i="38"/>
  <c r="C55" i="38"/>
  <c r="C56" i="38"/>
  <c r="C57" i="38"/>
  <c r="C58" i="38"/>
  <c r="C59" i="38"/>
  <c r="C60" i="38"/>
  <c r="C61" i="38"/>
  <c r="C62" i="38"/>
  <c r="C63" i="38"/>
  <c r="C64" i="38"/>
  <c r="C65" i="38"/>
  <c r="C66" i="38"/>
  <c r="C67" i="38"/>
  <c r="C68" i="38"/>
  <c r="C69" i="38"/>
  <c r="C70" i="38"/>
  <c r="C71" i="38"/>
  <c r="C72" i="38"/>
  <c r="C73" i="38"/>
  <c r="C74" i="38"/>
  <c r="C75" i="38"/>
  <c r="C76" i="38"/>
  <c r="C77" i="38"/>
  <c r="C78" i="38"/>
  <c r="C79" i="38"/>
  <c r="C80" i="38"/>
  <c r="C81" i="38"/>
  <c r="C82" i="38"/>
  <c r="C83" i="38"/>
  <c r="C50" i="38"/>
  <c r="D51" i="38"/>
  <c r="D52" i="38"/>
  <c r="D53" i="38"/>
  <c r="D54" i="38"/>
  <c r="D55" i="38"/>
  <c r="D56" i="38"/>
  <c r="D57" i="38"/>
  <c r="D58" i="38"/>
  <c r="D59" i="38"/>
  <c r="D60" i="38"/>
  <c r="D61" i="38"/>
  <c r="D62" i="38"/>
  <c r="D63" i="38"/>
  <c r="D64" i="38"/>
  <c r="D65" i="38"/>
  <c r="D66" i="38"/>
  <c r="D67" i="38"/>
  <c r="D68" i="38"/>
  <c r="D69" i="38"/>
  <c r="D70" i="38"/>
  <c r="D71" i="38"/>
  <c r="D72" i="38"/>
  <c r="D73" i="38"/>
  <c r="D74" i="38"/>
  <c r="D75" i="38"/>
  <c r="D76" i="38"/>
  <c r="D77" i="38"/>
  <c r="D78" i="38"/>
  <c r="D79" i="38"/>
  <c r="D80" i="38"/>
  <c r="D81" i="38"/>
  <c r="D82" i="38"/>
  <c r="D83" i="38"/>
  <c r="D50" i="38"/>
  <c r="E29" i="38"/>
  <c r="E27" i="38"/>
  <c r="E25" i="38"/>
  <c r="E14" i="38"/>
  <c r="E43" i="38"/>
  <c r="BB27" i="35"/>
  <c r="BB26" i="35"/>
  <c r="BB25" i="35"/>
  <c r="BB24" i="35"/>
  <c r="S118" i="34"/>
  <c r="S116" i="34"/>
  <c r="S94" i="34"/>
  <c r="N30" i="36" s="1"/>
  <c r="S92" i="34"/>
  <c r="N29" i="36" s="1"/>
  <c r="S70" i="34"/>
  <c r="N27" i="36" s="1"/>
  <c r="S68" i="34"/>
  <c r="N26" i="36" s="1"/>
  <c r="S46" i="34"/>
  <c r="N24" i="36" s="1"/>
  <c r="S44" i="34"/>
  <c r="N23" i="36" s="1"/>
  <c r="N46" i="36"/>
  <c r="S117" i="35"/>
  <c r="S115" i="35"/>
  <c r="S93" i="35"/>
  <c r="S91" i="35"/>
  <c r="N45" i="36" s="1"/>
  <c r="S69" i="35"/>
  <c r="N43" i="36" s="1"/>
  <c r="S67" i="35"/>
  <c r="N42" i="36" s="1"/>
  <c r="S45" i="35"/>
  <c r="N40" i="36" s="1"/>
  <c r="S43" i="35"/>
  <c r="N39" i="36" s="1"/>
  <c r="S19" i="35"/>
  <c r="N36" i="36"/>
  <c r="S117" i="31"/>
  <c r="S93" i="31"/>
  <c r="N14" i="36" s="1"/>
  <c r="S69" i="31"/>
  <c r="N11" i="36" s="1"/>
  <c r="S45" i="31"/>
  <c r="N8" i="36" s="1"/>
  <c r="S21" i="31"/>
  <c r="N5" i="36" s="1"/>
  <c r="S19" i="31"/>
  <c r="N4" i="36" s="1"/>
  <c r="BA6" i="31"/>
  <c r="L3" i="36" s="1"/>
  <c r="E24" i="38" l="1"/>
  <c r="E28" i="38"/>
  <c r="E30" i="38" s="1"/>
  <c r="E13" i="38"/>
  <c r="E39" i="38"/>
  <c r="E45" i="38" s="1"/>
  <c r="E15" i="38" l="1"/>
  <c r="F118" i="35" l="1"/>
  <c r="D118" i="35"/>
  <c r="S118" i="35" s="1"/>
  <c r="U117" i="35"/>
  <c r="AG101" i="35" s="1"/>
  <c r="I114" i="35"/>
  <c r="H114" i="35"/>
  <c r="F117" i="35"/>
  <c r="D117" i="35"/>
  <c r="E117" i="35" s="1"/>
  <c r="E116" i="35"/>
  <c r="U115" i="35"/>
  <c r="E115" i="35"/>
  <c r="E114" i="35"/>
  <c r="U111" i="35"/>
  <c r="F110" i="35"/>
  <c r="D110" i="35"/>
  <c r="S116" i="35" s="1"/>
  <c r="U109" i="35"/>
  <c r="I106" i="35"/>
  <c r="H106" i="35"/>
  <c r="F109" i="35"/>
  <c r="T99" i="35" s="1"/>
  <c r="D109" i="35"/>
  <c r="E109" i="35" s="1"/>
  <c r="M106" i="35" s="1"/>
  <c r="X108" i="35"/>
  <c r="E108" i="35"/>
  <c r="E107" i="35"/>
  <c r="E106" i="35"/>
  <c r="AH101" i="35"/>
  <c r="AA101" i="35"/>
  <c r="F101" i="35"/>
  <c r="E101" i="35"/>
  <c r="Y108" i="35" s="1"/>
  <c r="AH100" i="35"/>
  <c r="AI100" i="35" s="1"/>
  <c r="AA100" i="35"/>
  <c r="U99" i="35"/>
  <c r="F94" i="35"/>
  <c r="D94" i="35"/>
  <c r="S94" i="35" s="1"/>
  <c r="O46" i="36" s="1"/>
  <c r="U93" i="35"/>
  <c r="I90" i="35"/>
  <c r="H90" i="35"/>
  <c r="F93" i="35"/>
  <c r="U75" i="35" s="1"/>
  <c r="D93" i="35"/>
  <c r="E92" i="35"/>
  <c r="U91" i="35"/>
  <c r="E91" i="35"/>
  <c r="E90" i="35"/>
  <c r="U87" i="35"/>
  <c r="F86" i="35"/>
  <c r="D86" i="35"/>
  <c r="S92" i="35" s="1"/>
  <c r="O45" i="36" s="1"/>
  <c r="U85" i="35"/>
  <c r="I82" i="35"/>
  <c r="H82" i="35"/>
  <c r="F85" i="35"/>
  <c r="D85" i="35"/>
  <c r="X84" i="35"/>
  <c r="E84" i="35"/>
  <c r="E83" i="35"/>
  <c r="E82" i="35"/>
  <c r="BB57" i="35"/>
  <c r="AH77" i="35"/>
  <c r="AA77" i="35"/>
  <c r="F77" i="35"/>
  <c r="Z84" i="35" s="1"/>
  <c r="E77" i="35"/>
  <c r="BB56" i="35"/>
  <c r="AH76" i="35"/>
  <c r="AA76" i="35"/>
  <c r="BB55" i="35"/>
  <c r="T75" i="35"/>
  <c r="AI76" i="35" s="1"/>
  <c r="BB54" i="35"/>
  <c r="BB53" i="35"/>
  <c r="BB52" i="35"/>
  <c r="F70" i="35"/>
  <c r="D70" i="35"/>
  <c r="S70" i="35" s="1"/>
  <c r="O43" i="36" s="1"/>
  <c r="BB51" i="35"/>
  <c r="U69" i="35"/>
  <c r="I66" i="35"/>
  <c r="H66" i="35"/>
  <c r="F69" i="35"/>
  <c r="D69" i="35"/>
  <c r="BB50" i="35"/>
  <c r="E68" i="35"/>
  <c r="BB49" i="35"/>
  <c r="U67" i="35"/>
  <c r="AG52" i="35" s="1"/>
  <c r="AM52" i="35" s="1"/>
  <c r="E67" i="35"/>
  <c r="BB48" i="35"/>
  <c r="E66" i="35"/>
  <c r="BB47" i="35"/>
  <c r="BB46" i="35"/>
  <c r="BB45" i="35"/>
  <c r="U63" i="35"/>
  <c r="BB44" i="35"/>
  <c r="F62" i="35"/>
  <c r="D62" i="35"/>
  <c r="S68" i="35" s="1"/>
  <c r="O42" i="36" s="1"/>
  <c r="BB43" i="35"/>
  <c r="U61" i="35"/>
  <c r="I58" i="35"/>
  <c r="H58" i="35"/>
  <c r="F61" i="35"/>
  <c r="D61" i="35"/>
  <c r="E61" i="35" s="1"/>
  <c r="BB42" i="35"/>
  <c r="X60" i="35"/>
  <c r="E60" i="35"/>
  <c r="BB41" i="35"/>
  <c r="E59" i="35"/>
  <c r="BB40" i="35"/>
  <c r="E58" i="35"/>
  <c r="BB39" i="35"/>
  <c r="BB38" i="35"/>
  <c r="BB37" i="35"/>
  <c r="BB36" i="35"/>
  <c r="BB35" i="35"/>
  <c r="AH53" i="35"/>
  <c r="AA53" i="35"/>
  <c r="F53" i="35"/>
  <c r="Z60" i="35" s="1"/>
  <c r="E53" i="35"/>
  <c r="BB34" i="35"/>
  <c r="AH52" i="35"/>
  <c r="AA52" i="35"/>
  <c r="BB33" i="35"/>
  <c r="AU33" i="35"/>
  <c r="U51" i="35"/>
  <c r="AI53" i="35" s="1"/>
  <c r="T51" i="35"/>
  <c r="AI52" i="35" s="1"/>
  <c r="BB32" i="35"/>
  <c r="AU32" i="35"/>
  <c r="AV32" i="35" s="1"/>
  <c r="BB31" i="35"/>
  <c r="AU31" i="35"/>
  <c r="AV31" i="35" s="1"/>
  <c r="BB30" i="35"/>
  <c r="AU30" i="35"/>
  <c r="AV30" i="35" s="1"/>
  <c r="F46" i="35"/>
  <c r="D46" i="35"/>
  <c r="S46" i="35" s="1"/>
  <c r="O40" i="36" s="1"/>
  <c r="BB29" i="35"/>
  <c r="AU29" i="35"/>
  <c r="AV29" i="35" s="1"/>
  <c r="U45" i="35"/>
  <c r="AG29" i="35" s="1"/>
  <c r="I42" i="35"/>
  <c r="H42" i="35"/>
  <c r="F45" i="35"/>
  <c r="U27" i="35" s="1"/>
  <c r="D45" i="35"/>
  <c r="E45" i="35" s="1"/>
  <c r="M42" i="35" s="1"/>
  <c r="T39" i="35" s="1"/>
  <c r="BB28" i="35"/>
  <c r="AU28" i="35"/>
  <c r="E44" i="35"/>
  <c r="AU27" i="35"/>
  <c r="U43" i="35"/>
  <c r="E43" i="35"/>
  <c r="E42" i="35"/>
  <c r="U39" i="35"/>
  <c r="F38" i="35"/>
  <c r="D38" i="35"/>
  <c r="S44" i="35" s="1"/>
  <c r="O39" i="36" s="1"/>
  <c r="U37" i="35"/>
  <c r="I34" i="35"/>
  <c r="H34" i="35"/>
  <c r="F37" i="35"/>
  <c r="T27" i="35" s="1"/>
  <c r="AI28" i="35" s="1"/>
  <c r="D37" i="35"/>
  <c r="E37" i="35" s="1"/>
  <c r="M34" i="35" s="1"/>
  <c r="T37" i="35" s="1"/>
  <c r="X36" i="35"/>
  <c r="E36" i="35"/>
  <c r="E35" i="35"/>
  <c r="E34" i="35"/>
  <c r="E38" i="35" s="1"/>
  <c r="AH29" i="35"/>
  <c r="AA29" i="35"/>
  <c r="F29" i="35"/>
  <c r="Z36" i="35" s="1"/>
  <c r="E29" i="35"/>
  <c r="AH28" i="35"/>
  <c r="AA28" i="35"/>
  <c r="F22" i="35"/>
  <c r="D22" i="35"/>
  <c r="S22" i="35" s="1"/>
  <c r="O37" i="36" s="1"/>
  <c r="S21" i="35"/>
  <c r="I18" i="35"/>
  <c r="H18" i="35"/>
  <c r="F21" i="35"/>
  <c r="D21" i="35"/>
  <c r="E20" i="35"/>
  <c r="U19" i="35"/>
  <c r="AG4" i="35" s="1"/>
  <c r="E19" i="35"/>
  <c r="E18" i="35"/>
  <c r="AZ15" i="35"/>
  <c r="L44" i="36" s="1"/>
  <c r="U15" i="35"/>
  <c r="AZ12" i="35"/>
  <c r="L41" i="36" s="1"/>
  <c r="F14" i="35"/>
  <c r="D14" i="35"/>
  <c r="S20" i="35" s="1"/>
  <c r="O36" i="36" s="1"/>
  <c r="Z13" i="35"/>
  <c r="U13" i="35"/>
  <c r="I10" i="35"/>
  <c r="H10" i="35"/>
  <c r="F13" i="35"/>
  <c r="T3" i="35" s="1"/>
  <c r="AI4" i="35" s="1"/>
  <c r="D13" i="35"/>
  <c r="X12" i="35"/>
  <c r="E12" i="35"/>
  <c r="AZ9" i="35"/>
  <c r="L38" i="36" s="1"/>
  <c r="E11" i="35"/>
  <c r="E10" i="35"/>
  <c r="AZ6" i="35"/>
  <c r="L35" i="36" s="1"/>
  <c r="AH5" i="35"/>
  <c r="AA5" i="35"/>
  <c r="F5" i="35"/>
  <c r="Z12" i="35" s="1"/>
  <c r="E5" i="35"/>
  <c r="Y12" i="35" s="1"/>
  <c r="AH4" i="35"/>
  <c r="AA4" i="35"/>
  <c r="U3" i="35"/>
  <c r="F119" i="34"/>
  <c r="D119" i="34"/>
  <c r="S119" i="34" s="1"/>
  <c r="U118" i="34"/>
  <c r="AG102" i="34" s="1"/>
  <c r="I115" i="34"/>
  <c r="H115" i="34"/>
  <c r="F118" i="34"/>
  <c r="D118" i="34"/>
  <c r="E118" i="34" s="1"/>
  <c r="E117" i="34"/>
  <c r="U116" i="34"/>
  <c r="AG101" i="34" s="1"/>
  <c r="E116" i="34"/>
  <c r="E115" i="34"/>
  <c r="U112" i="34"/>
  <c r="F111" i="34"/>
  <c r="D111" i="34"/>
  <c r="S117" i="34" s="1"/>
  <c r="U110" i="34"/>
  <c r="I107" i="34"/>
  <c r="H107" i="34"/>
  <c r="F110" i="34"/>
  <c r="T100" i="34" s="1"/>
  <c r="D110" i="34"/>
  <c r="E110" i="34" s="1"/>
  <c r="M107" i="34" s="1"/>
  <c r="X109" i="34"/>
  <c r="E109" i="34"/>
  <c r="E108" i="34"/>
  <c r="E107" i="34"/>
  <c r="AH102" i="34"/>
  <c r="AA102" i="34"/>
  <c r="F102" i="34"/>
  <c r="Z109" i="34" s="1"/>
  <c r="E102" i="34"/>
  <c r="Y109" i="34" s="1"/>
  <c r="AH101" i="34"/>
  <c r="AA101" i="34"/>
  <c r="U100" i="34"/>
  <c r="BC60" i="34"/>
  <c r="BC59" i="34"/>
  <c r="F95" i="34"/>
  <c r="D95" i="34"/>
  <c r="S95" i="34" s="1"/>
  <c r="O30" i="36" s="1"/>
  <c r="BC58" i="34"/>
  <c r="U94" i="34"/>
  <c r="I91" i="34"/>
  <c r="H91" i="34"/>
  <c r="F94" i="34"/>
  <c r="U76" i="34" s="1"/>
  <c r="D94" i="34"/>
  <c r="BC57" i="34"/>
  <c r="E93" i="34"/>
  <c r="BC56" i="34"/>
  <c r="U92" i="34"/>
  <c r="E92" i="34"/>
  <c r="BC55" i="34"/>
  <c r="E91" i="34"/>
  <c r="BC54" i="34"/>
  <c r="BC53" i="34"/>
  <c r="BC52" i="34"/>
  <c r="U88" i="34"/>
  <c r="BC51" i="34"/>
  <c r="F87" i="34"/>
  <c r="D87" i="34"/>
  <c r="S93" i="34" s="1"/>
  <c r="O29" i="36" s="1"/>
  <c r="BC50" i="34"/>
  <c r="U86" i="34"/>
  <c r="I83" i="34"/>
  <c r="H83" i="34"/>
  <c r="F86" i="34"/>
  <c r="T76" i="34" s="1"/>
  <c r="D86" i="34"/>
  <c r="E86" i="34" s="1"/>
  <c r="BC49" i="34"/>
  <c r="X85" i="34"/>
  <c r="E85" i="34"/>
  <c r="BC48" i="34"/>
  <c r="E84" i="34"/>
  <c r="BC47" i="34"/>
  <c r="E83" i="34"/>
  <c r="E87" i="34" s="1"/>
  <c r="BC46" i="34"/>
  <c r="BC45" i="34"/>
  <c r="BC44" i="34"/>
  <c r="BC43" i="34"/>
  <c r="BC42" i="34"/>
  <c r="AH78" i="34"/>
  <c r="AA78" i="34"/>
  <c r="F78" i="34"/>
  <c r="Z85" i="34" s="1"/>
  <c r="E78" i="34"/>
  <c r="BC41" i="34"/>
  <c r="AH77" i="34"/>
  <c r="AA77" i="34"/>
  <c r="BC40" i="34"/>
  <c r="BC39" i="34"/>
  <c r="BC38" i="34"/>
  <c r="BC37" i="34"/>
  <c r="F71" i="34"/>
  <c r="D71" i="34"/>
  <c r="S71" i="34" s="1"/>
  <c r="O27" i="36" s="1"/>
  <c r="BC36" i="34"/>
  <c r="AV36" i="34"/>
  <c r="AW36" i="34" s="1"/>
  <c r="U70" i="34"/>
  <c r="I67" i="34"/>
  <c r="H67" i="34"/>
  <c r="F70" i="34"/>
  <c r="U52" i="34" s="1"/>
  <c r="D70" i="34"/>
  <c r="E70" i="34" s="1"/>
  <c r="BC35" i="34"/>
  <c r="AV35" i="34"/>
  <c r="E69" i="34"/>
  <c r="BC34" i="34"/>
  <c r="AV34" i="34"/>
  <c r="U68" i="34"/>
  <c r="E68" i="34"/>
  <c r="BC33" i="34"/>
  <c r="AV33" i="34"/>
  <c r="E67" i="34"/>
  <c r="BC32" i="34"/>
  <c r="AV32" i="34"/>
  <c r="AW32" i="34" s="1"/>
  <c r="BC31" i="34"/>
  <c r="AV31" i="34"/>
  <c r="AW31" i="34" s="1"/>
  <c r="BC30" i="34"/>
  <c r="AV30" i="34"/>
  <c r="U64" i="34"/>
  <c r="BC29" i="34"/>
  <c r="AV29" i="34"/>
  <c r="AW29" i="34" s="1"/>
  <c r="F63" i="34"/>
  <c r="D63" i="34"/>
  <c r="S69" i="34" s="1"/>
  <c r="O26" i="36" s="1"/>
  <c r="BC28" i="34"/>
  <c r="U62" i="34"/>
  <c r="I59" i="34"/>
  <c r="H59" i="34"/>
  <c r="F62" i="34"/>
  <c r="T52" i="34" s="1"/>
  <c r="D62" i="34"/>
  <c r="X61" i="34"/>
  <c r="E61" i="34"/>
  <c r="E60" i="34"/>
  <c r="E59" i="34"/>
  <c r="AH54" i="34"/>
  <c r="AA54" i="34"/>
  <c r="F54" i="34"/>
  <c r="Z61" i="34" s="1"/>
  <c r="E54" i="34"/>
  <c r="Y61" i="34" s="1"/>
  <c r="AH53" i="34"/>
  <c r="AA53" i="34"/>
  <c r="F47" i="34"/>
  <c r="D47" i="34"/>
  <c r="S47" i="34" s="1"/>
  <c r="O24" i="36" s="1"/>
  <c r="U46" i="34"/>
  <c r="I43" i="34"/>
  <c r="H43" i="34"/>
  <c r="F46" i="34"/>
  <c r="D46" i="34"/>
  <c r="E45" i="34"/>
  <c r="U44" i="34"/>
  <c r="E44" i="34"/>
  <c r="E43" i="34"/>
  <c r="U40" i="34"/>
  <c r="F39" i="34"/>
  <c r="D39" i="34"/>
  <c r="S45" i="34" s="1"/>
  <c r="O23" i="36" s="1"/>
  <c r="U38" i="34"/>
  <c r="I35" i="34"/>
  <c r="H35" i="34"/>
  <c r="F38" i="34"/>
  <c r="T28" i="34" s="1"/>
  <c r="D38" i="34"/>
  <c r="X37" i="34"/>
  <c r="E37" i="34"/>
  <c r="E36" i="34"/>
  <c r="E35" i="34"/>
  <c r="AH30" i="34"/>
  <c r="AA30" i="34"/>
  <c r="F30" i="34"/>
  <c r="E30" i="34"/>
  <c r="Y37" i="34" s="1"/>
  <c r="AH29" i="34"/>
  <c r="AA29" i="34"/>
  <c r="U28" i="34"/>
  <c r="F23" i="34"/>
  <c r="D23" i="34"/>
  <c r="S23" i="34" s="1"/>
  <c r="O21" i="36" s="1"/>
  <c r="S22" i="34"/>
  <c r="I19" i="34"/>
  <c r="H19" i="34"/>
  <c r="F22" i="34"/>
  <c r="U4" i="34" s="1"/>
  <c r="D22" i="34"/>
  <c r="E21" i="34"/>
  <c r="S20" i="34"/>
  <c r="E20" i="34"/>
  <c r="E19" i="34"/>
  <c r="AZ16" i="34"/>
  <c r="L28" i="36" s="1"/>
  <c r="U16" i="34"/>
  <c r="AZ13" i="34"/>
  <c r="L25" i="36" s="1"/>
  <c r="F15" i="34"/>
  <c r="D15" i="34"/>
  <c r="S21" i="34" s="1"/>
  <c r="O20" i="36" s="1"/>
  <c r="U14" i="34"/>
  <c r="I11" i="34"/>
  <c r="H11" i="34"/>
  <c r="F14" i="34"/>
  <c r="T4" i="34" s="1"/>
  <c r="D14" i="34"/>
  <c r="E14" i="34" s="1"/>
  <c r="H13" i="34" s="1"/>
  <c r="J13" i="34" s="1"/>
  <c r="X13" i="34"/>
  <c r="E13" i="34"/>
  <c r="AZ10" i="34"/>
  <c r="L22" i="36" s="1"/>
  <c r="E12" i="34"/>
  <c r="E11" i="34"/>
  <c r="AZ7" i="34"/>
  <c r="L19" i="36" s="1"/>
  <c r="AH6" i="34"/>
  <c r="AA6" i="34"/>
  <c r="F6" i="34"/>
  <c r="Z13" i="34" s="1"/>
  <c r="E6" i="34"/>
  <c r="Y13" i="34" s="1"/>
  <c r="AI5" i="34"/>
  <c r="AH5" i="34"/>
  <c r="AA5" i="34"/>
  <c r="F118" i="31"/>
  <c r="D118" i="31"/>
  <c r="S118" i="31" s="1"/>
  <c r="U117" i="31"/>
  <c r="I114" i="31"/>
  <c r="H114" i="31"/>
  <c r="F117" i="31"/>
  <c r="W99" i="31" s="1"/>
  <c r="D117" i="31"/>
  <c r="E117" i="31" s="1"/>
  <c r="H116" i="31" s="1"/>
  <c r="J116" i="31" s="1"/>
  <c r="E116" i="31"/>
  <c r="S115" i="31"/>
  <c r="U115" i="31" s="1"/>
  <c r="E115" i="31"/>
  <c r="M114" i="31"/>
  <c r="E114" i="31"/>
  <c r="U111" i="31"/>
  <c r="F110" i="31"/>
  <c r="D110" i="31"/>
  <c r="S116" i="31" s="1"/>
  <c r="U109" i="31"/>
  <c r="I106" i="31"/>
  <c r="H106" i="31"/>
  <c r="F109" i="31"/>
  <c r="V99" i="31" s="1"/>
  <c r="D109" i="31"/>
  <c r="X108" i="31"/>
  <c r="E108" i="31"/>
  <c r="E107" i="31"/>
  <c r="E106" i="31"/>
  <c r="AI101" i="31"/>
  <c r="AB101" i="31"/>
  <c r="F101" i="31"/>
  <c r="Z108" i="31" s="1"/>
  <c r="E101" i="31"/>
  <c r="AI100" i="31"/>
  <c r="AB100" i="31"/>
  <c r="F94" i="31"/>
  <c r="D94" i="31"/>
  <c r="S94" i="31" s="1"/>
  <c r="O14" i="36" s="1"/>
  <c r="U93" i="31"/>
  <c r="AH77" i="31" s="1"/>
  <c r="AN77" i="31" s="1"/>
  <c r="I90" i="31"/>
  <c r="H90" i="31"/>
  <c r="F93" i="31"/>
  <c r="W75" i="31" s="1"/>
  <c r="D93" i="31"/>
  <c r="E93" i="31" s="1"/>
  <c r="AF77" i="31" s="1"/>
  <c r="AL77" i="31" s="1"/>
  <c r="AT17" i="31" s="1"/>
  <c r="D14" i="36" s="1"/>
  <c r="E92" i="31"/>
  <c r="S91" i="31"/>
  <c r="E91" i="31"/>
  <c r="E90" i="31"/>
  <c r="U87" i="31"/>
  <c r="F86" i="31"/>
  <c r="D86" i="31"/>
  <c r="S92" i="31" s="1"/>
  <c r="O13" i="36" s="1"/>
  <c r="U85" i="31"/>
  <c r="I82" i="31"/>
  <c r="H82" i="31"/>
  <c r="F85" i="31"/>
  <c r="V75" i="31" s="1"/>
  <c r="AJ76" i="31" s="1"/>
  <c r="D85" i="31"/>
  <c r="E85" i="31" s="1"/>
  <c r="X84" i="31"/>
  <c r="E84" i="31"/>
  <c r="E83" i="31"/>
  <c r="E82" i="31"/>
  <c r="AI77" i="31"/>
  <c r="AB77" i="31"/>
  <c r="F77" i="31"/>
  <c r="Z84" i="31" s="1"/>
  <c r="E77" i="31"/>
  <c r="AB76" i="31"/>
  <c r="F70" i="31"/>
  <c r="D70" i="31"/>
  <c r="S70" i="31" s="1"/>
  <c r="O11" i="36" s="1"/>
  <c r="U69" i="31"/>
  <c r="AH53" i="31" s="1"/>
  <c r="I66" i="31"/>
  <c r="H66" i="31"/>
  <c r="F69" i="31"/>
  <c r="W51" i="31" s="1"/>
  <c r="D69" i="31"/>
  <c r="E68" i="31"/>
  <c r="S67" i="31"/>
  <c r="E67" i="31"/>
  <c r="E66" i="31"/>
  <c r="U63" i="31"/>
  <c r="F62" i="31"/>
  <c r="D62" i="31"/>
  <c r="S68" i="31" s="1"/>
  <c r="O10" i="36" s="1"/>
  <c r="U61" i="31"/>
  <c r="I58" i="31"/>
  <c r="H58" i="31"/>
  <c r="F61" i="31"/>
  <c r="V51" i="31" s="1"/>
  <c r="D61" i="31"/>
  <c r="E61" i="31" s="1"/>
  <c r="X60" i="31"/>
  <c r="E60" i="31"/>
  <c r="E59" i="31"/>
  <c r="E58" i="31"/>
  <c r="AI53" i="31"/>
  <c r="AB53" i="31"/>
  <c r="F53" i="31"/>
  <c r="Z60" i="31" s="1"/>
  <c r="E53" i="31"/>
  <c r="AI52" i="31"/>
  <c r="AB52" i="31"/>
  <c r="F46" i="31"/>
  <c r="D46" i="31"/>
  <c r="S46" i="31" s="1"/>
  <c r="O8" i="36" s="1"/>
  <c r="U45" i="31"/>
  <c r="I42" i="31"/>
  <c r="H42" i="31"/>
  <c r="F45" i="31"/>
  <c r="W27" i="31" s="1"/>
  <c r="D45" i="31"/>
  <c r="E45" i="31" s="1"/>
  <c r="H44" i="31" s="1"/>
  <c r="J44" i="31" s="1"/>
  <c r="E44" i="31"/>
  <c r="S43" i="31"/>
  <c r="E43" i="31"/>
  <c r="E42" i="31"/>
  <c r="U39" i="31"/>
  <c r="F38" i="31"/>
  <c r="D38" i="31"/>
  <c r="S44" i="31" s="1"/>
  <c r="O7" i="36" s="1"/>
  <c r="I34" i="31"/>
  <c r="H34" i="31"/>
  <c r="F37" i="31"/>
  <c r="V27" i="31" s="1"/>
  <c r="D37" i="31"/>
  <c r="X36" i="31"/>
  <c r="E36" i="31"/>
  <c r="E35" i="31"/>
  <c r="E34" i="31"/>
  <c r="AI29" i="31"/>
  <c r="F29" i="31"/>
  <c r="E29" i="31"/>
  <c r="Y36" i="31" s="1"/>
  <c r="AI28" i="31"/>
  <c r="F22" i="31"/>
  <c r="D22" i="31"/>
  <c r="S22" i="31" s="1"/>
  <c r="O5" i="36" s="1"/>
  <c r="U21" i="31"/>
  <c r="I20" i="31"/>
  <c r="H20" i="31"/>
  <c r="F21" i="31"/>
  <c r="W3" i="31" s="1"/>
  <c r="D21" i="31"/>
  <c r="E20" i="31"/>
  <c r="U19" i="31"/>
  <c r="AH4" i="31" s="1"/>
  <c r="E19" i="31"/>
  <c r="E18" i="31"/>
  <c r="BA15" i="31"/>
  <c r="L12" i="36" s="1"/>
  <c r="U15" i="31"/>
  <c r="BA12" i="31"/>
  <c r="L9" i="36" s="1"/>
  <c r="F14" i="31"/>
  <c r="D14" i="31"/>
  <c r="S20" i="31" s="1"/>
  <c r="O4" i="36" s="1"/>
  <c r="I12" i="31"/>
  <c r="F13" i="31"/>
  <c r="V3" i="31" s="1"/>
  <c r="D13" i="31"/>
  <c r="X12" i="31"/>
  <c r="E12" i="31"/>
  <c r="BA9" i="31"/>
  <c r="L6" i="36" s="1"/>
  <c r="E11" i="31"/>
  <c r="E10" i="31"/>
  <c r="AI5" i="31"/>
  <c r="AB5" i="31"/>
  <c r="F5" i="31"/>
  <c r="Z12" i="31" s="1"/>
  <c r="E5" i="31"/>
  <c r="AI4" i="31"/>
  <c r="AB4" i="31"/>
  <c r="F23" i="30"/>
  <c r="G23" i="30" s="1"/>
  <c r="T22" i="30"/>
  <c r="U22" i="30" s="1"/>
  <c r="M22" i="30"/>
  <c r="N22" i="30" s="1"/>
  <c r="F22" i="30"/>
  <c r="G22" i="30" s="1"/>
  <c r="T21" i="30"/>
  <c r="U21" i="30" s="1"/>
  <c r="M21" i="30"/>
  <c r="N21" i="30" s="1"/>
  <c r="F21" i="30"/>
  <c r="G21" i="30" s="1"/>
  <c r="T20" i="30"/>
  <c r="U20" i="30" s="1"/>
  <c r="V20" i="30" s="1"/>
  <c r="M20" i="30"/>
  <c r="N20" i="30" s="1"/>
  <c r="F20" i="30"/>
  <c r="G20" i="30" s="1"/>
  <c r="T19" i="30"/>
  <c r="U19" i="30" s="1"/>
  <c r="M19" i="30"/>
  <c r="N19" i="30" s="1"/>
  <c r="F19" i="30"/>
  <c r="G19" i="30" s="1"/>
  <c r="T18" i="30"/>
  <c r="U18" i="30" s="1"/>
  <c r="M18" i="30"/>
  <c r="N18" i="30" s="1"/>
  <c r="F18" i="30"/>
  <c r="G18" i="30" s="1"/>
  <c r="T17" i="30"/>
  <c r="U17" i="30" s="1"/>
  <c r="M17" i="30"/>
  <c r="N17" i="30" s="1"/>
  <c r="F17" i="30"/>
  <c r="G17" i="30" s="1"/>
  <c r="T16" i="30"/>
  <c r="U16" i="30" s="1"/>
  <c r="V16" i="30" s="1"/>
  <c r="M16" i="30"/>
  <c r="N16" i="30" s="1"/>
  <c r="F16" i="30"/>
  <c r="G16" i="30" s="1"/>
  <c r="T15" i="30"/>
  <c r="U15" i="30" s="1"/>
  <c r="M15" i="30"/>
  <c r="N15" i="30" s="1"/>
  <c r="O15" i="30" s="1"/>
  <c r="F15" i="30"/>
  <c r="G15" i="30" s="1"/>
  <c r="T14" i="30"/>
  <c r="U14" i="30" s="1"/>
  <c r="M14" i="30"/>
  <c r="N14" i="30" s="1"/>
  <c r="F14" i="30"/>
  <c r="G14" i="30" s="1"/>
  <c r="T13" i="30"/>
  <c r="U13" i="30" s="1"/>
  <c r="M13" i="30"/>
  <c r="N13" i="30" s="1"/>
  <c r="F13" i="30"/>
  <c r="G13" i="30" s="1"/>
  <c r="T12" i="30"/>
  <c r="U12" i="30" s="1"/>
  <c r="V12" i="30" s="1"/>
  <c r="M12" i="30"/>
  <c r="N12" i="30" s="1"/>
  <c r="F12" i="30"/>
  <c r="G12" i="30" s="1"/>
  <c r="T11" i="30"/>
  <c r="U11" i="30" s="1"/>
  <c r="M11" i="30"/>
  <c r="N11" i="30" s="1"/>
  <c r="F11" i="30"/>
  <c r="G11" i="30" s="1"/>
  <c r="T10" i="30"/>
  <c r="U10" i="30" s="1"/>
  <c r="M10" i="30"/>
  <c r="N10" i="30" s="1"/>
  <c r="F10" i="30"/>
  <c r="G10" i="30" s="1"/>
  <c r="T9" i="30"/>
  <c r="U9" i="30" s="1"/>
  <c r="M9" i="30"/>
  <c r="N9" i="30" s="1"/>
  <c r="F9" i="30"/>
  <c r="G9" i="30" s="1"/>
  <c r="T8" i="30"/>
  <c r="U8" i="30" s="1"/>
  <c r="M8" i="30"/>
  <c r="N8" i="30" s="1"/>
  <c r="F8" i="30"/>
  <c r="G8" i="30" s="1"/>
  <c r="T7" i="30"/>
  <c r="U7" i="30" s="1"/>
  <c r="M7" i="30"/>
  <c r="N7" i="30" s="1"/>
  <c r="F7" i="30"/>
  <c r="G7" i="30" s="1"/>
  <c r="H7" i="30" s="1"/>
  <c r="T6" i="30"/>
  <c r="U6" i="30" s="1"/>
  <c r="M6" i="30"/>
  <c r="N6" i="30" s="1"/>
  <c r="F6" i="30"/>
  <c r="G6" i="30" s="1"/>
  <c r="H4" i="30" s="1"/>
  <c r="T5" i="30"/>
  <c r="U5" i="30" s="1"/>
  <c r="M5" i="30"/>
  <c r="N5" i="30" s="1"/>
  <c r="F5" i="30"/>
  <c r="G5" i="30" s="1"/>
  <c r="T4" i="30"/>
  <c r="U4" i="30" s="1"/>
  <c r="V4" i="30" s="1"/>
  <c r="M4" i="30"/>
  <c r="N4" i="30" s="1"/>
  <c r="F4" i="30"/>
  <c r="G4" i="30" s="1"/>
  <c r="T3" i="30"/>
  <c r="U3" i="30" s="1"/>
  <c r="M3" i="30"/>
  <c r="N3" i="30" s="1"/>
  <c r="F3" i="30"/>
  <c r="G3" i="30" s="1"/>
  <c r="I3" i="30" s="1"/>
  <c r="R33" i="20"/>
  <c r="Q33" i="20"/>
  <c r="P33" i="20"/>
  <c r="O33" i="20"/>
  <c r="L33" i="20"/>
  <c r="K33" i="20"/>
  <c r="J33" i="20"/>
  <c r="I33" i="20"/>
  <c r="F33" i="20"/>
  <c r="E33" i="20"/>
  <c r="D33" i="20"/>
  <c r="C33" i="20"/>
  <c r="AB8" i="20"/>
  <c r="AA8" i="20"/>
  <c r="Z8" i="20"/>
  <c r="Y8" i="20"/>
  <c r="U8" i="20"/>
  <c r="T8" i="20"/>
  <c r="S8" i="20"/>
  <c r="R8" i="20"/>
  <c r="N8" i="20"/>
  <c r="M8" i="20"/>
  <c r="L8" i="20"/>
  <c r="K8" i="20"/>
  <c r="H8" i="20"/>
  <c r="G8" i="20"/>
  <c r="F8" i="20"/>
  <c r="E8" i="20"/>
  <c r="D8" i="20"/>
  <c r="R32" i="20"/>
  <c r="Q32" i="20"/>
  <c r="P32" i="20"/>
  <c r="O32" i="20"/>
  <c r="L32" i="20"/>
  <c r="K32" i="20"/>
  <c r="J32" i="20"/>
  <c r="I32" i="20"/>
  <c r="F32" i="20"/>
  <c r="E32" i="20"/>
  <c r="D32" i="20"/>
  <c r="C32" i="20"/>
  <c r="AB7" i="20"/>
  <c r="AA7" i="20"/>
  <c r="Z7" i="20"/>
  <c r="Y7" i="20"/>
  <c r="U7" i="20"/>
  <c r="T7" i="20"/>
  <c r="S7" i="20"/>
  <c r="R7" i="20"/>
  <c r="N7" i="20"/>
  <c r="M7" i="20"/>
  <c r="L7" i="20"/>
  <c r="K7" i="20"/>
  <c r="H7" i="20"/>
  <c r="G7" i="20"/>
  <c r="F7" i="20"/>
  <c r="E7" i="20"/>
  <c r="D7" i="20"/>
  <c r="G33" i="20" l="1"/>
  <c r="M33" i="20"/>
  <c r="S33" i="20"/>
  <c r="E62" i="35"/>
  <c r="AI5" i="35"/>
  <c r="U21" i="35"/>
  <c r="AG5" i="35" s="1"/>
  <c r="AM5" i="35" s="1"/>
  <c r="N37" i="36"/>
  <c r="E86" i="35"/>
  <c r="AI29" i="35"/>
  <c r="AI77" i="34"/>
  <c r="E111" i="34"/>
  <c r="AI54" i="34"/>
  <c r="AI78" i="34"/>
  <c r="E119" i="34"/>
  <c r="AI6" i="34"/>
  <c r="U20" i="34"/>
  <c r="AG5" i="34" s="1"/>
  <c r="N20" i="36"/>
  <c r="U22" i="34"/>
  <c r="AG6" i="34" s="1"/>
  <c r="AM6" i="34" s="1"/>
  <c r="N21" i="36"/>
  <c r="E47" i="34"/>
  <c r="E63" i="34"/>
  <c r="E118" i="31"/>
  <c r="G5" i="31"/>
  <c r="J5" i="31" s="1"/>
  <c r="T11" i="31" s="1"/>
  <c r="AJ4" i="31"/>
  <c r="E21" i="31"/>
  <c r="M18" i="31" s="1"/>
  <c r="T15" i="31" s="1"/>
  <c r="AJ77" i="31"/>
  <c r="AJ52" i="31"/>
  <c r="AJ53" i="31"/>
  <c r="V15" i="30"/>
  <c r="H11" i="30"/>
  <c r="H16" i="30"/>
  <c r="H19" i="30"/>
  <c r="V19" i="30"/>
  <c r="H3" i="30"/>
  <c r="V7" i="30"/>
  <c r="O12" i="30"/>
  <c r="Z3" i="31"/>
  <c r="E13" i="31"/>
  <c r="AE4" i="31" s="1"/>
  <c r="G29" i="31"/>
  <c r="J29" i="31" s="1"/>
  <c r="AJ28" i="31"/>
  <c r="U43" i="31"/>
  <c r="AH28" i="31" s="1"/>
  <c r="AN28" i="31" s="1"/>
  <c r="N7" i="36"/>
  <c r="U67" i="31"/>
  <c r="AH52" i="31" s="1"/>
  <c r="AH54" i="31" s="1"/>
  <c r="AN54" i="31" s="1"/>
  <c r="N10" i="36"/>
  <c r="K116" i="31"/>
  <c r="AJ5" i="31"/>
  <c r="AJ100" i="31"/>
  <c r="AJ29" i="31"/>
  <c r="U91" i="31"/>
  <c r="N13" i="36"/>
  <c r="X37" i="35"/>
  <c r="AI77" i="35"/>
  <c r="H60" i="31"/>
  <c r="J60" i="31" s="1"/>
  <c r="M58" i="31"/>
  <c r="T61" i="31" s="1"/>
  <c r="X61" i="31" s="1"/>
  <c r="AI53" i="34"/>
  <c r="E71" i="34"/>
  <c r="Z62" i="34"/>
  <c r="AG53" i="34"/>
  <c r="AM53" i="34" s="1"/>
  <c r="AW35" i="34"/>
  <c r="AD102" i="34"/>
  <c r="AJ102" i="34" s="1"/>
  <c r="E46" i="35"/>
  <c r="AI101" i="35"/>
  <c r="M11" i="34"/>
  <c r="T14" i="34" s="1"/>
  <c r="X14" i="34" s="1"/>
  <c r="X16" i="34" s="1"/>
  <c r="AW34" i="34"/>
  <c r="E93" i="35"/>
  <c r="M90" i="35" s="1"/>
  <c r="AE52" i="35"/>
  <c r="AK52" i="35" s="1"/>
  <c r="AS13" i="35" s="1"/>
  <c r="D42" i="36" s="1"/>
  <c r="H8" i="30"/>
  <c r="E14" i="31"/>
  <c r="H84" i="31"/>
  <c r="M82" i="31"/>
  <c r="T85" i="31" s="1"/>
  <c r="X85" i="31" s="1"/>
  <c r="X86" i="31" s="1"/>
  <c r="Z14" i="34"/>
  <c r="O11" i="30"/>
  <c r="E46" i="34"/>
  <c r="M43" i="34" s="1"/>
  <c r="T40" i="34" s="1"/>
  <c r="AW30" i="34"/>
  <c r="AH100" i="31"/>
  <c r="AN100" i="31" s="1"/>
  <c r="Z109" i="31"/>
  <c r="AJ101" i="31"/>
  <c r="E22" i="34"/>
  <c r="H21" i="34" s="1"/>
  <c r="Z37" i="34"/>
  <c r="AA37" i="34" s="1"/>
  <c r="AG28" i="34" s="1"/>
  <c r="AM28" i="34" s="1"/>
  <c r="G30" i="34"/>
  <c r="N30" i="34" s="1"/>
  <c r="Y28" i="34" s="1"/>
  <c r="Y36" i="35"/>
  <c r="AA36" i="35" s="1"/>
  <c r="AG27" i="35" s="1"/>
  <c r="AM27" i="35" s="1"/>
  <c r="G29" i="35"/>
  <c r="N29" i="35" s="1"/>
  <c r="Y27" i="35" s="1"/>
  <c r="H36" i="35"/>
  <c r="J36" i="35" s="1"/>
  <c r="J34" i="35" s="1"/>
  <c r="K34" i="35" s="1"/>
  <c r="E46" i="31"/>
  <c r="E14" i="35"/>
  <c r="AV28" i="35"/>
  <c r="H12" i="30"/>
  <c r="K5" i="31"/>
  <c r="E38" i="31"/>
  <c r="E15" i="34"/>
  <c r="AI101" i="34"/>
  <c r="E22" i="35"/>
  <c r="AI29" i="34"/>
  <c r="O8" i="30"/>
  <c r="V11" i="30"/>
  <c r="E62" i="31"/>
  <c r="E94" i="31"/>
  <c r="AI30" i="34"/>
  <c r="AW33" i="34"/>
  <c r="E95" i="34"/>
  <c r="Z111" i="34"/>
  <c r="Z110" i="34"/>
  <c r="AV27" i="35"/>
  <c r="AV33" i="35"/>
  <c r="E94" i="35"/>
  <c r="G101" i="35"/>
  <c r="N101" i="35" s="1"/>
  <c r="Y99" i="35" s="1"/>
  <c r="E110" i="35"/>
  <c r="E118" i="35"/>
  <c r="V8" i="30"/>
  <c r="V3" i="30"/>
  <c r="M114" i="35"/>
  <c r="H116" i="35"/>
  <c r="E37" i="31"/>
  <c r="M34" i="31" s="1"/>
  <c r="O16" i="30"/>
  <c r="Y12" i="31"/>
  <c r="Z13" i="31"/>
  <c r="E22" i="31"/>
  <c r="J84" i="31"/>
  <c r="K84" i="31" s="1"/>
  <c r="Z38" i="34"/>
  <c r="AG29" i="34"/>
  <c r="J42" i="31"/>
  <c r="K42" i="31" s="1"/>
  <c r="W42" i="31" s="1"/>
  <c r="N42" i="31"/>
  <c r="S39" i="31" s="1"/>
  <c r="Z38" i="31"/>
  <c r="AH29" i="31"/>
  <c r="Z62" i="31"/>
  <c r="E70" i="31"/>
  <c r="E69" i="31"/>
  <c r="M66" i="31" s="1"/>
  <c r="Y84" i="31"/>
  <c r="G77" i="31"/>
  <c r="M90" i="31"/>
  <c r="AE77" i="31"/>
  <c r="H92" i="31"/>
  <c r="AA3" i="31"/>
  <c r="Z14" i="31"/>
  <c r="AH5" i="31"/>
  <c r="AF52" i="31"/>
  <c r="AN53" i="31"/>
  <c r="T111" i="31"/>
  <c r="J114" i="31"/>
  <c r="K114" i="31" s="1"/>
  <c r="W114" i="31" s="1"/>
  <c r="N114" i="31"/>
  <c r="S111" i="31" s="1"/>
  <c r="J11" i="34"/>
  <c r="K11" i="34" s="1"/>
  <c r="N11" i="34"/>
  <c r="S14" i="34" s="1"/>
  <c r="Y14" i="34" s="1"/>
  <c r="AN4" i="31"/>
  <c r="M42" i="31"/>
  <c r="G53" i="31"/>
  <c r="J53" i="31" s="1"/>
  <c r="Y60" i="31"/>
  <c r="AA60" i="31" s="1"/>
  <c r="AH51" i="31" s="1"/>
  <c r="AN51" i="31" s="1"/>
  <c r="Z110" i="31"/>
  <c r="AH101" i="31"/>
  <c r="AA13" i="34"/>
  <c r="AG4" i="34" s="1"/>
  <c r="AM4" i="34" s="1"/>
  <c r="M19" i="34"/>
  <c r="E39" i="34"/>
  <c r="E38" i="34"/>
  <c r="M35" i="34" s="1"/>
  <c r="AG30" i="34"/>
  <c r="Z39" i="34"/>
  <c r="H85" i="34"/>
  <c r="M83" i="34"/>
  <c r="Z36" i="31"/>
  <c r="AA36" i="31" s="1"/>
  <c r="AH27" i="31" s="1"/>
  <c r="AN27" i="31" s="1"/>
  <c r="Z86" i="31"/>
  <c r="E23" i="34"/>
  <c r="E62" i="34"/>
  <c r="H61" i="34" s="1"/>
  <c r="H69" i="34"/>
  <c r="M67" i="34"/>
  <c r="Z63" i="34"/>
  <c r="AG54" i="34"/>
  <c r="E86" i="31"/>
  <c r="E110" i="31"/>
  <c r="E109" i="31"/>
  <c r="M106" i="31" s="1"/>
  <c r="K13" i="34"/>
  <c r="Z15" i="34"/>
  <c r="Z16" i="34" s="1"/>
  <c r="T36" i="34"/>
  <c r="AA61" i="34"/>
  <c r="AG52" i="34" s="1"/>
  <c r="AM52" i="34" s="1"/>
  <c r="Z86" i="34"/>
  <c r="AG77" i="34"/>
  <c r="E94" i="34"/>
  <c r="M91" i="34" s="1"/>
  <c r="X38" i="35"/>
  <c r="G101" i="31"/>
  <c r="J101" i="31" s="1"/>
  <c r="Y108" i="31"/>
  <c r="AA108" i="31" s="1"/>
  <c r="AH99" i="31" s="1"/>
  <c r="AN99" i="31" s="1"/>
  <c r="G6" i="34"/>
  <c r="N6" i="34" s="1"/>
  <c r="G54" i="34"/>
  <c r="N54" i="34" s="1"/>
  <c r="Z87" i="34"/>
  <c r="AG78" i="34"/>
  <c r="E13" i="35"/>
  <c r="M10" i="35" s="1"/>
  <c r="Y85" i="34"/>
  <c r="G78" i="34"/>
  <c r="M115" i="34"/>
  <c r="H117" i="34"/>
  <c r="E21" i="35"/>
  <c r="H20" i="35" s="1"/>
  <c r="AI102" i="34"/>
  <c r="AG103" i="34"/>
  <c r="AM103" i="34" s="1"/>
  <c r="AM101" i="34"/>
  <c r="AE101" i="34"/>
  <c r="AD101" i="34"/>
  <c r="AA109" i="34"/>
  <c r="AG100" i="34" s="1"/>
  <c r="AM100" i="34" s="1"/>
  <c r="T110" i="34"/>
  <c r="X110" i="34" s="1"/>
  <c r="AM102" i="34"/>
  <c r="AE102" i="34"/>
  <c r="AK102" i="34" s="1"/>
  <c r="AG6" i="35"/>
  <c r="AM6" i="35" s="1"/>
  <c r="AM4" i="35"/>
  <c r="AD4" i="35"/>
  <c r="AA12" i="35"/>
  <c r="AG3" i="35" s="1"/>
  <c r="AM3" i="35" s="1"/>
  <c r="Z14" i="35"/>
  <c r="Z15" i="35" s="1"/>
  <c r="AM29" i="35"/>
  <c r="AE29" i="35"/>
  <c r="AK29" i="35" s="1"/>
  <c r="AS11" i="35" s="1"/>
  <c r="D40" i="36" s="1"/>
  <c r="AD29" i="35"/>
  <c r="AJ29" i="35" s="1"/>
  <c r="AU11" i="35" s="1"/>
  <c r="F40" i="36" s="1"/>
  <c r="N34" i="35"/>
  <c r="Z37" i="35"/>
  <c r="AG28" i="35"/>
  <c r="AG76" i="35"/>
  <c r="Z85" i="35"/>
  <c r="Z86" i="35"/>
  <c r="AG77" i="35"/>
  <c r="AD77" i="35" s="1"/>
  <c r="G102" i="34"/>
  <c r="N102" i="34" s="1"/>
  <c r="H109" i="34"/>
  <c r="G5" i="35"/>
  <c r="N5" i="35" s="1"/>
  <c r="G53" i="35"/>
  <c r="N53" i="35" s="1"/>
  <c r="M58" i="35"/>
  <c r="H60" i="35"/>
  <c r="E70" i="35"/>
  <c r="E85" i="35"/>
  <c r="M82" i="35" s="1"/>
  <c r="T107" i="35"/>
  <c r="Z108" i="35"/>
  <c r="AA108" i="35" s="1"/>
  <c r="AG99" i="35" s="1"/>
  <c r="Z109" i="35"/>
  <c r="AG100" i="35"/>
  <c r="AD101" i="35"/>
  <c r="AM101" i="35"/>
  <c r="AE101" i="35"/>
  <c r="AK101" i="35" s="1"/>
  <c r="Z61" i="35"/>
  <c r="E69" i="35"/>
  <c r="M66" i="35" s="1"/>
  <c r="G77" i="35"/>
  <c r="Y84" i="35"/>
  <c r="T87" i="35"/>
  <c r="T109" i="35"/>
  <c r="X109" i="35" s="1"/>
  <c r="H44" i="35"/>
  <c r="Z62" i="35"/>
  <c r="AG53" i="35"/>
  <c r="AG54" i="35" s="1"/>
  <c r="AM54" i="35" s="1"/>
  <c r="AA84" i="35"/>
  <c r="AG75" i="35" s="1"/>
  <c r="AM75" i="35" s="1"/>
  <c r="Z110" i="35"/>
  <c r="AD52" i="35"/>
  <c r="Y60" i="35"/>
  <c r="AA60" i="35" s="1"/>
  <c r="AG51" i="35" s="1"/>
  <c r="AM51" i="35" s="1"/>
  <c r="H108" i="35"/>
  <c r="AA14" i="34" l="1"/>
  <c r="J69" i="34"/>
  <c r="K69" i="34" s="1"/>
  <c r="J117" i="34"/>
  <c r="J115" i="34" s="1"/>
  <c r="K115" i="34" s="1"/>
  <c r="K117" i="34"/>
  <c r="Z64" i="34"/>
  <c r="J21" i="34"/>
  <c r="K21" i="34"/>
  <c r="AW37" i="34"/>
  <c r="Z87" i="35"/>
  <c r="J116" i="35"/>
  <c r="K116" i="35" s="1"/>
  <c r="AD27" i="35"/>
  <c r="AF52" i="35"/>
  <c r="J44" i="35"/>
  <c r="J42" i="35" s="1"/>
  <c r="K42" i="35" s="1"/>
  <c r="J20" i="35"/>
  <c r="K20" i="35" s="1"/>
  <c r="AD76" i="35"/>
  <c r="K36" i="35"/>
  <c r="H92" i="35"/>
  <c r="T35" i="35"/>
  <c r="H45" i="34"/>
  <c r="AF101" i="34"/>
  <c r="Z112" i="34"/>
  <c r="AD28" i="34"/>
  <c r="AJ28" i="34" s="1"/>
  <c r="AU10" i="34" s="1"/>
  <c r="F22" i="36" s="1"/>
  <c r="M10" i="31"/>
  <c r="H10" i="31"/>
  <c r="H18" i="31"/>
  <c r="J18" i="31" s="1"/>
  <c r="T13" i="31"/>
  <c r="X13" i="31" s="1"/>
  <c r="X14" i="31" s="1"/>
  <c r="X15" i="31" s="1"/>
  <c r="AH102" i="31"/>
  <c r="AN102" i="31" s="1"/>
  <c r="AE52" i="31"/>
  <c r="AG52" i="31" s="1"/>
  <c r="AM52" i="31" s="1"/>
  <c r="S11" i="31"/>
  <c r="L5" i="31"/>
  <c r="U11" i="31" s="1"/>
  <c r="AF4" i="31"/>
  <c r="AL4" i="31" s="1"/>
  <c r="AT7" i="31" s="1"/>
  <c r="Z37" i="31"/>
  <c r="Z39" i="31" s="1"/>
  <c r="T35" i="31"/>
  <c r="Z27" i="31"/>
  <c r="AE27" i="31" s="1"/>
  <c r="AE53" i="31"/>
  <c r="AK53" i="31" s="1"/>
  <c r="AV14" i="31" s="1"/>
  <c r="F11" i="36" s="1"/>
  <c r="AF53" i="31"/>
  <c r="AL53" i="31" s="1"/>
  <c r="AT14" i="31" s="1"/>
  <c r="D11" i="36" s="1"/>
  <c r="AN52" i="31"/>
  <c r="AF100" i="31"/>
  <c r="AF102" i="31" s="1"/>
  <c r="Z111" i="31"/>
  <c r="K29" i="31"/>
  <c r="S35" i="31" s="1"/>
  <c r="J92" i="31"/>
  <c r="K92" i="31" s="1"/>
  <c r="Z61" i="31"/>
  <c r="Z63" i="31" s="1"/>
  <c r="Z85" i="31"/>
  <c r="Z87" i="31" s="1"/>
  <c r="AH76" i="31"/>
  <c r="H36" i="31"/>
  <c r="H40" i="36"/>
  <c r="D4" i="36"/>
  <c r="X62" i="31"/>
  <c r="X63" i="31" s="1"/>
  <c r="N19" i="34"/>
  <c r="S16" i="34" s="1"/>
  <c r="J19" i="34"/>
  <c r="K19" i="34" s="1"/>
  <c r="AG7" i="34"/>
  <c r="AM7" i="34" s="1"/>
  <c r="AM5" i="34"/>
  <c r="AE5" i="34"/>
  <c r="AD5" i="34"/>
  <c r="AJ5" i="34" s="1"/>
  <c r="AU8" i="34" s="1"/>
  <c r="F20" i="36" s="1"/>
  <c r="O53" i="35"/>
  <c r="Z51" i="35" s="1"/>
  <c r="AE51" i="35" s="1"/>
  <c r="O29" i="35"/>
  <c r="S35" i="35" s="1"/>
  <c r="O102" i="34"/>
  <c r="S108" i="34" s="1"/>
  <c r="O30" i="34"/>
  <c r="P30" i="34" s="1"/>
  <c r="AG55" i="34"/>
  <c r="AM55" i="34" s="1"/>
  <c r="H108" i="31"/>
  <c r="J108" i="31" s="1"/>
  <c r="AD6" i="34"/>
  <c r="AJ6" i="34" s="1"/>
  <c r="AU9" i="34" s="1"/>
  <c r="F21" i="36" s="1"/>
  <c r="O114" i="31"/>
  <c r="Z88" i="34"/>
  <c r="O11" i="34"/>
  <c r="O101" i="35"/>
  <c r="Z99" i="35" s="1"/>
  <c r="AE99" i="35" s="1"/>
  <c r="AE6" i="34"/>
  <c r="AK6" i="34" s="1"/>
  <c r="AS9" i="34" s="1"/>
  <c r="D21" i="36" s="1"/>
  <c r="N18" i="35"/>
  <c r="S15" i="35" s="1"/>
  <c r="J61" i="34"/>
  <c r="AM99" i="35"/>
  <c r="AD99" i="35"/>
  <c r="J108" i="35"/>
  <c r="AJ52" i="35"/>
  <c r="AU13" i="35" s="1"/>
  <c r="F42" i="36" s="1"/>
  <c r="AD53" i="35"/>
  <c r="AJ53" i="35" s="1"/>
  <c r="AU14" i="35" s="1"/>
  <c r="F43" i="36" s="1"/>
  <c r="AM53" i="35"/>
  <c r="AE53" i="35"/>
  <c r="N42" i="35"/>
  <c r="N77" i="35"/>
  <c r="Y75" i="35" s="1"/>
  <c r="AD75" i="35" s="1"/>
  <c r="O77" i="35"/>
  <c r="Z27" i="35"/>
  <c r="AE27" i="35" s="1"/>
  <c r="AG102" i="35"/>
  <c r="AM102" i="35" s="1"/>
  <c r="AD100" i="35"/>
  <c r="AM100" i="35"/>
  <c r="AE100" i="35"/>
  <c r="T59" i="35"/>
  <c r="Y51" i="35"/>
  <c r="AD51" i="35" s="1"/>
  <c r="AJ27" i="35"/>
  <c r="AU9" i="35" s="1"/>
  <c r="F38" i="36" s="1"/>
  <c r="J109" i="34"/>
  <c r="AJ77" i="35"/>
  <c r="AU17" i="35" s="1"/>
  <c r="F46" i="36" s="1"/>
  <c r="AE77" i="35"/>
  <c r="AM77" i="35"/>
  <c r="AE4" i="35"/>
  <c r="AJ101" i="34"/>
  <c r="AD103" i="34"/>
  <c r="O54" i="34"/>
  <c r="AD78" i="34"/>
  <c r="AJ78" i="34" s="1"/>
  <c r="AU18" i="34" s="1"/>
  <c r="F30" i="36" s="1"/>
  <c r="AE78" i="34"/>
  <c r="AK78" i="34" s="1"/>
  <c r="AS18" i="34" s="1"/>
  <c r="D30" i="36" s="1"/>
  <c r="AM78" i="34"/>
  <c r="T109" i="31"/>
  <c r="X109" i="31" s="1"/>
  <c r="T64" i="34"/>
  <c r="T86" i="34"/>
  <c r="X86" i="34" s="1"/>
  <c r="AM30" i="34"/>
  <c r="AE30" i="34"/>
  <c r="AK30" i="34" s="1"/>
  <c r="AS12" i="34" s="1"/>
  <c r="D24" i="36" s="1"/>
  <c r="AD30" i="34"/>
  <c r="AJ30" i="34" s="1"/>
  <c r="AU12" i="34" s="1"/>
  <c r="F24" i="36" s="1"/>
  <c r="Z51" i="31"/>
  <c r="AE51" i="31" s="1"/>
  <c r="T59" i="31"/>
  <c r="K101" i="31"/>
  <c r="K53" i="31"/>
  <c r="T111" i="35"/>
  <c r="J58" i="31"/>
  <c r="K58" i="31" s="1"/>
  <c r="X66" i="31" s="1"/>
  <c r="N58" i="31"/>
  <c r="N18" i="31"/>
  <c r="S15" i="31" s="1"/>
  <c r="J20" i="31"/>
  <c r="K20" i="31" s="1"/>
  <c r="W18" i="31" s="1"/>
  <c r="P101" i="35"/>
  <c r="Z63" i="35"/>
  <c r="Z111" i="35"/>
  <c r="H84" i="35"/>
  <c r="J60" i="35"/>
  <c r="K60" i="35" s="1"/>
  <c r="Y100" i="34"/>
  <c r="AD100" i="34" s="1"/>
  <c r="T108" i="34"/>
  <c r="AM28" i="35"/>
  <c r="AE28" i="35"/>
  <c r="AD28" i="35"/>
  <c r="AG30" i="35"/>
  <c r="AM30" i="35" s="1"/>
  <c r="O5" i="35"/>
  <c r="X112" i="34"/>
  <c r="AE103" i="34"/>
  <c r="AK101" i="34"/>
  <c r="O6" i="34"/>
  <c r="N78" i="34"/>
  <c r="O78" i="34"/>
  <c r="H93" i="34"/>
  <c r="J67" i="34"/>
  <c r="K67" i="34" s="1"/>
  <c r="N67" i="34"/>
  <c r="S64" i="34" s="1"/>
  <c r="AE100" i="31"/>
  <c r="J85" i="34"/>
  <c r="H37" i="34"/>
  <c r="T16" i="34"/>
  <c r="O42" i="31"/>
  <c r="T39" i="31"/>
  <c r="AE5" i="31"/>
  <c r="AK5" i="31" s="1"/>
  <c r="AV8" i="31" s="1"/>
  <c r="F5" i="36" s="1"/>
  <c r="AF5" i="31"/>
  <c r="AN5" i="31"/>
  <c r="N90" i="31"/>
  <c r="S87" i="31" s="1"/>
  <c r="J90" i="31"/>
  <c r="K90" i="31" s="1"/>
  <c r="W90" i="31" s="1"/>
  <c r="AA84" i="31"/>
  <c r="AH75" i="31" s="1"/>
  <c r="AN75" i="31" s="1"/>
  <c r="H68" i="31"/>
  <c r="AN29" i="31"/>
  <c r="AF29" i="31"/>
  <c r="AL29" i="31" s="1"/>
  <c r="AT11" i="31" s="1"/>
  <c r="D8" i="36" s="1"/>
  <c r="AE29" i="31"/>
  <c r="AK29" i="31" s="1"/>
  <c r="AV11" i="31" s="1"/>
  <c r="F8" i="36" s="1"/>
  <c r="AG31" i="34"/>
  <c r="AM31" i="34" s="1"/>
  <c r="AM29" i="34"/>
  <c r="AE29" i="34"/>
  <c r="AD29" i="34"/>
  <c r="J82" i="31"/>
  <c r="K82" i="31" s="1"/>
  <c r="X90" i="31" s="1"/>
  <c r="N82" i="31"/>
  <c r="AK4" i="31"/>
  <c r="AV7" i="31" s="1"/>
  <c r="J36" i="31"/>
  <c r="K36" i="31" s="1"/>
  <c r="K60" i="31"/>
  <c r="K18" i="31"/>
  <c r="AG53" i="31"/>
  <c r="AM53" i="31" s="1"/>
  <c r="H68" i="35"/>
  <c r="T85" i="35"/>
  <c r="X85" i="35" s="1"/>
  <c r="T61" i="35"/>
  <c r="X61" i="35" s="1"/>
  <c r="Z38" i="35"/>
  <c r="Z39" i="35" s="1"/>
  <c r="S37" i="35"/>
  <c r="Y37" i="35" s="1"/>
  <c r="O34" i="35"/>
  <c r="AF29" i="35"/>
  <c r="AL29" i="35" s="1"/>
  <c r="AF102" i="34"/>
  <c r="AL102" i="34" s="1"/>
  <c r="AL105" i="34" s="1"/>
  <c r="N115" i="34"/>
  <c r="S112" i="34" s="1"/>
  <c r="AA85" i="34"/>
  <c r="AG76" i="34" s="1"/>
  <c r="AM76" i="34" s="1"/>
  <c r="H12" i="35"/>
  <c r="X39" i="35"/>
  <c r="T88" i="34"/>
  <c r="AM54" i="34"/>
  <c r="AE54" i="34"/>
  <c r="AK54" i="34" s="1"/>
  <c r="AS15" i="34" s="1"/>
  <c r="D27" i="36" s="1"/>
  <c r="AD54" i="34"/>
  <c r="AJ54" i="34" s="1"/>
  <c r="AU15" i="34" s="1"/>
  <c r="F27" i="36" s="1"/>
  <c r="T38" i="34"/>
  <c r="X38" i="34" s="1"/>
  <c r="AN101" i="31"/>
  <c r="AF101" i="31"/>
  <c r="AL101" i="31" s="1"/>
  <c r="AE101" i="31"/>
  <c r="AK101" i="31" s="1"/>
  <c r="Y15" i="34"/>
  <c r="AA15" i="34" s="1"/>
  <c r="AL52" i="31"/>
  <c r="AT13" i="31" s="1"/>
  <c r="D10" i="36" s="1"/>
  <c r="AK77" i="31"/>
  <c r="AV17" i="31" s="1"/>
  <c r="AG77" i="31"/>
  <c r="AM77" i="31" s="1"/>
  <c r="T63" i="31"/>
  <c r="AH6" i="31"/>
  <c r="AN6" i="31" s="1"/>
  <c r="Z40" i="34"/>
  <c r="Z15" i="31"/>
  <c r="T37" i="31"/>
  <c r="X37" i="31" s="1"/>
  <c r="AE28" i="31"/>
  <c r="AH30" i="31"/>
  <c r="AN30" i="31" s="1"/>
  <c r="AL52" i="35"/>
  <c r="S59" i="35"/>
  <c r="P53" i="35"/>
  <c r="X111" i="35"/>
  <c r="T63" i="35"/>
  <c r="AJ101" i="35"/>
  <c r="AF101" i="35"/>
  <c r="AL101" i="35" s="1"/>
  <c r="T11" i="35"/>
  <c r="Y3" i="35"/>
  <c r="AD3" i="35" s="1"/>
  <c r="AG78" i="35"/>
  <c r="AM78" i="35" s="1"/>
  <c r="AE76" i="35"/>
  <c r="AK76" i="35" s="1"/>
  <c r="AM76" i="35"/>
  <c r="Z100" i="34"/>
  <c r="AE100" i="34" s="1"/>
  <c r="AJ4" i="35"/>
  <c r="AU7" i="35" s="1"/>
  <c r="F36" i="36" s="1"/>
  <c r="AL101" i="34"/>
  <c r="AL104" i="34" s="1"/>
  <c r="M18" i="35"/>
  <c r="AE5" i="35"/>
  <c r="AK5" i="35" s="1"/>
  <c r="AS8" i="35" s="1"/>
  <c r="D37" i="36" s="1"/>
  <c r="AD5" i="35"/>
  <c r="T112" i="34"/>
  <c r="T13" i="35"/>
  <c r="X13" i="35" s="1"/>
  <c r="Y52" i="34"/>
  <c r="AD52" i="34" s="1"/>
  <c r="T60" i="34"/>
  <c r="Y4" i="34"/>
  <c r="AD4" i="34" s="1"/>
  <c r="T12" i="34"/>
  <c r="T107" i="31"/>
  <c r="Z99" i="31"/>
  <c r="AE99" i="31" s="1"/>
  <c r="AG79" i="34"/>
  <c r="AM79" i="34" s="1"/>
  <c r="AD77" i="34"/>
  <c r="AM77" i="34"/>
  <c r="AE77" i="34"/>
  <c r="M59" i="34"/>
  <c r="AD53" i="34"/>
  <c r="AE53" i="34"/>
  <c r="AL100" i="31"/>
  <c r="J10" i="31"/>
  <c r="J12" i="31" s="1"/>
  <c r="K12" i="31" s="1"/>
  <c r="T87" i="31"/>
  <c r="J77" i="31"/>
  <c r="K77" i="31"/>
  <c r="AA12" i="31"/>
  <c r="AH3" i="31" s="1"/>
  <c r="N114" i="35"/>
  <c r="S111" i="35" s="1"/>
  <c r="J114" i="35"/>
  <c r="K114" i="35" s="1"/>
  <c r="X87" i="31"/>
  <c r="AF28" i="31"/>
  <c r="J45" i="34" l="1"/>
  <c r="P102" i="34"/>
  <c r="J93" i="34"/>
  <c r="N91" i="34" s="1"/>
  <c r="K93" i="34"/>
  <c r="S107" i="35"/>
  <c r="J18" i="35"/>
  <c r="K18" i="35" s="1"/>
  <c r="K44" i="35"/>
  <c r="J68" i="35"/>
  <c r="K68" i="35"/>
  <c r="AF28" i="35"/>
  <c r="J92" i="35"/>
  <c r="AF6" i="34"/>
  <c r="AL6" i="34" s="1"/>
  <c r="AF29" i="34"/>
  <c r="H21" i="36"/>
  <c r="AB3" i="31"/>
  <c r="AF54" i="31"/>
  <c r="AE54" i="31"/>
  <c r="AG4" i="31"/>
  <c r="AK52" i="31"/>
  <c r="AV13" i="31" s="1"/>
  <c r="F10" i="36" s="1"/>
  <c r="K9" i="36" s="1"/>
  <c r="AA27" i="31"/>
  <c r="AF27" i="31" s="1"/>
  <c r="AL27" i="31" s="1"/>
  <c r="AT9" i="31" s="1"/>
  <c r="D6" i="36" s="1"/>
  <c r="H11" i="36"/>
  <c r="L29" i="31"/>
  <c r="AB27" i="31" s="1"/>
  <c r="AG27" i="31" s="1"/>
  <c r="J68" i="31"/>
  <c r="N66" i="31" s="1"/>
  <c r="K68" i="31"/>
  <c r="AE102" i="31"/>
  <c r="AE103" i="31" s="1"/>
  <c r="AN76" i="31"/>
  <c r="AE76" i="31"/>
  <c r="AF76" i="31"/>
  <c r="AH78" i="31"/>
  <c r="AN78" i="31" s="1"/>
  <c r="F4" i="36"/>
  <c r="H4" i="36" s="1"/>
  <c r="H8" i="36"/>
  <c r="H30" i="36"/>
  <c r="H27" i="36"/>
  <c r="H24" i="36"/>
  <c r="H42" i="36"/>
  <c r="AG101" i="31"/>
  <c r="AM101" i="31" s="1"/>
  <c r="AM104" i="31" s="1"/>
  <c r="F14" i="36"/>
  <c r="H14" i="36" s="1"/>
  <c r="AK77" i="35"/>
  <c r="AS17" i="35" s="1"/>
  <c r="D46" i="36" s="1"/>
  <c r="AF76" i="35"/>
  <c r="AL76" i="35" s="1"/>
  <c r="Y16" i="34"/>
  <c r="AA16" i="34" s="1"/>
  <c r="S36" i="34"/>
  <c r="O90" i="31"/>
  <c r="AF103" i="34"/>
  <c r="AL103" i="34" s="1"/>
  <c r="AD7" i="34"/>
  <c r="AD9" i="34" s="1"/>
  <c r="Z28" i="34"/>
  <c r="AE28" i="34" s="1"/>
  <c r="AF78" i="34"/>
  <c r="AL78" i="34" s="1"/>
  <c r="AL81" i="34" s="1"/>
  <c r="O115" i="34"/>
  <c r="O19" i="34"/>
  <c r="P29" i="35"/>
  <c r="AA27" i="35" s="1"/>
  <c r="AF27" i="35" s="1"/>
  <c r="AF5" i="34"/>
  <c r="AE7" i="34"/>
  <c r="AK7" i="34" s="1"/>
  <c r="AK5" i="34"/>
  <c r="AS8" i="34" s="1"/>
  <c r="AE55" i="34"/>
  <c r="AK53" i="34"/>
  <c r="AS14" i="34" s="1"/>
  <c r="D26" i="36" s="1"/>
  <c r="AJ52" i="34"/>
  <c r="AU13" i="34" s="1"/>
  <c r="F25" i="36" s="1"/>
  <c r="AL104" i="35"/>
  <c r="AK51" i="35"/>
  <c r="AS12" i="35" s="1"/>
  <c r="D41" i="36" s="1"/>
  <c r="AL54" i="31"/>
  <c r="X40" i="34"/>
  <c r="J12" i="35"/>
  <c r="K12" i="35" s="1"/>
  <c r="AA37" i="35"/>
  <c r="Y38" i="35"/>
  <c r="AA38" i="35" s="1"/>
  <c r="X63" i="35"/>
  <c r="AM4" i="31"/>
  <c r="AM7" i="31" s="1"/>
  <c r="AL29" i="34"/>
  <c r="J37" i="34"/>
  <c r="S84" i="34"/>
  <c r="P78" i="34"/>
  <c r="Z76" i="34"/>
  <c r="AE76" i="34" s="1"/>
  <c r="AE104" i="34"/>
  <c r="AK103" i="34"/>
  <c r="AF30" i="35"/>
  <c r="AL28" i="35"/>
  <c r="AK99" i="35"/>
  <c r="AM55" i="31"/>
  <c r="AK51" i="31"/>
  <c r="AV12" i="31" s="1"/>
  <c r="F9" i="36" s="1"/>
  <c r="AE56" i="31"/>
  <c r="X88" i="34"/>
  <c r="O67" i="34"/>
  <c r="S60" i="34"/>
  <c r="Z52" i="34"/>
  <c r="AE52" i="34" s="1"/>
  <c r="P54" i="34"/>
  <c r="J107" i="34"/>
  <c r="K107" i="34" s="1"/>
  <c r="N107" i="34"/>
  <c r="AJ51" i="35"/>
  <c r="AU12" i="35" s="1"/>
  <c r="F41" i="36" s="1"/>
  <c r="AD102" i="35"/>
  <c r="AD104" i="35" s="1"/>
  <c r="AJ100" i="35"/>
  <c r="AK27" i="35"/>
  <c r="AS9" i="35" s="1"/>
  <c r="D38" i="36" s="1"/>
  <c r="H38" i="36" s="1"/>
  <c r="S39" i="35"/>
  <c r="O42" i="35"/>
  <c r="J106" i="35"/>
  <c r="K106" i="35" s="1"/>
  <c r="N106" i="35"/>
  <c r="AJ99" i="35"/>
  <c r="J59" i="34"/>
  <c r="K59" i="34" s="1"/>
  <c r="N59" i="34"/>
  <c r="S62" i="34" s="1"/>
  <c r="Y62" i="34" s="1"/>
  <c r="N10" i="31"/>
  <c r="X18" i="31"/>
  <c r="N106" i="31"/>
  <c r="J106" i="31"/>
  <c r="K106" i="31" s="1"/>
  <c r="X114" i="31" s="1"/>
  <c r="AD79" i="34"/>
  <c r="AJ77" i="34"/>
  <c r="AU17" i="34" s="1"/>
  <c r="AF5" i="35"/>
  <c r="AL5" i="35" s="1"/>
  <c r="AJ5" i="35"/>
  <c r="AU8" i="35" s="1"/>
  <c r="F37" i="36" s="1"/>
  <c r="H37" i="36" s="1"/>
  <c r="AE105" i="34"/>
  <c r="AK100" i="34"/>
  <c r="AS16" i="35"/>
  <c r="D45" i="36" s="1"/>
  <c r="AE78" i="35"/>
  <c r="AK78" i="35" s="1"/>
  <c r="AJ3" i="35"/>
  <c r="AU6" i="35" s="1"/>
  <c r="F35" i="36" s="1"/>
  <c r="AK28" i="31"/>
  <c r="AV10" i="31" s="1"/>
  <c r="F7" i="36" s="1"/>
  <c r="AE30" i="31"/>
  <c r="AE32" i="31" s="1"/>
  <c r="AG28" i="31"/>
  <c r="AM80" i="31"/>
  <c r="X87" i="35"/>
  <c r="AJ29" i="34"/>
  <c r="AU11" i="34" s="1"/>
  <c r="AD31" i="34"/>
  <c r="AE55" i="31"/>
  <c r="AK54" i="31"/>
  <c r="AD8" i="34"/>
  <c r="AJ7" i="34"/>
  <c r="N83" i="34"/>
  <c r="J83" i="34"/>
  <c r="K83" i="34" s="1"/>
  <c r="T84" i="34"/>
  <c r="Y76" i="34"/>
  <c r="AD76" i="34" s="1"/>
  <c r="J84" i="35"/>
  <c r="U107" i="35"/>
  <c r="AA99" i="35"/>
  <c r="AF99" i="35" s="1"/>
  <c r="O114" i="35"/>
  <c r="S59" i="31"/>
  <c r="AA51" i="31"/>
  <c r="AF51" i="31" s="1"/>
  <c r="AF55" i="31" s="1"/>
  <c r="L53" i="31"/>
  <c r="AG54" i="31"/>
  <c r="AL9" i="34"/>
  <c r="X111" i="31"/>
  <c r="AJ103" i="34"/>
  <c r="AD104" i="34"/>
  <c r="K109" i="34"/>
  <c r="AF100" i="35"/>
  <c r="K108" i="35"/>
  <c r="K61" i="34"/>
  <c r="AA75" i="31"/>
  <c r="AF75" i="31" s="1"/>
  <c r="L77" i="31"/>
  <c r="S83" i="31"/>
  <c r="X14" i="35"/>
  <c r="X15" i="35" s="1"/>
  <c r="AF30" i="31"/>
  <c r="AL28" i="31"/>
  <c r="AT10" i="31" s="1"/>
  <c r="D7" i="36" s="1"/>
  <c r="T83" i="31"/>
  <c r="Z75" i="31"/>
  <c r="AE75" i="31" s="1"/>
  <c r="K10" i="31"/>
  <c r="AL102" i="31"/>
  <c r="T62" i="34"/>
  <c r="X62" i="34" s="1"/>
  <c r="K108" i="31"/>
  <c r="AK77" i="34"/>
  <c r="AS17" i="34" s="1"/>
  <c r="D29" i="36" s="1"/>
  <c r="AE79" i="34"/>
  <c r="AJ4" i="34"/>
  <c r="AU7" i="34" s="1"/>
  <c r="F19" i="36" s="1"/>
  <c r="AA100" i="34"/>
  <c r="AF100" i="34" s="1"/>
  <c r="U108" i="34"/>
  <c r="AJ76" i="35"/>
  <c r="AU16" i="35" s="1"/>
  <c r="F45" i="36" s="1"/>
  <c r="AD78" i="35"/>
  <c r="AL55" i="35"/>
  <c r="AL32" i="35"/>
  <c r="AK27" i="31"/>
  <c r="AV9" i="31" s="1"/>
  <c r="F6" i="36" s="1"/>
  <c r="N34" i="31"/>
  <c r="J34" i="31"/>
  <c r="K34" i="31" s="1"/>
  <c r="X42" i="31" s="1"/>
  <c r="AE6" i="31"/>
  <c r="AE31" i="34"/>
  <c r="AK29" i="34"/>
  <c r="AS11" i="34" s="1"/>
  <c r="D23" i="36" s="1"/>
  <c r="AG29" i="31"/>
  <c r="AM29" i="31" s="1"/>
  <c r="AL5" i="31"/>
  <c r="AT8" i="31" s="1"/>
  <c r="AX6" i="31" s="1"/>
  <c r="AF6" i="31"/>
  <c r="K85" i="34"/>
  <c r="J91" i="34"/>
  <c r="K91" i="34" s="1"/>
  <c r="AK28" i="34"/>
  <c r="AS10" i="34" s="1"/>
  <c r="D22" i="36" s="1"/>
  <c r="H22" i="36" s="1"/>
  <c r="S12" i="34"/>
  <c r="P6" i="34"/>
  <c r="Z4" i="34"/>
  <c r="AE4" i="34" s="1"/>
  <c r="AD30" i="35"/>
  <c r="AJ28" i="35"/>
  <c r="AU10" i="35" s="1"/>
  <c r="AD105" i="34"/>
  <c r="AJ100" i="34"/>
  <c r="O18" i="31"/>
  <c r="AA99" i="31"/>
  <c r="AF99" i="31" s="1"/>
  <c r="AF103" i="31" s="1"/>
  <c r="S107" i="31"/>
  <c r="L101" i="31"/>
  <c r="AF30" i="34"/>
  <c r="AL30" i="34" s="1"/>
  <c r="AK100" i="35"/>
  <c r="AE102" i="35"/>
  <c r="AE104" i="35" s="1"/>
  <c r="S83" i="35"/>
  <c r="P77" i="35"/>
  <c r="Z75" i="35"/>
  <c r="AE75" i="35" s="1"/>
  <c r="AK75" i="35" s="1"/>
  <c r="AF53" i="35"/>
  <c r="AD54" i="35"/>
  <c r="AD55" i="34"/>
  <c r="AD57" i="34" s="1"/>
  <c r="AJ53" i="34"/>
  <c r="AU14" i="34" s="1"/>
  <c r="AF53" i="34"/>
  <c r="AN3" i="31"/>
  <c r="AE3" i="31"/>
  <c r="AE7" i="31" s="1"/>
  <c r="AF77" i="34"/>
  <c r="AK99" i="31"/>
  <c r="O18" i="35"/>
  <c r="T15" i="35"/>
  <c r="AD6" i="35"/>
  <c r="U59" i="35"/>
  <c r="AA51" i="35"/>
  <c r="AF51" i="35" s="1"/>
  <c r="X38" i="31"/>
  <c r="X39" i="31" s="1"/>
  <c r="AF54" i="34"/>
  <c r="AL54" i="34" s="1"/>
  <c r="J66" i="35"/>
  <c r="K66" i="35" s="1"/>
  <c r="N66" i="35"/>
  <c r="AM56" i="31"/>
  <c r="S85" i="31"/>
  <c r="Y85" i="31" s="1"/>
  <c r="O82" i="31"/>
  <c r="J66" i="31"/>
  <c r="K66" i="31" s="1"/>
  <c r="W66" i="31" s="1"/>
  <c r="AG3" i="31"/>
  <c r="AG5" i="31"/>
  <c r="AM5" i="31" s="1"/>
  <c r="AM8" i="31" s="1"/>
  <c r="AG100" i="31"/>
  <c r="AK100" i="31"/>
  <c r="U36" i="34"/>
  <c r="AA28" i="34"/>
  <c r="AF28" i="34" s="1"/>
  <c r="P5" i="35"/>
  <c r="Z3" i="35"/>
  <c r="AE3" i="35" s="1"/>
  <c r="S11" i="35"/>
  <c r="AE30" i="35"/>
  <c r="AE32" i="35" s="1"/>
  <c r="AK28" i="35"/>
  <c r="AS10" i="35" s="1"/>
  <c r="D39" i="36" s="1"/>
  <c r="N58" i="35"/>
  <c r="J58" i="35"/>
  <c r="K58" i="35" s="1"/>
  <c r="O58" i="31"/>
  <c r="S61" i="31"/>
  <c r="Y61" i="31" s="1"/>
  <c r="AF3" i="31"/>
  <c r="AE6" i="35"/>
  <c r="AK4" i="35"/>
  <c r="AS7" i="35" s="1"/>
  <c r="AF77" i="35"/>
  <c r="AL77" i="35" s="1"/>
  <c r="T83" i="35"/>
  <c r="AK53" i="35"/>
  <c r="AS14" i="35" s="1"/>
  <c r="AE54" i="35"/>
  <c r="AF4" i="35"/>
  <c r="N43" i="34" l="1"/>
  <c r="J43" i="34"/>
  <c r="K43" i="34" s="1"/>
  <c r="K45" i="34"/>
  <c r="N90" i="35"/>
  <c r="J90" i="35"/>
  <c r="K90" i="35" s="1"/>
  <c r="K92" i="35"/>
  <c r="H41" i="36"/>
  <c r="U35" i="35"/>
  <c r="AE33" i="34"/>
  <c r="AW7" i="34"/>
  <c r="D20" i="36"/>
  <c r="H10" i="36"/>
  <c r="AX12" i="31"/>
  <c r="J9" i="36"/>
  <c r="AF32" i="31"/>
  <c r="U35" i="31"/>
  <c r="AE104" i="31"/>
  <c r="AE8" i="31"/>
  <c r="J6" i="36"/>
  <c r="H7" i="36"/>
  <c r="AK76" i="31"/>
  <c r="AV16" i="31" s="1"/>
  <c r="AE78" i="31"/>
  <c r="AK78" i="31" s="1"/>
  <c r="AG76" i="31"/>
  <c r="H6" i="36"/>
  <c r="K6" i="36"/>
  <c r="M6" i="36"/>
  <c r="AF78" i="31"/>
  <c r="AL78" i="31" s="1"/>
  <c r="AL76" i="31"/>
  <c r="AT16" i="31" s="1"/>
  <c r="D13" i="36" s="1"/>
  <c r="AW16" i="34"/>
  <c r="F29" i="36"/>
  <c r="H29" i="36" s="1"/>
  <c r="AW13" i="34"/>
  <c r="F26" i="36"/>
  <c r="AW10" i="34"/>
  <c r="AW19" i="34" s="1"/>
  <c r="F23" i="36"/>
  <c r="M22" i="36" s="1"/>
  <c r="K44" i="36"/>
  <c r="J44" i="36"/>
  <c r="H46" i="36"/>
  <c r="H45" i="36"/>
  <c r="AW12" i="35"/>
  <c r="D43" i="36"/>
  <c r="AW9" i="35"/>
  <c r="F39" i="36"/>
  <c r="J38" i="36" s="1"/>
  <c r="AW6" i="35"/>
  <c r="D36" i="36"/>
  <c r="D5" i="36"/>
  <c r="H5" i="36" s="1"/>
  <c r="AW15" i="35"/>
  <c r="AX9" i="31"/>
  <c r="AF104" i="34"/>
  <c r="AI104" i="34" s="1"/>
  <c r="O59" i="34"/>
  <c r="Y39" i="35"/>
  <c r="AA39" i="35" s="1"/>
  <c r="AF7" i="34"/>
  <c r="AL7" i="34" s="1"/>
  <c r="AL5" i="34"/>
  <c r="AL80" i="35"/>
  <c r="S63" i="35"/>
  <c r="O66" i="35"/>
  <c r="AL51" i="35"/>
  <c r="AK3" i="31"/>
  <c r="AV6" i="31" s="1"/>
  <c r="F3" i="36" s="1"/>
  <c r="AD55" i="35"/>
  <c r="AJ54" i="35"/>
  <c r="U107" i="31"/>
  <c r="AB99" i="31"/>
  <c r="AG99" i="31" s="1"/>
  <c r="AD31" i="35"/>
  <c r="AJ30" i="35"/>
  <c r="AD32" i="35"/>
  <c r="AX12" i="34"/>
  <c r="AX11" i="34"/>
  <c r="S37" i="31"/>
  <c r="Y37" i="31" s="1"/>
  <c r="O34" i="31"/>
  <c r="U59" i="31"/>
  <c r="AB51" i="31"/>
  <c r="AG51" i="31" s="1"/>
  <c r="N82" i="35"/>
  <c r="J82" i="35"/>
  <c r="K82" i="35" s="1"/>
  <c r="AL8" i="35"/>
  <c r="S109" i="31"/>
  <c r="Y109" i="31" s="1"/>
  <c r="O106" i="31"/>
  <c r="AD56" i="35"/>
  <c r="AE57" i="34"/>
  <c r="AK52" i="34"/>
  <c r="AS13" i="34" s="1"/>
  <c r="D25" i="36" s="1"/>
  <c r="H25" i="36" s="1"/>
  <c r="AL32" i="34"/>
  <c r="AE55" i="35"/>
  <c r="AK54" i="35"/>
  <c r="AA61" i="31"/>
  <c r="Y66" i="31" s="1"/>
  <c r="Y62" i="31"/>
  <c r="AA62" i="31" s="1"/>
  <c r="Z66" i="31" s="1"/>
  <c r="AA3" i="35"/>
  <c r="AF3" i="35" s="1"/>
  <c r="U11" i="35"/>
  <c r="AE31" i="35"/>
  <c r="AK30" i="35"/>
  <c r="AL28" i="34"/>
  <c r="AM3" i="31"/>
  <c r="Y86" i="31"/>
  <c r="AA86" i="31" s="1"/>
  <c r="Z90" i="31" s="1"/>
  <c r="AA85" i="31"/>
  <c r="Y90" i="31" s="1"/>
  <c r="AD56" i="34"/>
  <c r="AJ55" i="34"/>
  <c r="AL53" i="35"/>
  <c r="AF54" i="35"/>
  <c r="AE103" i="35"/>
  <c r="AK102" i="35"/>
  <c r="AK4" i="34"/>
  <c r="AS7" i="34" s="1"/>
  <c r="D19" i="36" s="1"/>
  <c r="AE9" i="34"/>
  <c r="AE8" i="34"/>
  <c r="AL6" i="31"/>
  <c r="AF7" i="31"/>
  <c r="AE32" i="34"/>
  <c r="AK31" i="34"/>
  <c r="AY10" i="31"/>
  <c r="AY11" i="31"/>
  <c r="U83" i="31"/>
  <c r="AB75" i="31"/>
  <c r="AG75" i="31" s="1"/>
  <c r="AF32" i="35"/>
  <c r="AL27" i="35"/>
  <c r="AL51" i="31"/>
  <c r="AT12" i="31" s="1"/>
  <c r="D9" i="36" s="1"/>
  <c r="AF56" i="31"/>
  <c r="AL99" i="35"/>
  <c r="S86" i="34"/>
  <c r="Y86" i="34" s="1"/>
  <c r="O83" i="34"/>
  <c r="S110" i="34"/>
  <c r="Y110" i="34" s="1"/>
  <c r="O107" i="34"/>
  <c r="AL31" i="35"/>
  <c r="AE81" i="34"/>
  <c r="AK76" i="34"/>
  <c r="AS16" i="34" s="1"/>
  <c r="D28" i="36" s="1"/>
  <c r="AF31" i="34"/>
  <c r="J10" i="35"/>
  <c r="K10" i="35" s="1"/>
  <c r="N10" i="35"/>
  <c r="AX13" i="35"/>
  <c r="AX14" i="35"/>
  <c r="AL79" i="35"/>
  <c r="AJ75" i="35"/>
  <c r="AU15" i="35" s="1"/>
  <c r="F44" i="36" s="1"/>
  <c r="AD80" i="35"/>
  <c r="AE7" i="35"/>
  <c r="AK6" i="35"/>
  <c r="AM100" i="31"/>
  <c r="AG102" i="31"/>
  <c r="AL57" i="34"/>
  <c r="AD7" i="35"/>
  <c r="AJ6" i="35"/>
  <c r="AS15" i="35"/>
  <c r="D44" i="36" s="1"/>
  <c r="AE80" i="35"/>
  <c r="AF104" i="31"/>
  <c r="AL99" i="31"/>
  <c r="U12" i="34"/>
  <c r="AA4" i="34"/>
  <c r="AF4" i="34" s="1"/>
  <c r="S88" i="34"/>
  <c r="O91" i="34"/>
  <c r="AK6" i="31"/>
  <c r="AF105" i="34"/>
  <c r="AG105" i="34" s="1"/>
  <c r="AL100" i="34"/>
  <c r="X64" i="34"/>
  <c r="AA62" i="34"/>
  <c r="AF31" i="31"/>
  <c r="AL30" i="31"/>
  <c r="AF80" i="31"/>
  <c r="AL75" i="31"/>
  <c r="AT15" i="31" s="1"/>
  <c r="D12" i="36" s="1"/>
  <c r="AD81" i="34"/>
  <c r="AJ76" i="34"/>
  <c r="AU16" i="34" s="1"/>
  <c r="F28" i="36" s="1"/>
  <c r="AG30" i="31"/>
  <c r="AG32" i="31" s="1"/>
  <c r="AH32" i="31" s="1"/>
  <c r="AM28" i="31"/>
  <c r="AD8" i="35"/>
  <c r="AJ79" i="34"/>
  <c r="AD80" i="34"/>
  <c r="S13" i="31"/>
  <c r="Y13" i="31" s="1"/>
  <c r="O10" i="31"/>
  <c r="AD103" i="35"/>
  <c r="AJ102" i="35"/>
  <c r="AF31" i="35"/>
  <c r="AL30" i="35"/>
  <c r="AA76" i="34"/>
  <c r="AF76" i="34" s="1"/>
  <c r="U84" i="34"/>
  <c r="N35" i="34"/>
  <c r="J35" i="34"/>
  <c r="K35" i="34" s="1"/>
  <c r="AE56" i="35"/>
  <c r="AF78" i="35"/>
  <c r="AE56" i="34"/>
  <c r="AK55" i="34"/>
  <c r="S63" i="31"/>
  <c r="O66" i="31"/>
  <c r="AF6" i="35"/>
  <c r="AL4" i="35"/>
  <c r="AF8" i="31"/>
  <c r="AL3" i="31"/>
  <c r="AT6" i="31" s="1"/>
  <c r="S61" i="35"/>
  <c r="Y61" i="35" s="1"/>
  <c r="O58" i="35"/>
  <c r="AE8" i="35"/>
  <c r="AK3" i="35"/>
  <c r="AS6" i="35" s="1"/>
  <c r="D35" i="36" s="1"/>
  <c r="H35" i="36" s="1"/>
  <c r="AK102" i="31"/>
  <c r="AM27" i="31"/>
  <c r="AL77" i="34"/>
  <c r="AF79" i="34"/>
  <c r="AL53" i="34"/>
  <c r="AF55" i="34"/>
  <c r="U83" i="35"/>
  <c r="AA75" i="35"/>
  <c r="AF75" i="35" s="1"/>
  <c r="AL33" i="34"/>
  <c r="AM32" i="31"/>
  <c r="AD79" i="35"/>
  <c r="AJ78" i="35"/>
  <c r="AE80" i="34"/>
  <c r="AK79" i="34"/>
  <c r="AK75" i="31"/>
  <c r="AV15" i="31" s="1"/>
  <c r="F12" i="36" s="1"/>
  <c r="AE79" i="31"/>
  <c r="AL100" i="35"/>
  <c r="AF102" i="35"/>
  <c r="AM54" i="31"/>
  <c r="AG55" i="31"/>
  <c r="AJ55" i="31" s="1"/>
  <c r="K84" i="35"/>
  <c r="AD32" i="34"/>
  <c r="AJ31" i="34"/>
  <c r="AD33" i="34"/>
  <c r="AE31" i="31"/>
  <c r="AK30" i="31"/>
  <c r="AE79" i="35"/>
  <c r="Y63" i="34"/>
  <c r="AA63" i="34" s="1"/>
  <c r="S109" i="35"/>
  <c r="Y109" i="35" s="1"/>
  <c r="O106" i="35"/>
  <c r="AX11" i="35"/>
  <c r="AX10" i="35"/>
  <c r="U60" i="34"/>
  <c r="AA52" i="34"/>
  <c r="AF52" i="34" s="1"/>
  <c r="K37" i="34"/>
  <c r="AG6" i="31"/>
  <c r="AW20" i="34" l="1"/>
  <c r="S40" i="34"/>
  <c r="O43" i="34"/>
  <c r="S87" i="35"/>
  <c r="O90" i="35"/>
  <c r="H44" i="36"/>
  <c r="M44" i="36"/>
  <c r="AY9" i="35"/>
  <c r="K38" i="36"/>
  <c r="AW19" i="35"/>
  <c r="M38" i="36"/>
  <c r="H39" i="36"/>
  <c r="M19" i="36"/>
  <c r="H20" i="36"/>
  <c r="K19" i="36"/>
  <c r="J19" i="36"/>
  <c r="AE80" i="31"/>
  <c r="AF79" i="31"/>
  <c r="H28" i="36"/>
  <c r="H19" i="36"/>
  <c r="I7" i="36"/>
  <c r="I8" i="36"/>
  <c r="AY8" i="31"/>
  <c r="D3" i="36"/>
  <c r="H3" i="36" s="1"/>
  <c r="AY7" i="31"/>
  <c r="AM76" i="31"/>
  <c r="AG78" i="31"/>
  <c r="AM78" i="31" s="1"/>
  <c r="H12" i="36"/>
  <c r="H9" i="36"/>
  <c r="M9" i="36"/>
  <c r="F13" i="36"/>
  <c r="M12" i="36" s="1"/>
  <c r="AX15" i="31"/>
  <c r="AX18" i="31" s="1"/>
  <c r="AZ9" i="31"/>
  <c r="I6" i="36"/>
  <c r="K28" i="36"/>
  <c r="J28" i="36"/>
  <c r="M28" i="36"/>
  <c r="K25" i="36"/>
  <c r="J25" i="36"/>
  <c r="Y64" i="34"/>
  <c r="AA64" i="34" s="1"/>
  <c r="M25" i="36"/>
  <c r="H26" i="36"/>
  <c r="K22" i="36"/>
  <c r="J22" i="36"/>
  <c r="H23" i="36"/>
  <c r="AW18" i="35"/>
  <c r="H43" i="36"/>
  <c r="M41" i="36"/>
  <c r="K41" i="36"/>
  <c r="J41" i="36"/>
  <c r="H36" i="36"/>
  <c r="M35" i="36"/>
  <c r="K35" i="36"/>
  <c r="J35" i="36"/>
  <c r="AA66" i="31"/>
  <c r="J3" i="36"/>
  <c r="K3" i="36"/>
  <c r="AL8" i="34"/>
  <c r="AT18" i="34"/>
  <c r="E30" i="36" s="1"/>
  <c r="AT17" i="34"/>
  <c r="E29" i="36" s="1"/>
  <c r="AT16" i="34"/>
  <c r="E28" i="36" s="1"/>
  <c r="AV18" i="34"/>
  <c r="G30" i="36" s="1"/>
  <c r="AV17" i="34"/>
  <c r="G29" i="36" s="1"/>
  <c r="AV16" i="34"/>
  <c r="G28" i="36" s="1"/>
  <c r="AW11" i="31"/>
  <c r="G8" i="36" s="1"/>
  <c r="AW10" i="31"/>
  <c r="G7" i="36" s="1"/>
  <c r="AW9" i="31"/>
  <c r="G6" i="36" s="1"/>
  <c r="AU11" i="31"/>
  <c r="E8" i="36" s="1"/>
  <c r="AU9" i="31"/>
  <c r="E6" i="36" s="1"/>
  <c r="AU10" i="31"/>
  <c r="E7" i="36" s="1"/>
  <c r="AF103" i="35"/>
  <c r="AI103" i="35" s="1"/>
  <c r="AL102" i="35"/>
  <c r="AL80" i="34"/>
  <c r="AL7" i="35"/>
  <c r="AA13" i="31"/>
  <c r="Y18" i="31" s="1"/>
  <c r="Y14" i="31"/>
  <c r="AA14" i="31" s="1"/>
  <c r="Z18" i="31" s="1"/>
  <c r="AM31" i="31"/>
  <c r="AG103" i="31"/>
  <c r="AJ103" i="31" s="1"/>
  <c r="AM102" i="31"/>
  <c r="AY12" i="35"/>
  <c r="AF32" i="34"/>
  <c r="AI32" i="34" s="1"/>
  <c r="AL31" i="34"/>
  <c r="AF104" i="35"/>
  <c r="AG104" i="35" s="1"/>
  <c r="AL54" i="35"/>
  <c r="AF55" i="35"/>
  <c r="AI55" i="35" s="1"/>
  <c r="AI31" i="35"/>
  <c r="AG7" i="31"/>
  <c r="AJ7" i="31" s="1"/>
  <c r="AM6" i="31"/>
  <c r="AF57" i="34"/>
  <c r="AG57" i="34" s="1"/>
  <c r="AL52" i="34"/>
  <c r="AL103" i="35"/>
  <c r="AF56" i="34"/>
  <c r="AL55" i="34"/>
  <c r="Y62" i="35"/>
  <c r="AA62" i="35" s="1"/>
  <c r="AA61" i="35"/>
  <c r="AL6" i="35"/>
  <c r="AF7" i="35"/>
  <c r="AL76" i="34"/>
  <c r="AF81" i="34"/>
  <c r="AG81" i="34" s="1"/>
  <c r="AG31" i="31"/>
  <c r="AM30" i="31"/>
  <c r="AY16" i="31"/>
  <c r="AY17" i="31"/>
  <c r="AX17" i="35"/>
  <c r="AX16" i="35"/>
  <c r="AM103" i="31"/>
  <c r="AX18" i="34"/>
  <c r="AX17" i="34"/>
  <c r="AX8" i="34"/>
  <c r="AX9" i="34"/>
  <c r="AL56" i="35"/>
  <c r="AA90" i="31"/>
  <c r="AG8" i="31"/>
  <c r="AH8" i="31" s="1"/>
  <c r="AX15" i="34"/>
  <c r="AX14" i="34"/>
  <c r="Y110" i="31"/>
  <c r="AA110" i="31" s="1"/>
  <c r="Z114" i="31" s="1"/>
  <c r="AA109" i="31"/>
  <c r="Y114" i="31" s="1"/>
  <c r="S85" i="35"/>
  <c r="Y85" i="35" s="1"/>
  <c r="O82" i="35"/>
  <c r="AY10" i="34"/>
  <c r="AG104" i="31"/>
  <c r="AH104" i="31" s="1"/>
  <c r="AM99" i="31"/>
  <c r="Y110" i="35"/>
  <c r="AA110" i="35" s="1"/>
  <c r="AA109" i="35"/>
  <c r="AL56" i="34"/>
  <c r="AX8" i="35"/>
  <c r="AX7" i="35"/>
  <c r="AF79" i="35"/>
  <c r="AI79" i="35" s="1"/>
  <c r="AL78" i="35"/>
  <c r="S13" i="35"/>
  <c r="Y13" i="35" s="1"/>
  <c r="O10" i="35"/>
  <c r="Y63" i="31"/>
  <c r="AA63" i="31" s="1"/>
  <c r="AG56" i="31"/>
  <c r="AH56" i="31" s="1"/>
  <c r="AM51" i="31"/>
  <c r="AG32" i="35"/>
  <c r="AF80" i="35"/>
  <c r="AG80" i="35" s="1"/>
  <c r="AL75" i="35"/>
  <c r="AF80" i="34"/>
  <c r="AI80" i="34" s="1"/>
  <c r="AL79" i="34"/>
  <c r="S38" i="34"/>
  <c r="Y38" i="34" s="1"/>
  <c r="O35" i="34"/>
  <c r="AF9" i="34"/>
  <c r="AG9" i="34" s="1"/>
  <c r="AL4" i="34"/>
  <c r="AF8" i="34"/>
  <c r="AI8" i="34" s="1"/>
  <c r="Y111" i="34"/>
  <c r="AA111" i="34" s="1"/>
  <c r="AA110" i="34"/>
  <c r="Y87" i="34"/>
  <c r="AA87" i="34" s="1"/>
  <c r="AA86" i="34"/>
  <c r="AY14" i="31"/>
  <c r="AY13" i="31"/>
  <c r="AG80" i="31"/>
  <c r="AH80" i="31" s="1"/>
  <c r="I14" i="36" s="1"/>
  <c r="AM75" i="31"/>
  <c r="Y87" i="31"/>
  <c r="AA87" i="31" s="1"/>
  <c r="AF33" i="34"/>
  <c r="AG33" i="34" s="1"/>
  <c r="AF8" i="35"/>
  <c r="AG8" i="35" s="1"/>
  <c r="AL3" i="35"/>
  <c r="Y38" i="31"/>
  <c r="AA38" i="31" s="1"/>
  <c r="Z42" i="31" s="1"/>
  <c r="AA37" i="31"/>
  <c r="Y42" i="31" s="1"/>
  <c r="AA42" i="31" s="1"/>
  <c r="AF56" i="35"/>
  <c r="AG56" i="35" s="1"/>
  <c r="I44" i="36" l="1"/>
  <c r="AA114" i="31"/>
  <c r="AG79" i="31"/>
  <c r="AJ79" i="31" s="1"/>
  <c r="I21" i="36"/>
  <c r="I20" i="36"/>
  <c r="I19" i="36"/>
  <c r="AA18" i="31"/>
  <c r="M3" i="36"/>
  <c r="AW6" i="31"/>
  <c r="G3" i="36" s="1"/>
  <c r="I4" i="36"/>
  <c r="K12" i="36"/>
  <c r="J12" i="36"/>
  <c r="J16" i="36" s="1"/>
  <c r="I9" i="36"/>
  <c r="H13" i="36"/>
  <c r="I13" i="36" s="1"/>
  <c r="I5" i="36"/>
  <c r="I12" i="36"/>
  <c r="I11" i="36"/>
  <c r="I10" i="36"/>
  <c r="AX19" i="31"/>
  <c r="I3" i="36"/>
  <c r="AM79" i="31"/>
  <c r="AZ6" i="31"/>
  <c r="I28" i="36"/>
  <c r="I30" i="36"/>
  <c r="I29" i="36"/>
  <c r="AI56" i="34"/>
  <c r="I25" i="36"/>
  <c r="I27" i="36"/>
  <c r="I26" i="36"/>
  <c r="I22" i="36"/>
  <c r="I24" i="36"/>
  <c r="J31" i="36"/>
  <c r="J32" i="36"/>
  <c r="I23" i="36"/>
  <c r="I46" i="36"/>
  <c r="I45" i="36"/>
  <c r="I41" i="36"/>
  <c r="AT12" i="35"/>
  <c r="E41" i="36" s="1"/>
  <c r="I42" i="36"/>
  <c r="I43" i="36"/>
  <c r="AT9" i="35"/>
  <c r="E38" i="36" s="1"/>
  <c r="AT10" i="35"/>
  <c r="E39" i="36" s="1"/>
  <c r="I38" i="36"/>
  <c r="AT11" i="35"/>
  <c r="E40" i="36" s="1"/>
  <c r="I40" i="36"/>
  <c r="I39" i="36"/>
  <c r="AT8" i="35"/>
  <c r="E37" i="36" s="1"/>
  <c r="I37" i="36"/>
  <c r="I35" i="36"/>
  <c r="AT6" i="35"/>
  <c r="E35" i="36" s="1"/>
  <c r="AT7" i="35"/>
  <c r="E36" i="36" s="1"/>
  <c r="J47" i="36"/>
  <c r="J48" i="36"/>
  <c r="I36" i="36"/>
  <c r="Y112" i="34"/>
  <c r="AA112" i="34" s="1"/>
  <c r="AY6" i="35"/>
  <c r="Y88" i="34"/>
  <c r="AA88" i="34" s="1"/>
  <c r="Y111" i="31"/>
  <c r="AA111" i="31" s="1"/>
  <c r="AJ31" i="31"/>
  <c r="AI7" i="35"/>
  <c r="AT11" i="34"/>
  <c r="E23" i="36" s="1"/>
  <c r="AT10" i="34"/>
  <c r="E22" i="36" s="1"/>
  <c r="AV12" i="34"/>
  <c r="G24" i="36" s="1"/>
  <c r="AV11" i="34"/>
  <c r="G23" i="36" s="1"/>
  <c r="AV10" i="34"/>
  <c r="G22" i="36" s="1"/>
  <c r="AT12" i="34"/>
  <c r="E24" i="36" s="1"/>
  <c r="AV14" i="35"/>
  <c r="G43" i="36" s="1"/>
  <c r="AV13" i="35"/>
  <c r="G42" i="36" s="1"/>
  <c r="AT14" i="35"/>
  <c r="E43" i="36" s="1"/>
  <c r="AT13" i="35"/>
  <c r="E42" i="36" s="1"/>
  <c r="AV12" i="35"/>
  <c r="G41" i="36" s="1"/>
  <c r="AV14" i="34"/>
  <c r="G26" i="36" s="1"/>
  <c r="AT13" i="34"/>
  <c r="E25" i="36" s="1"/>
  <c r="AV15" i="34"/>
  <c r="G27" i="36" s="1"/>
  <c r="AT14" i="34"/>
  <c r="E26" i="36" s="1"/>
  <c r="AV13" i="34"/>
  <c r="G25" i="36" s="1"/>
  <c r="AT15" i="34"/>
  <c r="E27" i="36" s="1"/>
  <c r="AV7" i="35"/>
  <c r="G36" i="36" s="1"/>
  <c r="AV6" i="35"/>
  <c r="G35" i="36" s="1"/>
  <c r="AV8" i="35"/>
  <c r="G37" i="36" s="1"/>
  <c r="AZ12" i="31"/>
  <c r="AV10" i="35"/>
  <c r="G39" i="36" s="1"/>
  <c r="AV9" i="35"/>
  <c r="G38" i="36" s="1"/>
  <c r="AV11" i="35"/>
  <c r="G40" i="36" s="1"/>
  <c r="AW17" i="31"/>
  <c r="G14" i="36" s="1"/>
  <c r="AW16" i="31"/>
  <c r="G13" i="36" s="1"/>
  <c r="AW15" i="31"/>
  <c r="G12" i="36" s="1"/>
  <c r="AU17" i="31"/>
  <c r="E14" i="36" s="1"/>
  <c r="AU15" i="31"/>
  <c r="E12" i="36" s="1"/>
  <c r="AU16" i="31"/>
  <c r="E13" i="36" s="1"/>
  <c r="AY13" i="34"/>
  <c r="AY16" i="34"/>
  <c r="AY15" i="35"/>
  <c r="AT16" i="35"/>
  <c r="E45" i="36" s="1"/>
  <c r="AT15" i="35"/>
  <c r="E44" i="36" s="1"/>
  <c r="AV17" i="35"/>
  <c r="G46" i="36" s="1"/>
  <c r="AV16" i="35"/>
  <c r="G45" i="36" s="1"/>
  <c r="AV15" i="35"/>
  <c r="G44" i="36" s="1"/>
  <c r="AT17" i="35"/>
  <c r="E46" i="36" s="1"/>
  <c r="Y39" i="31"/>
  <c r="AA39" i="31" s="1"/>
  <c r="AT8" i="34"/>
  <c r="E20" i="36" s="1"/>
  <c r="AT7" i="34"/>
  <c r="E19" i="36" s="1"/>
  <c r="AT9" i="34"/>
  <c r="E21" i="36" s="1"/>
  <c r="AV8" i="34"/>
  <c r="G20" i="36" s="1"/>
  <c r="AV7" i="34"/>
  <c r="G19" i="36" s="1"/>
  <c r="AV9" i="34"/>
  <c r="G21" i="36" s="1"/>
  <c r="Y39" i="34"/>
  <c r="AA39" i="34" s="1"/>
  <c r="AA38" i="34"/>
  <c r="Y14" i="35"/>
  <c r="AA14" i="35" s="1"/>
  <c r="AA13" i="35"/>
  <c r="Y111" i="35"/>
  <c r="AA111" i="35" s="1"/>
  <c r="AY7" i="34"/>
  <c r="AZ15" i="31"/>
  <c r="Y63" i="35"/>
  <c r="AA63" i="35" s="1"/>
  <c r="Y15" i="31"/>
  <c r="AA15" i="31" s="1"/>
  <c r="AU14" i="31"/>
  <c r="E11" i="36" s="1"/>
  <c r="AU13" i="31"/>
  <c r="E10" i="36" s="1"/>
  <c r="AW12" i="31"/>
  <c r="G9" i="36" s="1"/>
  <c r="AW14" i="31"/>
  <c r="G11" i="36" s="1"/>
  <c r="AW13" i="31"/>
  <c r="G10" i="36" s="1"/>
  <c r="AU12" i="31"/>
  <c r="E9" i="36" s="1"/>
  <c r="AU8" i="31"/>
  <c r="E5" i="36" s="1"/>
  <c r="AW7" i="31"/>
  <c r="G4" i="36" s="1"/>
  <c r="AW8" i="31"/>
  <c r="G5" i="36" s="1"/>
  <c r="AU6" i="31"/>
  <c r="E3" i="36" s="1"/>
  <c r="AU7" i="31"/>
  <c r="E4" i="36" s="1"/>
  <c r="Y86" i="35"/>
  <c r="AA86" i="35" s="1"/>
  <c r="AA85" i="35"/>
  <c r="J15" i="36" l="1"/>
  <c r="Y40" i="34"/>
  <c r="AA40" i="34" s="1"/>
  <c r="Y15" i="35"/>
  <c r="AA15" i="35" s="1"/>
  <c r="Y87" i="35"/>
  <c r="AA87" i="35" s="1"/>
</calcChain>
</file>

<file path=xl/sharedStrings.xml><?xml version="1.0" encoding="utf-8"?>
<sst xmlns="http://schemas.openxmlformats.org/spreadsheetml/2006/main" count="2255" uniqueCount="147">
  <si>
    <t>PEG</t>
  </si>
  <si>
    <t>MDX</t>
  </si>
  <si>
    <t>Ave</t>
  </si>
  <si>
    <t>Std dev</t>
  </si>
  <si>
    <t>Top</t>
  </si>
  <si>
    <t>Bottom</t>
  </si>
  <si>
    <t>Overall</t>
  </si>
  <si>
    <t>A</t>
  </si>
  <si>
    <t>B</t>
  </si>
  <si>
    <t>C</t>
  </si>
  <si>
    <t>PEG %</t>
  </si>
  <si>
    <t>Compostion</t>
  </si>
  <si>
    <t>Total</t>
  </si>
  <si>
    <t>Average</t>
  </si>
  <si>
    <t>Mass 1st dil.</t>
  </si>
  <si>
    <t>RI</t>
  </si>
  <si>
    <t>Buffer used in 1st dil (mL)</t>
  </si>
  <si>
    <t>Total mass</t>
  </si>
  <si>
    <t>Std dev.</t>
  </si>
  <si>
    <t>PEG 10k</t>
  </si>
  <si>
    <t>Water</t>
  </si>
  <si>
    <t>PEG 12k</t>
  </si>
  <si>
    <t>PEG 20k</t>
  </si>
  <si>
    <t>Density</t>
  </si>
  <si>
    <t>PEG 4k</t>
  </si>
  <si>
    <t>PEG 6k</t>
  </si>
  <si>
    <t>Citrate pH 6 buffer</t>
  </si>
  <si>
    <t>PEG 4000</t>
  </si>
  <si>
    <t>Eppie no.</t>
  </si>
  <si>
    <t>1A</t>
  </si>
  <si>
    <t>Phase</t>
  </si>
  <si>
    <t>1B</t>
  </si>
  <si>
    <t>2A</t>
  </si>
  <si>
    <t>2B</t>
  </si>
  <si>
    <t>3A</t>
  </si>
  <si>
    <t>3B</t>
  </si>
  <si>
    <t>4A</t>
  </si>
  <si>
    <t>4B</t>
  </si>
  <si>
    <t>5A</t>
  </si>
  <si>
    <t>5B</t>
  </si>
  <si>
    <t>Mass after</t>
  </si>
  <si>
    <t>Mass added</t>
  </si>
  <si>
    <t>Dry weight</t>
  </si>
  <si>
    <t>Water mass</t>
  </si>
  <si>
    <t>PEG 4000 (g)</t>
  </si>
  <si>
    <t>PEG 6000 (g)</t>
  </si>
  <si>
    <t>PEG 10000 (g)</t>
  </si>
  <si>
    <t>Water wt%</t>
  </si>
  <si>
    <t>% water</t>
  </si>
  <si>
    <t>%PEG</t>
  </si>
  <si>
    <t>%citrate</t>
  </si>
  <si>
    <t>y = 0.1375x + 1.333</t>
  </si>
  <si>
    <t>Citrate</t>
  </si>
  <si>
    <t>y = 0.16x + 1.333</t>
  </si>
  <si>
    <t>RI (water)</t>
  </si>
  <si>
    <t>RI (PEG)</t>
  </si>
  <si>
    <t>RI (Citrate)</t>
  </si>
  <si>
    <t>Masses</t>
  </si>
  <si>
    <t>Citrate %</t>
  </si>
  <si>
    <t>Water %</t>
  </si>
  <si>
    <t>Volume</t>
  </si>
  <si>
    <t>Mass</t>
  </si>
  <si>
    <t>sum T+B</t>
  </si>
  <si>
    <t>SSE RI1</t>
  </si>
  <si>
    <t>SSE RI2</t>
  </si>
  <si>
    <t>SSE Mass1</t>
  </si>
  <si>
    <t>SSE Mass2</t>
  </si>
  <si>
    <t>Citrate wt %</t>
  </si>
  <si>
    <t>PEG wt %</t>
  </si>
  <si>
    <t>Grad PEG</t>
  </si>
  <si>
    <t>Grad CIT</t>
  </si>
  <si>
    <t>RI top</t>
  </si>
  <si>
    <t>RI bottom</t>
  </si>
  <si>
    <t>Water wt %</t>
  </si>
  <si>
    <t>SSE</t>
  </si>
  <si>
    <t>Sum T+B</t>
  </si>
  <si>
    <t>SE</t>
  </si>
  <si>
    <t>Actual</t>
  </si>
  <si>
    <t>O</t>
  </si>
  <si>
    <t>T</t>
  </si>
  <si>
    <t>Stdev.</t>
  </si>
  <si>
    <t>a</t>
  </si>
  <si>
    <t>b</t>
  </si>
  <si>
    <t>c</t>
  </si>
  <si>
    <t>Sample</t>
  </si>
  <si>
    <t>MDX %</t>
  </si>
  <si>
    <t>Std error</t>
  </si>
  <si>
    <t>Tie-line slope</t>
  </si>
  <si>
    <t>Tie line length</t>
  </si>
  <si>
    <t>Volume ratio</t>
  </si>
  <si>
    <t>Volume ratio (predicted)</t>
  </si>
  <si>
    <t>Average TLS</t>
  </si>
  <si>
    <t>PEG wt% (experimental)</t>
  </si>
  <si>
    <t>PEG wt% (model)</t>
  </si>
  <si>
    <t>Squared error</t>
  </si>
  <si>
    <t>Citrate wt%</t>
  </si>
  <si>
    <t>PEG wt% (4000)</t>
  </si>
  <si>
    <t>PEG wt% (10000)</t>
  </si>
  <si>
    <t>PEG wt% (6000)</t>
  </si>
  <si>
    <t>PEG 10000 Constants</t>
  </si>
  <si>
    <t>PEG 4000 Constants</t>
  </si>
  <si>
    <t>PEG 6000 Constants</t>
  </si>
  <si>
    <t>PEG 6000</t>
  </si>
  <si>
    <t>PEG 10000</t>
  </si>
  <si>
    <t>Standard error</t>
  </si>
  <si>
    <t>PEG wt%</t>
  </si>
  <si>
    <t>Volume ratio (calculated)</t>
  </si>
  <si>
    <t>Volume ratio (observed)</t>
  </si>
  <si>
    <t>Relative phase volume (% length)</t>
  </si>
  <si>
    <t>-</t>
  </si>
  <si>
    <t>Error %</t>
  </si>
  <si>
    <t>Gradient PEG</t>
  </si>
  <si>
    <t>Gradient CIT</t>
  </si>
  <si>
    <t>SE RI1</t>
  </si>
  <si>
    <t>SE RI2</t>
  </si>
  <si>
    <t>SE Mass1</t>
  </si>
  <si>
    <t>SE Mass2</t>
  </si>
  <si>
    <t>Refractive indices</t>
  </si>
  <si>
    <t>Top error %</t>
  </si>
  <si>
    <t>Bottom error %</t>
  </si>
  <si>
    <t>Standard deviation</t>
  </si>
  <si>
    <t>SSE total</t>
  </si>
  <si>
    <t>to be  minimised</t>
  </si>
  <si>
    <t>Mixture 1</t>
  </si>
  <si>
    <t>Mixture 2</t>
  </si>
  <si>
    <t>Mixture 3</t>
  </si>
  <si>
    <t>Mixture 4</t>
  </si>
  <si>
    <t>Mixture 5</t>
  </si>
  <si>
    <t>Taking initial water % from dry weight concentrations</t>
  </si>
  <si>
    <t>OVERALL SUMMARY PEG 4000</t>
  </si>
  <si>
    <t>Top (dilute)</t>
  </si>
  <si>
    <t>Bottom (dilute)</t>
  </si>
  <si>
    <t>OVERALL SUMMARY PEG 6000</t>
  </si>
  <si>
    <t>OVERALL SUMMARY PEG 10000</t>
  </si>
  <si>
    <t>PEG wt% model</t>
  </si>
  <si>
    <t>PEG wt% experimental</t>
  </si>
  <si>
    <t>Squared errors</t>
  </si>
  <si>
    <t>Model constants</t>
  </si>
  <si>
    <t>Modelling</t>
  </si>
  <si>
    <t>Model PEG wt%+</t>
  </si>
  <si>
    <t>Constant</t>
  </si>
  <si>
    <t>R^2 value</t>
  </si>
  <si>
    <t>Compound</t>
  </si>
  <si>
    <t>PEG 12000</t>
  </si>
  <si>
    <t>PEG 20000</t>
  </si>
  <si>
    <t>Gradient (/wt%)</t>
  </si>
  <si>
    <t>Phase composition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</si>
</sst>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0"/>
    <numFmt numFmtId="167" formatCode="0.0E+00"/>
  </numFmts>
  <fonts count="6" x14ac:knownFonts="1">
    <font>
      <sz val="11"/>
      <color theme="1"/>
      <name val="Calibri"/>
      <family val="2"/>
      <scheme val="minor"/>
    </font>
    <font>
      <sz val="11"/>
      <color theme="1"/>
      <name val="Calibri"/>
      <family val="2"/>
      <scheme val="minor"/>
    </font>
    <font>
      <sz val="8"/>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19">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bgColor indexed="64"/>
      </patternFill>
    </fill>
    <fill>
      <patternFill patternType="solid">
        <fgColor theme="8"/>
        <bgColor indexed="64"/>
      </patternFill>
    </fill>
  </fills>
  <borders count="5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476">
    <xf numFmtId="0" fontId="0" fillId="0" borderId="0" xfId="0"/>
    <xf numFmtId="0" fontId="0" fillId="0" borderId="0" xfId="0" applyBorder="1"/>
    <xf numFmtId="0" fontId="0" fillId="0" borderId="2" xfId="0" applyBorder="1"/>
    <xf numFmtId="164" fontId="0" fillId="0" borderId="0" xfId="0" applyNumberFormat="1"/>
    <xf numFmtId="164" fontId="0" fillId="0" borderId="2" xfId="0" applyNumberFormat="1" applyBorder="1"/>
    <xf numFmtId="0" fontId="0" fillId="0" borderId="2" xfId="0" applyFill="1" applyBorder="1"/>
    <xf numFmtId="9" fontId="0" fillId="0" borderId="2" xfId="1" applyFont="1" applyBorder="1"/>
    <xf numFmtId="9" fontId="0" fillId="0" borderId="0" xfId="1" applyFont="1"/>
    <xf numFmtId="164" fontId="0" fillId="0" borderId="0" xfId="0" applyNumberFormat="1" applyBorder="1"/>
    <xf numFmtId="0" fontId="0" fillId="2" borderId="2" xfId="0" applyFill="1" applyBorder="1"/>
    <xf numFmtId="165" fontId="0" fillId="0" borderId="3" xfId="1" applyNumberFormat="1" applyFont="1" applyBorder="1"/>
    <xf numFmtId="165" fontId="0" fillId="0" borderId="0" xfId="1" applyNumberFormat="1" applyFont="1" applyBorder="1"/>
    <xf numFmtId="9" fontId="0" fillId="2" borderId="2" xfId="1" applyFont="1" applyFill="1" applyBorder="1"/>
    <xf numFmtId="0" fontId="0" fillId="0" borderId="9" xfId="0" applyBorder="1"/>
    <xf numFmtId="0" fontId="0" fillId="0" borderId="10" xfId="0" applyBorder="1"/>
    <xf numFmtId="165" fontId="0" fillId="0" borderId="11" xfId="1" applyNumberFormat="1" applyFont="1" applyFill="1" applyBorder="1"/>
    <xf numFmtId="0" fontId="0" fillId="0" borderId="27" xfId="0" applyBorder="1"/>
    <xf numFmtId="165" fontId="0" fillId="3" borderId="4" xfId="1" applyNumberFormat="1" applyFont="1" applyFill="1" applyBorder="1"/>
    <xf numFmtId="165" fontId="0" fillId="3" borderId="16" xfId="1" applyNumberFormat="1" applyFont="1" applyFill="1" applyBorder="1"/>
    <xf numFmtId="165" fontId="0" fillId="3" borderId="3" xfId="1" applyNumberFormat="1" applyFont="1" applyFill="1" applyBorder="1"/>
    <xf numFmtId="165" fontId="0" fillId="0" borderId="13" xfId="1" applyNumberFormat="1" applyFont="1" applyFill="1" applyBorder="1"/>
    <xf numFmtId="0" fontId="0" fillId="0" borderId="1" xfId="0" applyBorder="1"/>
    <xf numFmtId="166" fontId="0" fillId="0" borderId="0" xfId="0" applyNumberFormat="1"/>
    <xf numFmtId="11" fontId="0" fillId="0" borderId="0" xfId="0" applyNumberFormat="1"/>
    <xf numFmtId="165" fontId="0" fillId="0" borderId="0" xfId="1" applyNumberFormat="1" applyFont="1"/>
    <xf numFmtId="165" fontId="0" fillId="0" borderId="0" xfId="0" applyNumberFormat="1"/>
    <xf numFmtId="2" fontId="0" fillId="0" borderId="0" xfId="0" applyNumberFormat="1"/>
    <xf numFmtId="167" fontId="0" fillId="0" borderId="0" xfId="0" applyNumberFormat="1"/>
    <xf numFmtId="11" fontId="0" fillId="0" borderId="0" xfId="1" applyNumberFormat="1" applyFont="1"/>
    <xf numFmtId="0" fontId="0" fillId="0" borderId="0" xfId="0" applyFill="1" applyBorder="1"/>
    <xf numFmtId="0" fontId="0" fillId="2" borderId="20" xfId="0" applyFill="1" applyBorder="1"/>
    <xf numFmtId="0" fontId="0" fillId="2" borderId="18" xfId="0" applyFill="1" applyBorder="1"/>
    <xf numFmtId="0" fontId="0" fillId="2" borderId="19" xfId="0" applyFill="1" applyBorder="1"/>
    <xf numFmtId="0" fontId="0" fillId="2" borderId="35" xfId="0" applyFill="1" applyBorder="1"/>
    <xf numFmtId="0" fontId="0" fillId="2" borderId="10" xfId="0" applyFill="1" applyBorder="1"/>
    <xf numFmtId="0" fontId="0" fillId="2" borderId="15" xfId="0" applyFill="1" applyBorder="1"/>
    <xf numFmtId="0" fontId="0" fillId="2" borderId="39" xfId="0" applyFill="1" applyBorder="1"/>
    <xf numFmtId="165" fontId="0" fillId="0" borderId="0" xfId="1" applyNumberFormat="1" applyFont="1" applyFill="1" applyBorder="1"/>
    <xf numFmtId="164" fontId="0" fillId="0" borderId="0" xfId="1" applyNumberFormat="1" applyFont="1" applyFill="1" applyBorder="1"/>
    <xf numFmtId="9" fontId="0" fillId="0" borderId="0" xfId="1" applyFont="1" applyFill="1" applyBorder="1"/>
    <xf numFmtId="165" fontId="0" fillId="0" borderId="0" xfId="1" applyNumberFormat="1" applyFont="1" applyFill="1" applyBorder="1" applyAlignment="1"/>
    <xf numFmtId="2" fontId="0" fillId="0" borderId="0" xfId="1" applyNumberFormat="1" applyFont="1" applyFill="1" applyBorder="1" applyAlignment="1"/>
    <xf numFmtId="0" fontId="0" fillId="2" borderId="21" xfId="0" applyFill="1" applyBorder="1"/>
    <xf numFmtId="0" fontId="0" fillId="2" borderId="26" xfId="0" applyFill="1" applyBorder="1"/>
    <xf numFmtId="0" fontId="0" fillId="2" borderId="24" xfId="0" applyFill="1" applyBorder="1"/>
    <xf numFmtId="0" fontId="0" fillId="2" borderId="25" xfId="0" applyFill="1" applyBorder="1"/>
    <xf numFmtId="165" fontId="0" fillId="5" borderId="2" xfId="1" applyNumberFormat="1" applyFont="1" applyFill="1" applyBorder="1"/>
    <xf numFmtId="0" fontId="0" fillId="0" borderId="0" xfId="0" applyFill="1"/>
    <xf numFmtId="164" fontId="0" fillId="7" borderId="2" xfId="0" applyNumberFormat="1" applyFill="1" applyBorder="1"/>
    <xf numFmtId="165" fontId="0" fillId="7" borderId="2" xfId="1" applyNumberFormat="1" applyFont="1" applyFill="1" applyBorder="1"/>
    <xf numFmtId="0" fontId="0" fillId="8" borderId="6" xfId="0" applyFill="1" applyBorder="1"/>
    <xf numFmtId="0" fontId="0" fillId="8" borderId="7" xfId="0" applyFill="1" applyBorder="1"/>
    <xf numFmtId="0" fontId="0" fillId="8" borderId="2" xfId="0" applyFill="1" applyBorder="1"/>
    <xf numFmtId="0" fontId="0" fillId="8" borderId="8" xfId="0" applyFill="1" applyBorder="1"/>
    <xf numFmtId="0" fontId="0" fillId="0" borderId="3" xfId="0" applyFill="1" applyBorder="1"/>
    <xf numFmtId="0" fontId="0" fillId="0" borderId="3" xfId="0" applyBorder="1"/>
    <xf numFmtId="164" fontId="0" fillId="0" borderId="3" xfId="0" applyNumberFormat="1" applyBorder="1"/>
    <xf numFmtId="166" fontId="0" fillId="0" borderId="0" xfId="0" applyNumberFormat="1" applyBorder="1"/>
    <xf numFmtId="0" fontId="0" fillId="0" borderId="0" xfId="0" applyBorder="1" applyAlignment="1">
      <alignment horizontal="center"/>
    </xf>
    <xf numFmtId="164" fontId="0" fillId="9" borderId="2" xfId="0" applyNumberFormat="1" applyFill="1" applyBorder="1"/>
    <xf numFmtId="0" fontId="0" fillId="9" borderId="2" xfId="0" applyFill="1" applyBorder="1"/>
    <xf numFmtId="0" fontId="0" fillId="6" borderId="2" xfId="0" applyFill="1" applyBorder="1"/>
    <xf numFmtId="166" fontId="0" fillId="6" borderId="2" xfId="0" applyNumberFormat="1" applyFill="1" applyBorder="1"/>
    <xf numFmtId="164" fontId="0" fillId="0" borderId="2" xfId="0" applyNumberFormat="1" applyFill="1" applyBorder="1"/>
    <xf numFmtId="164" fontId="0" fillId="0" borderId="0" xfId="0" applyNumberFormat="1" applyFill="1" applyBorder="1"/>
    <xf numFmtId="0" fontId="0" fillId="0" borderId="45" xfId="0" applyBorder="1"/>
    <xf numFmtId="0" fontId="0" fillId="0" borderId="46" xfId="0" applyBorder="1"/>
    <xf numFmtId="164" fontId="0" fillId="0" borderId="46" xfId="0" applyNumberFormat="1"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164" fontId="0" fillId="0" borderId="27" xfId="0" applyNumberFormat="1" applyBorder="1"/>
    <xf numFmtId="0" fontId="3" fillId="0" borderId="48" xfId="0" applyFont="1" applyBorder="1"/>
    <xf numFmtId="0" fontId="0" fillId="3" borderId="46" xfId="0" applyFill="1" applyBorder="1"/>
    <xf numFmtId="0" fontId="3" fillId="0" borderId="45" xfId="0" applyFont="1" applyBorder="1"/>
    <xf numFmtId="2" fontId="0" fillId="0" borderId="0" xfId="0" applyNumberFormat="1" applyBorder="1"/>
    <xf numFmtId="167" fontId="0" fillId="0" borderId="0" xfId="0" applyNumberFormat="1" applyBorder="1"/>
    <xf numFmtId="165" fontId="0" fillId="9" borderId="2" xfId="1" applyNumberFormat="1" applyFont="1" applyFill="1" applyBorder="1"/>
    <xf numFmtId="11" fontId="0" fillId="9" borderId="2" xfId="0" applyNumberFormat="1" applyFill="1" applyBorder="1"/>
    <xf numFmtId="165" fontId="0" fillId="9" borderId="2" xfId="0" applyNumberFormat="1" applyFill="1" applyBorder="1"/>
    <xf numFmtId="9" fontId="0" fillId="9" borderId="2" xfId="1" applyFont="1" applyFill="1" applyBorder="1"/>
    <xf numFmtId="0" fontId="0" fillId="10" borderId="0" xfId="0" applyFill="1" applyBorder="1"/>
    <xf numFmtId="0" fontId="0" fillId="9" borderId="8" xfId="0" applyFill="1" applyBorder="1"/>
    <xf numFmtId="164" fontId="0" fillId="0" borderId="46" xfId="0" applyNumberFormat="1" applyFill="1" applyBorder="1"/>
    <xf numFmtId="164" fontId="0" fillId="0" borderId="27" xfId="0" applyNumberFormat="1" applyFill="1" applyBorder="1"/>
    <xf numFmtId="0" fontId="0" fillId="0" borderId="52" xfId="0" applyBorder="1"/>
    <xf numFmtId="164" fontId="0" fillId="0" borderId="39" xfId="0" applyNumberFormat="1" applyBorder="1"/>
    <xf numFmtId="164" fontId="0" fillId="0" borderId="52" xfId="0" applyNumberFormat="1" applyBorder="1"/>
    <xf numFmtId="164" fontId="0" fillId="0" borderId="39" xfId="0" applyNumberFormat="1" applyFill="1" applyBorder="1"/>
    <xf numFmtId="164" fontId="0" fillId="0" borderId="52" xfId="0" applyNumberFormat="1" applyFill="1" applyBorder="1"/>
    <xf numFmtId="0" fontId="0" fillId="9" borderId="46" xfId="0" applyFill="1" applyBorder="1"/>
    <xf numFmtId="0" fontId="0" fillId="9" borderId="39" xfId="0" applyFill="1" applyBorder="1"/>
    <xf numFmtId="0" fontId="3" fillId="9" borderId="24" xfId="0" applyFont="1" applyFill="1" applyBorder="1"/>
    <xf numFmtId="0" fontId="3" fillId="9" borderId="26" xfId="0" applyFont="1" applyFill="1" applyBorder="1"/>
    <xf numFmtId="0" fontId="4" fillId="0" borderId="0" xfId="0" applyFont="1"/>
    <xf numFmtId="0" fontId="0" fillId="9" borderId="11" xfId="0" applyFill="1" applyBorder="1"/>
    <xf numFmtId="0" fontId="0" fillId="2" borderId="6" xfId="0" applyFill="1" applyBorder="1"/>
    <xf numFmtId="0" fontId="0" fillId="2" borderId="36" xfId="0" applyFill="1" applyBorder="1"/>
    <xf numFmtId="0" fontId="0" fillId="2" borderId="2" xfId="0" applyFill="1" applyBorder="1" applyAlignment="1"/>
    <xf numFmtId="164" fontId="0" fillId="0" borderId="10" xfId="0" applyNumberFormat="1" applyBorder="1"/>
    <xf numFmtId="164" fontId="0" fillId="0" borderId="7" xfId="0" applyNumberFormat="1" applyBorder="1"/>
    <xf numFmtId="11" fontId="0" fillId="0" borderId="2" xfId="0" applyNumberFormat="1" applyBorder="1"/>
    <xf numFmtId="167" fontId="0" fillId="2" borderId="2" xfId="0" applyNumberFormat="1" applyFill="1" applyBorder="1"/>
    <xf numFmtId="167" fontId="0" fillId="0" borderId="2" xfId="0" applyNumberFormat="1" applyBorder="1"/>
    <xf numFmtId="164" fontId="0" fillId="2" borderId="2" xfId="0" applyNumberFormat="1" applyFill="1" applyBorder="1"/>
    <xf numFmtId="9" fontId="0" fillId="0" borderId="0" xfId="1" applyFont="1" applyBorder="1"/>
    <xf numFmtId="0" fontId="0" fillId="11" borderId="2" xfId="0" applyFill="1" applyBorder="1"/>
    <xf numFmtId="9" fontId="0" fillId="11" borderId="2" xfId="1" applyFont="1" applyFill="1" applyBorder="1"/>
    <xf numFmtId="164" fontId="0" fillId="11" borderId="2" xfId="0" applyNumberFormat="1" applyFill="1" applyBorder="1"/>
    <xf numFmtId="167" fontId="0" fillId="11" borderId="2" xfId="0" applyNumberFormat="1" applyFill="1" applyBorder="1"/>
    <xf numFmtId="0" fontId="0" fillId="11" borderId="2" xfId="0" applyFill="1" applyBorder="1" applyAlignment="1"/>
    <xf numFmtId="0" fontId="0" fillId="12" borderId="2" xfId="0" applyFill="1" applyBorder="1"/>
    <xf numFmtId="0" fontId="0" fillId="4" borderId="2" xfId="0" applyFill="1" applyBorder="1"/>
    <xf numFmtId="167" fontId="0" fillId="4" borderId="2" xfId="0" applyNumberFormat="1" applyFill="1" applyBorder="1"/>
    <xf numFmtId="164" fontId="0" fillId="9" borderId="2" xfId="0" applyNumberFormat="1" applyFill="1" applyBorder="1" applyAlignment="1"/>
    <xf numFmtId="164" fontId="0" fillId="9" borderId="2" xfId="0" applyNumberFormat="1" applyFill="1" applyBorder="1" applyAlignment="1">
      <alignment horizontal="right"/>
    </xf>
    <xf numFmtId="0" fontId="0" fillId="12" borderId="6" xfId="0" applyFill="1" applyBorder="1"/>
    <xf numFmtId="0" fontId="0" fillId="12" borderId="22" xfId="0" applyFill="1" applyBorder="1"/>
    <xf numFmtId="0" fontId="0" fillId="12" borderId="15" xfId="0" applyFill="1" applyBorder="1"/>
    <xf numFmtId="0" fontId="0" fillId="12" borderId="7" xfId="0" applyFill="1" applyBorder="1"/>
    <xf numFmtId="0" fontId="0" fillId="4" borderId="23" xfId="0" applyFill="1" applyBorder="1"/>
    <xf numFmtId="0" fontId="0" fillId="4" borderId="22" xfId="0" applyFill="1" applyBorder="1"/>
    <xf numFmtId="0" fontId="0" fillId="7" borderId="24" xfId="0" applyFill="1" applyBorder="1"/>
    <xf numFmtId="0" fontId="0" fillId="7" borderId="25" xfId="0" applyFill="1" applyBorder="1"/>
    <xf numFmtId="0" fontId="0" fillId="7" borderId="28" xfId="0" applyFill="1" applyBorder="1"/>
    <xf numFmtId="0" fontId="0" fillId="2" borderId="12" xfId="0" applyFill="1" applyBorder="1"/>
    <xf numFmtId="0" fontId="0" fillId="2" borderId="9" xfId="0" applyFill="1" applyBorder="1"/>
    <xf numFmtId="0" fontId="0" fillId="2" borderId="14" xfId="0" applyFill="1" applyBorder="1"/>
    <xf numFmtId="0" fontId="0" fillId="2" borderId="7" xfId="0" applyFill="1" applyBorder="1"/>
    <xf numFmtId="0" fontId="0" fillId="12" borderId="8" xfId="0" applyFill="1" applyBorder="1"/>
    <xf numFmtId="0" fontId="0" fillId="12" borderId="39" xfId="0" applyFill="1" applyBorder="1"/>
    <xf numFmtId="0" fontId="0" fillId="13" borderId="2" xfId="0" applyFill="1" applyBorder="1"/>
    <xf numFmtId="165" fontId="0" fillId="13" borderId="2" xfId="0" applyNumberFormat="1" applyFill="1" applyBorder="1"/>
    <xf numFmtId="9" fontId="0" fillId="13" borderId="2" xfId="1" applyFont="1" applyFill="1" applyBorder="1"/>
    <xf numFmtId="0" fontId="0" fillId="12" borderId="2" xfId="0" applyFill="1" applyBorder="1" applyAlignment="1">
      <alignment horizontal="center"/>
    </xf>
    <xf numFmtId="164" fontId="0" fillId="12" borderId="2" xfId="0" applyNumberFormat="1" applyFill="1" applyBorder="1"/>
    <xf numFmtId="164" fontId="0" fillId="13" borderId="2" xfId="0" applyNumberFormat="1" applyFill="1" applyBorder="1"/>
    <xf numFmtId="164" fontId="0" fillId="0" borderId="2" xfId="1" applyNumberFormat="1" applyFont="1" applyBorder="1"/>
    <xf numFmtId="164" fontId="0" fillId="12" borderId="7" xfId="0" applyNumberFormat="1" applyFill="1" applyBorder="1"/>
    <xf numFmtId="164" fontId="0" fillId="0" borderId="49" xfId="0" applyNumberFormat="1" applyBorder="1"/>
    <xf numFmtId="164" fontId="0" fillId="0" borderId="0" xfId="1" applyNumberFormat="1" applyFont="1" applyBorder="1"/>
    <xf numFmtId="164" fontId="3" fillId="7" borderId="2" xfId="0" applyNumberFormat="1" applyFont="1" applyFill="1" applyBorder="1"/>
    <xf numFmtId="164" fontId="0" fillId="12" borderId="9" xfId="0" applyNumberFormat="1" applyFill="1" applyBorder="1"/>
    <xf numFmtId="164" fontId="0" fillId="0" borderId="0" xfId="0" applyNumberFormat="1" applyBorder="1" applyAlignment="1">
      <alignment horizontal="center"/>
    </xf>
    <xf numFmtId="164" fontId="0" fillId="0" borderId="2" xfId="1" applyNumberFormat="1" applyFont="1" applyFill="1" applyBorder="1"/>
    <xf numFmtId="164" fontId="0" fillId="0" borderId="1" xfId="0" applyNumberFormat="1" applyBorder="1"/>
    <xf numFmtId="164" fontId="0" fillId="12" borderId="15" xfId="0" applyNumberFormat="1" applyFill="1" applyBorder="1"/>
    <xf numFmtId="164" fontId="0" fillId="0" borderId="27" xfId="0" applyNumberFormat="1" applyBorder="1" applyAlignment="1">
      <alignment horizontal="center"/>
    </xf>
    <xf numFmtId="164" fontId="0" fillId="0" borderId="51" xfId="0" applyNumberFormat="1" applyBorder="1"/>
    <xf numFmtId="164" fontId="0" fillId="0" borderId="46" xfId="0" applyNumberFormat="1" applyBorder="1" applyAlignment="1">
      <alignment horizontal="center"/>
    </xf>
    <xf numFmtId="164" fontId="0" fillId="0" borderId="47" xfId="0" applyNumberFormat="1" applyBorder="1"/>
    <xf numFmtId="164" fontId="0" fillId="12" borderId="6" xfId="0" applyNumberFormat="1" applyFill="1" applyBorder="1"/>
    <xf numFmtId="164" fontId="0" fillId="6" borderId="2" xfId="0" applyNumberFormat="1" applyFill="1" applyBorder="1"/>
    <xf numFmtId="164" fontId="0" fillId="12" borderId="39" xfId="0" applyNumberFormat="1" applyFill="1" applyBorder="1"/>
    <xf numFmtId="164" fontId="0" fillId="12" borderId="0" xfId="0" applyNumberFormat="1" applyFill="1" applyBorder="1"/>
    <xf numFmtId="164" fontId="0" fillId="12" borderId="3" xfId="0" applyNumberFormat="1" applyFill="1" applyBorder="1" applyAlignment="1">
      <alignment horizontal="center"/>
    </xf>
    <xf numFmtId="164" fontId="0" fillId="12" borderId="2" xfId="0" applyNumberFormat="1" applyFill="1" applyBorder="1" applyAlignment="1">
      <alignment horizontal="center"/>
    </xf>
    <xf numFmtId="164" fontId="0" fillId="12" borderId="3" xfId="0" applyNumberFormat="1" applyFill="1" applyBorder="1"/>
    <xf numFmtId="10" fontId="0" fillId="13" borderId="2" xfId="0" applyNumberFormat="1" applyFill="1" applyBorder="1"/>
    <xf numFmtId="165" fontId="0" fillId="7" borderId="10" xfId="1" applyNumberFormat="1" applyFont="1" applyFill="1" applyBorder="1"/>
    <xf numFmtId="165" fontId="0" fillId="7" borderId="11" xfId="1" applyNumberFormat="1" applyFont="1" applyFill="1" applyBorder="1"/>
    <xf numFmtId="165" fontId="0" fillId="7" borderId="8" xfId="1" applyNumberFormat="1" applyFont="1" applyFill="1" applyBorder="1"/>
    <xf numFmtId="165" fontId="0" fillId="0" borderId="27" xfId="1" applyNumberFormat="1" applyFont="1" applyBorder="1"/>
    <xf numFmtId="165" fontId="0" fillId="0" borderId="46" xfId="1" applyNumberFormat="1" applyFont="1" applyBorder="1"/>
    <xf numFmtId="165" fontId="0" fillId="12" borderId="39" xfId="1" applyNumberFormat="1" applyFont="1" applyFill="1" applyBorder="1"/>
    <xf numFmtId="164" fontId="0" fillId="4" borderId="2" xfId="0" applyNumberFormat="1" applyFill="1" applyBorder="1"/>
    <xf numFmtId="0" fontId="0" fillId="4" borderId="6" xfId="0" applyFill="1" applyBorder="1"/>
    <xf numFmtId="0" fontId="0" fillId="4" borderId="7" xfId="0" applyFill="1" applyBorder="1"/>
    <xf numFmtId="0" fontId="0" fillId="4" borderId="8" xfId="0" applyFill="1" applyBorder="1"/>
    <xf numFmtId="0" fontId="0" fillId="4" borderId="15" xfId="0" applyFill="1" applyBorder="1"/>
    <xf numFmtId="0" fontId="0" fillId="4" borderId="36" xfId="0" applyFill="1" applyBorder="1"/>
    <xf numFmtId="164" fontId="0" fillId="4" borderId="5" xfId="0" applyNumberFormat="1" applyFill="1" applyBorder="1" applyAlignment="1">
      <alignment horizontal="center"/>
    </xf>
    <xf numFmtId="164" fontId="0" fillId="4" borderId="2" xfId="0" applyNumberFormat="1" applyFill="1" applyBorder="1" applyAlignment="1">
      <alignment horizontal="center"/>
    </xf>
    <xf numFmtId="164" fontId="0" fillId="4" borderId="7" xfId="0" applyNumberFormat="1" applyFill="1" applyBorder="1"/>
    <xf numFmtId="164" fontId="0" fillId="4" borderId="0" xfId="0" applyNumberFormat="1" applyFill="1" applyBorder="1"/>
    <xf numFmtId="164" fontId="0" fillId="4" borderId="3" xfId="0" applyNumberFormat="1" applyFill="1" applyBorder="1"/>
    <xf numFmtId="164" fontId="3" fillId="9" borderId="2" xfId="0" applyNumberFormat="1" applyFont="1" applyFill="1" applyBorder="1"/>
    <xf numFmtId="164" fontId="0" fillId="4" borderId="9" xfId="0" applyNumberFormat="1" applyFill="1" applyBorder="1"/>
    <xf numFmtId="164" fontId="0" fillId="4" borderId="6" xfId="0" applyNumberFormat="1" applyFill="1" applyBorder="1"/>
    <xf numFmtId="164" fontId="0" fillId="0" borderId="0" xfId="0" applyNumberFormat="1" applyFill="1" applyBorder="1" applyAlignment="1">
      <alignment horizontal="center"/>
    </xf>
    <xf numFmtId="9" fontId="0" fillId="9" borderId="8" xfId="1" applyFont="1" applyFill="1" applyBorder="1"/>
    <xf numFmtId="165" fontId="0" fillId="9" borderId="8" xfId="1" applyNumberFormat="1" applyFont="1" applyFill="1" applyBorder="1"/>
    <xf numFmtId="165" fontId="3" fillId="9" borderId="2" xfId="1" applyNumberFormat="1" applyFont="1" applyFill="1" applyBorder="1"/>
    <xf numFmtId="165" fontId="0" fillId="0" borderId="52" xfId="1" applyNumberFormat="1" applyFont="1" applyBorder="1"/>
    <xf numFmtId="165" fontId="0" fillId="4" borderId="2" xfId="1" applyNumberFormat="1" applyFont="1" applyFill="1" applyBorder="1"/>
    <xf numFmtId="165" fontId="0" fillId="4" borderId="8" xfId="1" applyNumberFormat="1" applyFont="1" applyFill="1" applyBorder="1"/>
    <xf numFmtId="10" fontId="0" fillId="9" borderId="2" xfId="0" applyNumberFormat="1" applyFill="1" applyBorder="1"/>
    <xf numFmtId="10" fontId="0" fillId="0" borderId="0" xfId="0" applyNumberFormat="1"/>
    <xf numFmtId="10" fontId="0" fillId="4" borderId="2" xfId="0" applyNumberFormat="1" applyFill="1" applyBorder="1"/>
    <xf numFmtId="10" fontId="0" fillId="9" borderId="2" xfId="1" applyNumberFormat="1" applyFont="1" applyFill="1" applyBorder="1"/>
    <xf numFmtId="11" fontId="0" fillId="9" borderId="39" xfId="0" applyNumberFormat="1" applyFill="1" applyBorder="1"/>
    <xf numFmtId="2" fontId="0" fillId="4" borderId="2" xfId="0" applyNumberFormat="1" applyFill="1" applyBorder="1"/>
    <xf numFmtId="9" fontId="0" fillId="9" borderId="7" xfId="1" applyFont="1" applyFill="1" applyBorder="1"/>
    <xf numFmtId="9" fontId="0" fillId="9" borderId="9" xfId="1" applyFont="1" applyFill="1" applyBorder="1"/>
    <xf numFmtId="9" fontId="0" fillId="9" borderId="11" xfId="1" applyFont="1" applyFill="1" applyBorder="1"/>
    <xf numFmtId="165" fontId="0" fillId="9" borderId="7" xfId="1" applyNumberFormat="1" applyFont="1" applyFill="1" applyBorder="1"/>
    <xf numFmtId="165" fontId="0" fillId="9" borderId="9" xfId="1" applyNumberFormat="1" applyFont="1" applyFill="1" applyBorder="1"/>
    <xf numFmtId="165" fontId="0" fillId="9" borderId="11" xfId="1" applyNumberFormat="1" applyFont="1" applyFill="1" applyBorder="1"/>
    <xf numFmtId="2" fontId="0" fillId="2" borderId="2" xfId="0" applyNumberFormat="1" applyFill="1" applyBorder="1"/>
    <xf numFmtId="164" fontId="0" fillId="2" borderId="2" xfId="0" applyNumberFormat="1" applyFill="1" applyBorder="1" applyAlignment="1">
      <alignment horizontal="center"/>
    </xf>
    <xf numFmtId="164" fontId="0" fillId="8" borderId="7" xfId="0" applyNumberFormat="1" applyFill="1" applyBorder="1"/>
    <xf numFmtId="164" fontId="0" fillId="2" borderId="0" xfId="0" applyNumberFormat="1" applyFill="1" applyBorder="1"/>
    <xf numFmtId="164" fontId="0" fillId="2" borderId="3" xfId="0" applyNumberFormat="1" applyFill="1" applyBorder="1"/>
    <xf numFmtId="164" fontId="0" fillId="8" borderId="9" xfId="0" applyNumberFormat="1" applyFill="1" applyBorder="1"/>
    <xf numFmtId="164" fontId="0" fillId="2" borderId="15" xfId="0" applyNumberFormat="1" applyFill="1" applyBorder="1"/>
    <xf numFmtId="164" fontId="0" fillId="8" borderId="6" xfId="0" applyNumberFormat="1" applyFill="1" applyBorder="1"/>
    <xf numFmtId="164" fontId="0" fillId="8" borderId="2" xfId="0" applyNumberFormat="1" applyFill="1" applyBorder="1"/>
    <xf numFmtId="164" fontId="0" fillId="0" borderId="1" xfId="0" applyNumberFormat="1" applyFill="1" applyBorder="1"/>
    <xf numFmtId="165" fontId="0" fillId="8" borderId="2" xfId="1" applyNumberFormat="1" applyFont="1" applyFill="1" applyBorder="1"/>
    <xf numFmtId="165" fontId="0" fillId="8" borderId="8" xfId="1" applyNumberFormat="1" applyFont="1" applyFill="1" applyBorder="1"/>
    <xf numFmtId="0" fontId="0" fillId="14" borderId="20" xfId="0" applyFill="1" applyBorder="1"/>
    <xf numFmtId="0" fontId="0" fillId="14" borderId="18" xfId="0" applyFill="1" applyBorder="1"/>
    <xf numFmtId="0" fontId="0" fillId="14" borderId="35" xfId="0" applyFill="1" applyBorder="1"/>
    <xf numFmtId="0" fontId="0" fillId="14" borderId="2" xfId="0" applyFill="1" applyBorder="1"/>
    <xf numFmtId="0" fontId="0" fillId="14" borderId="10" xfId="0" applyFill="1" applyBorder="1"/>
    <xf numFmtId="0" fontId="0" fillId="14" borderId="39" xfId="0" applyFill="1" applyBorder="1"/>
    <xf numFmtId="0" fontId="0" fillId="14" borderId="19" xfId="0" applyFill="1" applyBorder="1"/>
    <xf numFmtId="0" fontId="0" fillId="14" borderId="34" xfId="0" applyFill="1" applyBorder="1"/>
    <xf numFmtId="0" fontId="0" fillId="14" borderId="24" xfId="0" applyFill="1" applyBorder="1"/>
    <xf numFmtId="0" fontId="0" fillId="14" borderId="25" xfId="0" applyFill="1" applyBorder="1"/>
    <xf numFmtId="0" fontId="0" fillId="14" borderId="26" xfId="0" applyFill="1" applyBorder="1"/>
    <xf numFmtId="165" fontId="0" fillId="13" borderId="35" xfId="1" applyNumberFormat="1" applyFont="1" applyFill="1" applyBorder="1"/>
    <xf numFmtId="165" fontId="0" fillId="13" borderId="12" xfId="1" applyNumberFormat="1" applyFont="1" applyFill="1" applyBorder="1"/>
    <xf numFmtId="164" fontId="0" fillId="13" borderId="35" xfId="1" applyNumberFormat="1" applyFont="1" applyFill="1" applyBorder="1"/>
    <xf numFmtId="164" fontId="0" fillId="13" borderId="36" xfId="1" applyNumberFormat="1" applyFont="1" applyFill="1" applyBorder="1"/>
    <xf numFmtId="164" fontId="0" fillId="13" borderId="2" xfId="1" applyNumberFormat="1" applyFont="1" applyFill="1" applyBorder="1"/>
    <xf numFmtId="164" fontId="0" fillId="13" borderId="8" xfId="1" applyNumberFormat="1" applyFont="1" applyFill="1" applyBorder="1"/>
    <xf numFmtId="165" fontId="0" fillId="13" borderId="25" xfId="1" applyNumberFormat="1" applyFont="1" applyFill="1" applyBorder="1"/>
    <xf numFmtId="164" fontId="0" fillId="13" borderId="10" xfId="1" applyNumberFormat="1" applyFont="1" applyFill="1" applyBorder="1"/>
    <xf numFmtId="164" fontId="0" fillId="13" borderId="11" xfId="1" applyNumberFormat="1" applyFont="1" applyFill="1" applyBorder="1"/>
    <xf numFmtId="2" fontId="0" fillId="13" borderId="2" xfId="1" applyNumberFormat="1" applyFont="1" applyFill="1" applyBorder="1" applyAlignment="1"/>
    <xf numFmtId="2" fontId="0" fillId="13" borderId="8" xfId="1" applyNumberFormat="1" applyFont="1" applyFill="1" applyBorder="1" applyAlignment="1"/>
    <xf numFmtId="2" fontId="0" fillId="13" borderId="10" xfId="1" applyNumberFormat="1" applyFont="1" applyFill="1" applyBorder="1" applyAlignment="1"/>
    <xf numFmtId="2" fontId="0" fillId="13" borderId="11" xfId="1" applyNumberFormat="1" applyFont="1" applyFill="1" applyBorder="1" applyAlignment="1"/>
    <xf numFmtId="0" fontId="0" fillId="13" borderId="8" xfId="0" applyFill="1" applyBorder="1"/>
    <xf numFmtId="165" fontId="0" fillId="13" borderId="18" xfId="1" applyNumberFormat="1" applyFont="1" applyFill="1" applyBorder="1"/>
    <xf numFmtId="0" fontId="0" fillId="13" borderId="39" xfId="0" applyFill="1" applyBorder="1"/>
    <xf numFmtId="0" fontId="0" fillId="13" borderId="40" xfId="0" applyFill="1" applyBorder="1"/>
    <xf numFmtId="165" fontId="0" fillId="13" borderId="2" xfId="1" applyNumberFormat="1" applyFont="1" applyFill="1" applyBorder="1"/>
    <xf numFmtId="165" fontId="0" fillId="13" borderId="10" xfId="1" applyNumberFormat="1" applyFont="1" applyFill="1" applyBorder="1"/>
    <xf numFmtId="0" fontId="0" fillId="13" borderId="15" xfId="0" applyFill="1" applyBorder="1"/>
    <xf numFmtId="165" fontId="0" fillId="13" borderId="15" xfId="0" applyNumberFormat="1" applyFill="1" applyBorder="1"/>
    <xf numFmtId="165" fontId="0" fillId="13" borderId="15" xfId="1" applyNumberFormat="1" applyFont="1" applyFill="1" applyBorder="1"/>
    <xf numFmtId="165" fontId="0" fillId="13" borderId="17" xfId="1" applyNumberFormat="1" applyFont="1" applyFill="1" applyBorder="1"/>
    <xf numFmtId="165" fontId="0" fillId="13" borderId="8" xfId="1" applyNumberFormat="1" applyFont="1" applyFill="1" applyBorder="1"/>
    <xf numFmtId="165" fontId="0" fillId="13" borderId="11" xfId="1" applyNumberFormat="1" applyFont="1" applyFill="1" applyBorder="1"/>
    <xf numFmtId="0" fontId="0" fillId="15" borderId="20" xfId="0" applyFill="1" applyBorder="1"/>
    <xf numFmtId="0" fontId="0" fillId="15" borderId="18" xfId="0" applyFill="1" applyBorder="1"/>
    <xf numFmtId="0" fontId="0" fillId="15" borderId="35" xfId="0" applyFill="1" applyBorder="1"/>
    <xf numFmtId="0" fontId="0" fillId="15" borderId="2" xfId="0" applyFill="1" applyBorder="1"/>
    <xf numFmtId="0" fontId="0" fillId="15" borderId="10" xfId="0" applyFill="1" applyBorder="1"/>
    <xf numFmtId="0" fontId="0" fillId="15" borderId="19" xfId="0" applyFill="1" applyBorder="1"/>
    <xf numFmtId="0" fontId="0" fillId="15" borderId="34" xfId="0" applyFill="1" applyBorder="1"/>
    <xf numFmtId="0" fontId="0" fillId="15" borderId="24" xfId="0" applyFill="1" applyBorder="1"/>
    <xf numFmtId="0" fontId="0" fillId="15" borderId="25" xfId="0" applyFill="1" applyBorder="1"/>
    <xf numFmtId="0" fontId="0" fillId="15" borderId="26" xfId="0" applyFill="1" applyBorder="1"/>
    <xf numFmtId="165" fontId="0" fillId="16" borderId="35" xfId="1" applyNumberFormat="1" applyFont="1" applyFill="1" applyBorder="1"/>
    <xf numFmtId="165" fontId="0" fillId="16" borderId="12" xfId="1" applyNumberFormat="1" applyFont="1" applyFill="1" applyBorder="1"/>
    <xf numFmtId="164" fontId="0" fillId="16" borderId="35" xfId="1" applyNumberFormat="1" applyFont="1" applyFill="1" applyBorder="1"/>
    <xf numFmtId="164" fontId="0" fillId="16" borderId="36" xfId="1" applyNumberFormat="1" applyFont="1" applyFill="1" applyBorder="1"/>
    <xf numFmtId="0" fontId="0" fillId="16" borderId="2" xfId="0" applyFill="1" applyBorder="1"/>
    <xf numFmtId="0" fontId="0" fillId="16" borderId="8" xfId="0" applyFill="1" applyBorder="1"/>
    <xf numFmtId="165" fontId="0" fillId="16" borderId="25" xfId="1" applyNumberFormat="1" applyFont="1" applyFill="1" applyBorder="1"/>
    <xf numFmtId="165" fontId="0" fillId="16" borderId="28" xfId="1" applyNumberFormat="1" applyFont="1" applyFill="1" applyBorder="1"/>
    <xf numFmtId="0" fontId="0" fillId="16" borderId="10" xfId="0" applyFill="1" applyBorder="1"/>
    <xf numFmtId="0" fontId="0" fillId="16" borderId="11" xfId="0" applyFill="1" applyBorder="1"/>
    <xf numFmtId="0" fontId="0" fillId="16" borderId="15" xfId="0" applyFill="1" applyBorder="1"/>
    <xf numFmtId="165" fontId="0" fillId="16" borderId="15" xfId="0" applyNumberFormat="1" applyFill="1" applyBorder="1"/>
    <xf numFmtId="165" fontId="0" fillId="16" borderId="2" xfId="1" applyNumberFormat="1" applyFont="1" applyFill="1" applyBorder="1"/>
    <xf numFmtId="165" fontId="0" fillId="16" borderId="15" xfId="1" applyNumberFormat="1" applyFont="1" applyFill="1" applyBorder="1"/>
    <xf numFmtId="165" fontId="0" fillId="16" borderId="17" xfId="1" applyNumberFormat="1" applyFont="1" applyFill="1" applyBorder="1"/>
    <xf numFmtId="165" fontId="0" fillId="16" borderId="8" xfId="1" applyNumberFormat="1" applyFont="1" applyFill="1" applyBorder="1"/>
    <xf numFmtId="165" fontId="0" fillId="16" borderId="10" xfId="1" applyNumberFormat="1" applyFont="1" applyFill="1" applyBorder="1"/>
    <xf numFmtId="165" fontId="0" fillId="16" borderId="11" xfId="1" applyNumberFormat="1" applyFont="1" applyFill="1" applyBorder="1"/>
    <xf numFmtId="165" fontId="0" fillId="9" borderId="35" xfId="1" applyNumberFormat="1" applyFont="1" applyFill="1" applyBorder="1"/>
    <xf numFmtId="165" fontId="0" fillId="9" borderId="12" xfId="1" applyNumberFormat="1" applyFont="1" applyFill="1" applyBorder="1"/>
    <xf numFmtId="164" fontId="0" fillId="9" borderId="15" xfId="1" applyNumberFormat="1" applyFont="1" applyFill="1" applyBorder="1"/>
    <xf numFmtId="164" fontId="0" fillId="9" borderId="17" xfId="1" applyNumberFormat="1" applyFont="1" applyFill="1" applyBorder="1"/>
    <xf numFmtId="165" fontId="0" fillId="9" borderId="18" xfId="1" applyNumberFormat="1" applyFont="1" applyFill="1" applyBorder="1"/>
    <xf numFmtId="165" fontId="0" fillId="9" borderId="19" xfId="1" applyNumberFormat="1" applyFont="1" applyFill="1" applyBorder="1"/>
    <xf numFmtId="0" fontId="0" fillId="9" borderId="40" xfId="0" applyFill="1" applyBorder="1"/>
    <xf numFmtId="164" fontId="0" fillId="9" borderId="35" xfId="1" applyNumberFormat="1" applyFont="1" applyFill="1" applyBorder="1"/>
    <xf numFmtId="164" fontId="0" fillId="9" borderId="36" xfId="1" applyNumberFormat="1" applyFont="1" applyFill="1" applyBorder="1"/>
    <xf numFmtId="165" fontId="0" fillId="9" borderId="25" xfId="1" applyNumberFormat="1" applyFont="1" applyFill="1" applyBorder="1"/>
    <xf numFmtId="165" fontId="0" fillId="9" borderId="28" xfId="1" applyNumberFormat="1" applyFont="1" applyFill="1" applyBorder="1"/>
    <xf numFmtId="0" fontId="0" fillId="9" borderId="10" xfId="0" applyFill="1" applyBorder="1"/>
    <xf numFmtId="165" fontId="0" fillId="9" borderId="15" xfId="1" applyNumberFormat="1" applyFont="1" applyFill="1" applyBorder="1"/>
    <xf numFmtId="165" fontId="0" fillId="9" borderId="16" xfId="1" applyNumberFormat="1" applyFont="1" applyFill="1" applyBorder="1"/>
    <xf numFmtId="0" fontId="0" fillId="9" borderId="15" xfId="0" applyFill="1" applyBorder="1"/>
    <xf numFmtId="165" fontId="0" fillId="9" borderId="15" xfId="0" applyNumberFormat="1" applyFill="1" applyBorder="1"/>
    <xf numFmtId="165" fontId="0" fillId="9" borderId="17" xfId="1" applyNumberFormat="1" applyFont="1" applyFill="1" applyBorder="1"/>
    <xf numFmtId="165" fontId="0" fillId="9" borderId="10" xfId="1" applyNumberFormat="1" applyFont="1" applyFill="1" applyBorder="1"/>
    <xf numFmtId="0" fontId="0" fillId="17" borderId="2" xfId="0" applyFill="1" applyBorder="1"/>
    <xf numFmtId="0" fontId="3" fillId="14" borderId="2" xfId="0" applyFont="1" applyFill="1" applyBorder="1"/>
    <xf numFmtId="0" fontId="0" fillId="18" borderId="2" xfId="0" applyFill="1" applyBorder="1"/>
    <xf numFmtId="0" fontId="3" fillId="15" borderId="2" xfId="0" applyFont="1" applyFill="1" applyBorder="1"/>
    <xf numFmtId="165" fontId="0" fillId="16" borderId="2" xfId="0" applyNumberFormat="1" applyFill="1" applyBorder="1"/>
    <xf numFmtId="0" fontId="3" fillId="5" borderId="2" xfId="0" applyFont="1" applyFill="1" applyBorder="1"/>
    <xf numFmtId="0" fontId="3" fillId="2" borderId="2" xfId="0" applyFont="1" applyFill="1" applyBorder="1"/>
    <xf numFmtId="164" fontId="3" fillId="13" borderId="2" xfId="0" applyNumberFormat="1" applyFont="1" applyFill="1" applyBorder="1"/>
    <xf numFmtId="164" fontId="0" fillId="18" borderId="2" xfId="0" applyNumberFormat="1" applyFill="1" applyBorder="1"/>
    <xf numFmtId="164" fontId="3" fillId="15" borderId="2" xfId="0" applyNumberFormat="1" applyFont="1" applyFill="1" applyBorder="1"/>
    <xf numFmtId="164" fontId="0" fillId="16" borderId="2" xfId="0" applyNumberFormat="1" applyFill="1" applyBorder="1"/>
    <xf numFmtId="164" fontId="3" fillId="16" borderId="2" xfId="0" applyNumberFormat="1" applyFont="1" applyFill="1" applyBorder="1"/>
    <xf numFmtId="164" fontId="3" fillId="5" borderId="2" xfId="0" applyNumberFormat="1" applyFont="1" applyFill="1" applyBorder="1"/>
    <xf numFmtId="11" fontId="0" fillId="13" borderId="2" xfId="0" applyNumberFormat="1" applyFill="1" applyBorder="1"/>
    <xf numFmtId="11" fontId="3" fillId="15" borderId="2" xfId="0" applyNumberFormat="1" applyFont="1" applyFill="1" applyBorder="1"/>
    <xf numFmtId="11" fontId="0" fillId="16" borderId="2" xfId="0" applyNumberFormat="1" applyFill="1" applyBorder="1"/>
    <xf numFmtId="11" fontId="3" fillId="5" borderId="2" xfId="0" applyNumberFormat="1" applyFont="1" applyFill="1" applyBorder="1"/>
    <xf numFmtId="0" fontId="0" fillId="11" borderId="2" xfId="0" applyFill="1" applyBorder="1" applyAlignment="1">
      <alignment horizontal="center"/>
    </xf>
    <xf numFmtId="0" fontId="0" fillId="2" borderId="2" xfId="0" applyFill="1" applyBorder="1" applyAlignment="1">
      <alignment horizontal="center"/>
    </xf>
    <xf numFmtId="0" fontId="0" fillId="12" borderId="3" xfId="0" applyFill="1" applyBorder="1" applyAlignment="1">
      <alignment horizontal="center"/>
    </xf>
    <xf numFmtId="0" fontId="0" fillId="12" borderId="4" xfId="0" applyFill="1" applyBorder="1" applyAlignment="1">
      <alignment horizontal="center"/>
    </xf>
    <xf numFmtId="0" fontId="0" fillId="12" borderId="5"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0" fillId="4" borderId="5"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12" borderId="24" xfId="0" applyFill="1" applyBorder="1" applyAlignment="1">
      <alignment horizontal="center"/>
    </xf>
    <xf numFmtId="0" fontId="0" fillId="12" borderId="25" xfId="0" applyFill="1" applyBorder="1" applyAlignment="1">
      <alignment horizontal="center"/>
    </xf>
    <xf numFmtId="0" fontId="0" fillId="4" borderId="24" xfId="0" applyFill="1" applyBorder="1" applyAlignment="1">
      <alignment horizontal="center"/>
    </xf>
    <xf numFmtId="0" fontId="0" fillId="4" borderId="25" xfId="0" applyFill="1" applyBorder="1" applyAlignment="1">
      <alignment horizontal="center"/>
    </xf>
    <xf numFmtId="0" fontId="0" fillId="7" borderId="20" xfId="0" applyFill="1" applyBorder="1" applyAlignment="1">
      <alignment horizontal="center"/>
    </xf>
    <xf numFmtId="0" fontId="0" fillId="7" borderId="18" xfId="0" applyFill="1" applyBorder="1" applyAlignment="1">
      <alignment horizontal="center"/>
    </xf>
    <xf numFmtId="0" fontId="0" fillId="7" borderId="19" xfId="0" applyFill="1" applyBorder="1" applyAlignment="1">
      <alignment horizontal="center"/>
    </xf>
    <xf numFmtId="10" fontId="0" fillId="13" borderId="2" xfId="0" applyNumberFormat="1" applyFill="1" applyBorder="1" applyAlignment="1">
      <alignment horizontal="center"/>
    </xf>
    <xf numFmtId="164" fontId="0" fillId="13" borderId="2" xfId="0" applyNumberFormat="1" applyFill="1" applyBorder="1" applyAlignment="1">
      <alignment horizontal="center"/>
    </xf>
    <xf numFmtId="164" fontId="0" fillId="13" borderId="39" xfId="0" applyNumberFormat="1" applyFill="1" applyBorder="1" applyAlignment="1">
      <alignment horizontal="center"/>
    </xf>
    <xf numFmtId="164" fontId="0" fillId="13" borderId="44" xfId="0" applyNumberFormat="1" applyFill="1" applyBorder="1" applyAlignment="1">
      <alignment horizontal="center"/>
    </xf>
    <xf numFmtId="164" fontId="0" fillId="13" borderId="15" xfId="0" applyNumberForma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164" fontId="0" fillId="12" borderId="35" xfId="0" applyNumberFormat="1" applyFill="1" applyBorder="1" applyAlignment="1">
      <alignment horizontal="center"/>
    </xf>
    <xf numFmtId="165" fontId="0" fillId="12" borderId="35" xfId="1" applyNumberFormat="1" applyFont="1" applyFill="1" applyBorder="1" applyAlignment="1">
      <alignment horizontal="center"/>
    </xf>
    <xf numFmtId="165" fontId="0" fillId="12" borderId="36" xfId="1" applyNumberFormat="1" applyFont="1" applyFill="1" applyBorder="1" applyAlignment="1">
      <alignment horizontal="center"/>
    </xf>
    <xf numFmtId="0" fontId="0" fillId="12" borderId="12" xfId="0" applyFill="1" applyBorder="1" applyAlignment="1">
      <alignment horizontal="center"/>
    </xf>
    <xf numFmtId="0" fontId="0" fillId="12" borderId="41" xfId="0" applyFill="1" applyBorder="1" applyAlignment="1">
      <alignment horizontal="center"/>
    </xf>
    <xf numFmtId="164" fontId="0" fillId="12" borderId="12" xfId="0" applyNumberFormat="1" applyFill="1" applyBorder="1" applyAlignment="1">
      <alignment horizontal="center"/>
    </xf>
    <xf numFmtId="164" fontId="0" fillId="12" borderId="41" xfId="0" applyNumberFormat="1" applyFill="1" applyBorder="1" applyAlignment="1">
      <alignment horizontal="center"/>
    </xf>
    <xf numFmtId="164" fontId="0" fillId="12" borderId="3" xfId="0" applyNumberFormat="1" applyFill="1" applyBorder="1" applyAlignment="1">
      <alignment horizontal="center"/>
    </xf>
    <xf numFmtId="164" fontId="0" fillId="12" borderId="4" xfId="0" applyNumberFormat="1" applyFill="1" applyBorder="1" applyAlignment="1">
      <alignment horizontal="center"/>
    </xf>
    <xf numFmtId="164" fontId="0" fillId="12" borderId="5" xfId="0" applyNumberFormat="1" applyFill="1" applyBorder="1" applyAlignment="1">
      <alignment horizontal="center"/>
    </xf>
    <xf numFmtId="164" fontId="0" fillId="12" borderId="2" xfId="0" applyNumberFormat="1" applyFill="1" applyBorder="1" applyAlignment="1">
      <alignment horizontal="center"/>
    </xf>
    <xf numFmtId="164" fontId="0" fillId="0" borderId="0" xfId="0" applyNumberFormat="1" applyBorder="1" applyAlignment="1">
      <alignment horizontal="center"/>
    </xf>
    <xf numFmtId="164" fontId="0" fillId="4" borderId="2" xfId="0" applyNumberFormat="1" applyFill="1" applyBorder="1" applyAlignment="1">
      <alignment horizontal="center"/>
    </xf>
    <xf numFmtId="164" fontId="0" fillId="4" borderId="3" xfId="0" applyNumberFormat="1" applyFill="1" applyBorder="1" applyAlignment="1">
      <alignment horizontal="center"/>
    </xf>
    <xf numFmtId="164" fontId="0" fillId="4" borderId="4" xfId="0" applyNumberFormat="1" applyFill="1" applyBorder="1" applyAlignment="1">
      <alignment horizontal="center"/>
    </xf>
    <xf numFmtId="164" fontId="0" fillId="4" borderId="5" xfId="0" applyNumberFormat="1" applyFill="1" applyBorder="1" applyAlignment="1">
      <alignment horizontal="center"/>
    </xf>
    <xf numFmtId="164" fontId="0" fillId="0" borderId="2" xfId="0" applyNumberFormat="1" applyBorder="1" applyAlignment="1">
      <alignment horizontal="center"/>
    </xf>
    <xf numFmtId="164" fontId="0" fillId="0" borderId="27" xfId="0" applyNumberFormat="1" applyBorder="1" applyAlignment="1">
      <alignment horizontal="center"/>
    </xf>
    <xf numFmtId="164" fontId="0" fillId="4" borderId="12" xfId="0" applyNumberFormat="1" applyFill="1" applyBorder="1" applyAlignment="1">
      <alignment horizontal="center"/>
    </xf>
    <xf numFmtId="164" fontId="0" fillId="4" borderId="41" xfId="0" applyNumberFormat="1" applyFill="1" applyBorder="1" applyAlignment="1">
      <alignment horizontal="center"/>
    </xf>
    <xf numFmtId="0" fontId="0" fillId="4" borderId="35" xfId="0" applyFill="1" applyBorder="1" applyAlignment="1">
      <alignment horizontal="center"/>
    </xf>
    <xf numFmtId="0" fontId="0" fillId="4" borderId="36" xfId="0" applyFill="1" applyBorder="1" applyAlignment="1">
      <alignment horizontal="center"/>
    </xf>
    <xf numFmtId="164" fontId="0" fillId="4" borderId="35" xfId="0" applyNumberFormat="1" applyFill="1" applyBorder="1" applyAlignment="1">
      <alignment horizontal="center"/>
    </xf>
    <xf numFmtId="165" fontId="0" fillId="4" borderId="35" xfId="1" applyNumberFormat="1" applyFont="1" applyFill="1" applyBorder="1" applyAlignment="1">
      <alignment horizontal="center"/>
    </xf>
    <xf numFmtId="165" fontId="0" fillId="4" borderId="36" xfId="1" applyNumberFormat="1" applyFont="1" applyFill="1" applyBorder="1" applyAlignment="1">
      <alignment horizontal="center"/>
    </xf>
    <xf numFmtId="164" fontId="0" fillId="9" borderId="39" xfId="0" applyNumberFormat="1" applyFill="1" applyBorder="1" applyAlignment="1">
      <alignment horizontal="center"/>
    </xf>
    <xf numFmtId="164" fontId="0" fillId="9" borderId="44" xfId="0" applyNumberFormat="1" applyFill="1" applyBorder="1" applyAlignment="1">
      <alignment horizontal="center"/>
    </xf>
    <xf numFmtId="164" fontId="0" fillId="9" borderId="15" xfId="0" applyNumberFormat="1" applyFill="1" applyBorder="1" applyAlignment="1">
      <alignment horizontal="center"/>
    </xf>
    <xf numFmtId="0" fontId="0" fillId="4" borderId="12" xfId="0" applyFill="1" applyBorder="1" applyAlignment="1">
      <alignment horizontal="center"/>
    </xf>
    <xf numFmtId="0" fontId="0" fillId="4" borderId="41" xfId="0" applyFill="1" applyBorder="1" applyAlignment="1">
      <alignment horizontal="center"/>
    </xf>
    <xf numFmtId="10" fontId="0" fillId="9" borderId="39" xfId="0" applyNumberFormat="1" applyFill="1" applyBorder="1" applyAlignment="1">
      <alignment horizontal="center"/>
    </xf>
    <xf numFmtId="10" fontId="0" fillId="9" borderId="44" xfId="0" applyNumberFormat="1" applyFill="1" applyBorder="1" applyAlignment="1">
      <alignment horizontal="center"/>
    </xf>
    <xf numFmtId="10" fontId="0" fillId="9" borderId="15" xfId="0" applyNumberFormat="1" applyFill="1" applyBorder="1" applyAlignment="1">
      <alignment horizontal="center"/>
    </xf>
    <xf numFmtId="0" fontId="0" fillId="4" borderId="53" xfId="0" applyFill="1" applyBorder="1" applyAlignment="1">
      <alignment horizontal="center"/>
    </xf>
    <xf numFmtId="0" fontId="0" fillId="4" borderId="52" xfId="0" applyFill="1" applyBorder="1" applyAlignment="1">
      <alignment horizontal="center"/>
    </xf>
    <xf numFmtId="0" fontId="0" fillId="4" borderId="54" xfId="0" applyFill="1" applyBorder="1" applyAlignment="1">
      <alignment horizontal="center"/>
    </xf>
    <xf numFmtId="164" fontId="0" fillId="2" borderId="2" xfId="0" applyNumberFormat="1" applyFill="1" applyBorder="1" applyAlignment="1">
      <alignment horizontal="center"/>
    </xf>
    <xf numFmtId="164" fontId="0" fillId="2" borderId="3" xfId="0" applyNumberFormat="1" applyFill="1" applyBorder="1" applyAlignment="1">
      <alignment horizontal="center"/>
    </xf>
    <xf numFmtId="164" fontId="0" fillId="2" borderId="4" xfId="0" applyNumberFormat="1" applyFill="1" applyBorder="1" applyAlignment="1">
      <alignment horizontal="center"/>
    </xf>
    <xf numFmtId="164" fontId="0" fillId="2" borderId="5" xfId="0" applyNumberFormat="1" applyFill="1" applyBorder="1" applyAlignment="1">
      <alignment horizontal="center"/>
    </xf>
    <xf numFmtId="0" fontId="0" fillId="8" borderId="35" xfId="0" applyFill="1" applyBorder="1" applyAlignment="1">
      <alignment horizontal="center"/>
    </xf>
    <xf numFmtId="0" fontId="0" fillId="8" borderId="36" xfId="0" applyFill="1" applyBorder="1" applyAlignment="1">
      <alignment horizontal="center"/>
    </xf>
    <xf numFmtId="164" fontId="0" fillId="8" borderId="35" xfId="0" applyNumberFormat="1" applyFill="1" applyBorder="1" applyAlignment="1">
      <alignment horizontal="center"/>
    </xf>
    <xf numFmtId="165" fontId="0" fillId="8" borderId="35" xfId="1" applyNumberFormat="1" applyFont="1" applyFill="1" applyBorder="1" applyAlignment="1">
      <alignment horizontal="center"/>
    </xf>
    <xf numFmtId="165" fontId="0" fillId="8" borderId="36" xfId="1" applyNumberFormat="1" applyFont="1" applyFill="1" applyBorder="1" applyAlignment="1">
      <alignment horizontal="center"/>
    </xf>
    <xf numFmtId="0" fontId="0" fillId="8" borderId="12" xfId="0" applyFill="1" applyBorder="1" applyAlignment="1">
      <alignment horizontal="center"/>
    </xf>
    <xf numFmtId="0" fontId="0" fillId="8" borderId="41" xfId="0" applyFill="1" applyBorder="1" applyAlignment="1">
      <alignment horizontal="center"/>
    </xf>
    <xf numFmtId="164" fontId="0" fillId="8" borderId="12" xfId="0" applyNumberFormat="1" applyFill="1" applyBorder="1" applyAlignment="1">
      <alignment horizontal="center"/>
    </xf>
    <xf numFmtId="164" fontId="0" fillId="8" borderId="41" xfId="0" applyNumberFormat="1" applyFill="1" applyBorder="1" applyAlignment="1">
      <alignment horizontal="center"/>
    </xf>
    <xf numFmtId="0" fontId="0" fillId="9" borderId="2" xfId="0" applyFill="1" applyBorder="1" applyAlignment="1">
      <alignment horizontal="center"/>
    </xf>
    <xf numFmtId="0" fontId="0" fillId="0" borderId="0" xfId="0" applyFill="1" applyBorder="1" applyAlignment="1">
      <alignment horizontal="center"/>
    </xf>
    <xf numFmtId="0" fontId="0" fillId="14" borderId="6" xfId="0" applyFill="1" applyBorder="1" applyAlignment="1">
      <alignment horizontal="center"/>
    </xf>
    <xf numFmtId="0" fontId="0" fillId="14" borderId="7" xfId="0" applyFill="1" applyBorder="1" applyAlignment="1">
      <alignment horizontal="center"/>
    </xf>
    <xf numFmtId="0" fontId="0" fillId="14" borderId="38" xfId="0" applyFill="1" applyBorder="1" applyAlignment="1">
      <alignment horizontal="center"/>
    </xf>
    <xf numFmtId="165" fontId="0" fillId="13" borderId="19" xfId="1" applyNumberFormat="1" applyFont="1" applyFill="1" applyBorder="1" applyAlignment="1">
      <alignment horizontal="center"/>
    </xf>
    <xf numFmtId="165" fontId="0" fillId="13" borderId="33" xfId="1" applyNumberFormat="1" applyFont="1" applyFill="1" applyBorder="1" applyAlignment="1">
      <alignment horizontal="center"/>
    </xf>
    <xf numFmtId="2" fontId="0" fillId="13" borderId="19" xfId="1" applyNumberFormat="1" applyFont="1" applyFill="1" applyBorder="1" applyAlignment="1">
      <alignment horizontal="center"/>
    </xf>
    <xf numFmtId="2" fontId="0" fillId="13" borderId="33" xfId="1" applyNumberFormat="1" applyFont="1" applyFill="1" applyBorder="1" applyAlignment="1">
      <alignment horizontal="center"/>
    </xf>
    <xf numFmtId="0" fontId="0" fillId="14" borderId="9" xfId="0" applyFill="1" applyBorder="1" applyAlignment="1">
      <alignment horizontal="center"/>
    </xf>
    <xf numFmtId="165" fontId="0" fillId="13" borderId="35" xfId="1" applyNumberFormat="1" applyFont="1" applyFill="1" applyBorder="1" applyAlignment="1">
      <alignment horizontal="center"/>
    </xf>
    <xf numFmtId="165" fontId="0" fillId="13" borderId="2" xfId="1" applyNumberFormat="1" applyFont="1" applyFill="1" applyBorder="1" applyAlignment="1">
      <alignment horizontal="center"/>
    </xf>
    <xf numFmtId="165" fontId="0" fillId="13" borderId="10" xfId="1" applyNumberFormat="1" applyFont="1" applyFill="1" applyBorder="1" applyAlignment="1">
      <alignment horizontal="center"/>
    </xf>
    <xf numFmtId="2" fontId="0" fillId="13" borderId="35" xfId="1" applyNumberFormat="1" applyFont="1" applyFill="1" applyBorder="1" applyAlignment="1">
      <alignment horizontal="center"/>
    </xf>
    <xf numFmtId="2" fontId="0" fillId="13" borderId="2" xfId="1" applyNumberFormat="1" applyFont="1" applyFill="1" applyBorder="1" applyAlignment="1">
      <alignment horizontal="center"/>
    </xf>
    <xf numFmtId="2" fontId="0" fillId="13" borderId="10" xfId="1" applyNumberFormat="1" applyFont="1" applyFill="1" applyBorder="1" applyAlignment="1">
      <alignment horizontal="center"/>
    </xf>
    <xf numFmtId="2" fontId="0" fillId="13" borderId="12" xfId="1" applyNumberFormat="1" applyFont="1" applyFill="1" applyBorder="1" applyAlignment="1">
      <alignment horizontal="center"/>
    </xf>
    <xf numFmtId="2" fontId="0" fillId="13" borderId="3" xfId="1" applyNumberFormat="1" applyFont="1" applyFill="1" applyBorder="1" applyAlignment="1">
      <alignment horizontal="center"/>
    </xf>
    <xf numFmtId="2" fontId="0" fillId="13" borderId="13" xfId="1" applyNumberFormat="1" applyFont="1" applyFill="1" applyBorder="1" applyAlignment="1">
      <alignment horizontal="center"/>
    </xf>
    <xf numFmtId="165" fontId="0" fillId="13" borderId="37" xfId="1" applyNumberFormat="1" applyFont="1" applyFill="1" applyBorder="1" applyAlignment="1">
      <alignment horizontal="center"/>
    </xf>
    <xf numFmtId="2" fontId="0" fillId="13" borderId="37" xfId="1" applyNumberFormat="1" applyFont="1" applyFill="1" applyBorder="1" applyAlignment="1">
      <alignment horizontal="center"/>
    </xf>
    <xf numFmtId="0" fontId="0" fillId="15" borderId="6" xfId="0" applyFill="1" applyBorder="1" applyAlignment="1">
      <alignment horizontal="center"/>
    </xf>
    <xf numFmtId="0" fontId="0" fillId="15" borderId="7" xfId="0" applyFill="1" applyBorder="1" applyAlignment="1">
      <alignment horizontal="center"/>
    </xf>
    <xf numFmtId="0" fontId="0" fillId="15" borderId="9" xfId="0" applyFill="1" applyBorder="1" applyAlignment="1">
      <alignment horizontal="center"/>
    </xf>
    <xf numFmtId="165" fontId="0" fillId="16" borderId="35" xfId="1" applyNumberFormat="1" applyFont="1" applyFill="1" applyBorder="1" applyAlignment="1">
      <alignment horizontal="center"/>
    </xf>
    <xf numFmtId="165" fontId="0" fillId="16" borderId="2" xfId="1" applyNumberFormat="1" applyFont="1" applyFill="1" applyBorder="1" applyAlignment="1">
      <alignment horizontal="center"/>
    </xf>
    <xf numFmtId="165" fontId="0" fillId="16" borderId="10" xfId="1" applyNumberFormat="1" applyFont="1" applyFill="1" applyBorder="1" applyAlignment="1">
      <alignment horizontal="center"/>
    </xf>
    <xf numFmtId="2" fontId="0" fillId="16" borderId="35" xfId="1" applyNumberFormat="1" applyFont="1" applyFill="1" applyBorder="1" applyAlignment="1">
      <alignment horizontal="center"/>
    </xf>
    <xf numFmtId="2" fontId="0" fillId="16" borderId="2" xfId="1" applyNumberFormat="1" applyFont="1" applyFill="1" applyBorder="1" applyAlignment="1">
      <alignment horizontal="center"/>
    </xf>
    <xf numFmtId="2" fontId="0" fillId="16" borderId="10" xfId="1" applyNumberFormat="1" applyFont="1"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2" borderId="38" xfId="0" applyFill="1" applyBorder="1" applyAlignment="1">
      <alignment horizontal="center"/>
    </xf>
    <xf numFmtId="165" fontId="0" fillId="9" borderId="19" xfId="1" applyNumberFormat="1" applyFont="1" applyFill="1" applyBorder="1" applyAlignment="1">
      <alignment horizontal="center"/>
    </xf>
    <xf numFmtId="165" fontId="0" fillId="9" borderId="33" xfId="1" applyNumberFormat="1" applyFont="1" applyFill="1" applyBorder="1" applyAlignment="1">
      <alignment horizontal="center"/>
    </xf>
    <xf numFmtId="2" fontId="0" fillId="9" borderId="19" xfId="1" applyNumberFormat="1" applyFont="1" applyFill="1" applyBorder="1" applyAlignment="1">
      <alignment horizontal="center"/>
    </xf>
    <xf numFmtId="2" fontId="0" fillId="9" borderId="33" xfId="1" applyNumberFormat="1" applyFont="1" applyFill="1" applyBorder="1" applyAlignment="1">
      <alignment horizontal="center"/>
    </xf>
    <xf numFmtId="0" fontId="0" fillId="2" borderId="9" xfId="0" applyFill="1" applyBorder="1" applyAlignment="1">
      <alignment horizontal="center"/>
    </xf>
    <xf numFmtId="165" fontId="0" fillId="9" borderId="37" xfId="1" applyNumberFormat="1" applyFont="1" applyFill="1" applyBorder="1" applyAlignment="1">
      <alignment horizontal="center"/>
    </xf>
    <xf numFmtId="2" fontId="0" fillId="9" borderId="37" xfId="1" applyNumberFormat="1" applyFont="1" applyFill="1" applyBorder="1" applyAlignment="1">
      <alignment horizontal="center"/>
    </xf>
    <xf numFmtId="2" fontId="0" fillId="9" borderId="12" xfId="1" applyNumberFormat="1" applyFont="1" applyFill="1" applyBorder="1" applyAlignment="1">
      <alignment horizontal="center"/>
    </xf>
    <xf numFmtId="2" fontId="0" fillId="9" borderId="3" xfId="1" applyNumberFormat="1" applyFont="1" applyFill="1" applyBorder="1" applyAlignment="1">
      <alignment horizontal="center"/>
    </xf>
    <xf numFmtId="2" fontId="0" fillId="9" borderId="13" xfId="1" applyNumberFormat="1" applyFont="1" applyFill="1" applyBorder="1" applyAlignment="1">
      <alignment horizontal="center"/>
    </xf>
    <xf numFmtId="0" fontId="0" fillId="2" borderId="14" xfId="0" applyFill="1" applyBorder="1" applyAlignment="1">
      <alignment horizontal="center"/>
    </xf>
    <xf numFmtId="165" fontId="0" fillId="9" borderId="35" xfId="1" applyNumberFormat="1" applyFont="1" applyFill="1" applyBorder="1" applyAlignment="1">
      <alignment horizontal="center"/>
    </xf>
    <xf numFmtId="165" fontId="0" fillId="9" borderId="2" xfId="1" applyNumberFormat="1" applyFont="1" applyFill="1" applyBorder="1" applyAlignment="1">
      <alignment horizontal="center"/>
    </xf>
    <xf numFmtId="165" fontId="0" fillId="9" borderId="10" xfId="1" applyNumberFormat="1" applyFont="1" applyFill="1" applyBorder="1" applyAlignment="1">
      <alignment horizontal="center"/>
    </xf>
    <xf numFmtId="2" fontId="0" fillId="9" borderId="35" xfId="1" applyNumberFormat="1" applyFont="1" applyFill="1" applyBorder="1" applyAlignment="1">
      <alignment horizontal="center"/>
    </xf>
    <xf numFmtId="2" fontId="0" fillId="9" borderId="2" xfId="1" applyNumberFormat="1" applyFont="1" applyFill="1" applyBorder="1" applyAlignment="1">
      <alignment horizontal="center"/>
    </xf>
    <xf numFmtId="2" fontId="0" fillId="9" borderId="10" xfId="1" applyNumberFormat="1" applyFont="1" applyFill="1" applyBorder="1" applyAlignment="1">
      <alignment horizontal="center"/>
    </xf>
    <xf numFmtId="0" fontId="0" fillId="17" borderId="2" xfId="0" applyFill="1" applyBorder="1" applyAlignment="1">
      <alignment horizontal="center" wrapText="1"/>
    </xf>
    <xf numFmtId="0" fontId="0" fillId="18" borderId="2" xfId="0" applyFill="1" applyBorder="1" applyAlignment="1">
      <alignment horizontal="center" wrapText="1"/>
    </xf>
    <xf numFmtId="0" fontId="0" fillId="2" borderId="2" xfId="0" applyFill="1" applyBorder="1" applyAlignment="1">
      <alignment horizontal="center" wrapText="1"/>
    </xf>
    <xf numFmtId="164" fontId="0" fillId="3" borderId="15" xfId="0" applyNumberFormat="1" applyFill="1" applyBorder="1"/>
    <xf numFmtId="164" fontId="0" fillId="3" borderId="2" xfId="0" applyNumberFormat="1" applyFill="1" applyBorder="1"/>
    <xf numFmtId="164" fontId="0" fillId="3" borderId="7" xfId="0" applyNumberFormat="1" applyFill="1" applyBorder="1"/>
    <xf numFmtId="164" fontId="0" fillId="3" borderId="14" xfId="0" applyNumberFormat="1" applyFill="1" applyBorder="1"/>
    <xf numFmtId="164" fontId="0" fillId="0" borderId="7" xfId="0" applyNumberFormat="1" applyFill="1" applyBorder="1"/>
    <xf numFmtId="165" fontId="0" fillId="0" borderId="3" xfId="1" applyNumberFormat="1" applyFont="1" applyFill="1" applyBorder="1"/>
    <xf numFmtId="0" fontId="0" fillId="12" borderId="28" xfId="0" applyFill="1" applyBorder="1" applyAlignment="1">
      <alignment horizontal="center"/>
    </xf>
    <xf numFmtId="0" fontId="0" fillId="12" borderId="37" xfId="0" applyFill="1" applyBorder="1"/>
    <xf numFmtId="0" fontId="0" fillId="4" borderId="28" xfId="0" applyFill="1" applyBorder="1" applyAlignment="1">
      <alignment horizontal="center"/>
    </xf>
    <xf numFmtId="0" fontId="0" fillId="4" borderId="37" xfId="0" applyFill="1" applyBorder="1"/>
    <xf numFmtId="165" fontId="5" fillId="3" borderId="32" xfId="1" applyNumberFormat="1" applyFont="1" applyFill="1" applyBorder="1"/>
    <xf numFmtId="165" fontId="5" fillId="0" borderId="32" xfId="1" applyNumberFormat="1" applyFont="1" applyFill="1" applyBorder="1"/>
    <xf numFmtId="165" fontId="5" fillId="3" borderId="29" xfId="1" applyNumberFormat="1" applyFont="1" applyFill="1" applyBorder="1"/>
    <xf numFmtId="165" fontId="5" fillId="0" borderId="29" xfId="1" applyNumberFormat="1" applyFont="1" applyBorder="1"/>
    <xf numFmtId="165" fontId="5" fillId="0" borderId="30" xfId="1" applyNumberFormat="1" applyFont="1" applyBorder="1"/>
    <xf numFmtId="165" fontId="5" fillId="0" borderId="27" xfId="1" applyNumberFormat="1" applyFont="1" applyFill="1" applyBorder="1"/>
    <xf numFmtId="165" fontId="5" fillId="0" borderId="30" xfId="1" applyNumberFormat="1" applyFont="1" applyFill="1" applyBorder="1"/>
    <xf numFmtId="0" fontId="5" fillId="12" borderId="21" xfId="0" applyFont="1" applyFill="1" applyBorder="1" applyAlignment="1">
      <alignment horizontal="center"/>
    </xf>
    <xf numFmtId="0" fontId="5" fillId="12" borderId="43" xfId="0" applyFont="1" applyFill="1" applyBorder="1"/>
    <xf numFmtId="0" fontId="5" fillId="4" borderId="21" xfId="0" applyFont="1" applyFill="1" applyBorder="1" applyAlignment="1">
      <alignment horizontal="center"/>
    </xf>
    <xf numFmtId="0" fontId="5" fillId="4" borderId="31" xfId="0" applyFont="1" applyFill="1" applyBorder="1" applyAlignment="1">
      <alignment horizontal="center"/>
    </xf>
    <xf numFmtId="0" fontId="5" fillId="4" borderId="43" xfId="0" applyFont="1" applyFill="1" applyBorder="1"/>
    <xf numFmtId="0" fontId="5" fillId="4" borderId="21" xfId="0" applyFont="1" applyFill="1" applyBorder="1"/>
    <xf numFmtId="0" fontId="5" fillId="0" borderId="0" xfId="0" applyFont="1"/>
    <xf numFmtId="0" fontId="5" fillId="7" borderId="31" xfId="0" applyFont="1" applyFill="1" applyBorder="1" applyAlignment="1">
      <alignment horizontal="center"/>
    </xf>
    <xf numFmtId="0" fontId="5" fillId="7" borderId="21" xfId="0" applyFont="1" applyFill="1" applyBorder="1"/>
    <xf numFmtId="165" fontId="5" fillId="0" borderId="29" xfId="1" applyNumberFormat="1" applyFont="1" applyFill="1" applyBorder="1"/>
    <xf numFmtId="165" fontId="5" fillId="3" borderId="42" xfId="1" applyNumberFormat="1" applyFont="1" applyFill="1" applyBorder="1"/>
    <xf numFmtId="165" fontId="5" fillId="0" borderId="42" xfId="1" applyNumberFormat="1" applyFont="1" applyBorder="1"/>
    <xf numFmtId="165" fontId="5" fillId="0" borderId="43" xfId="1" applyNumberFormat="1" applyFont="1" applyFill="1" applyBorder="1"/>
    <xf numFmtId="0" fontId="0" fillId="14" borderId="18" xfId="0" applyFill="1" applyBorder="1" applyAlignment="1">
      <alignment wrapText="1"/>
    </xf>
    <xf numFmtId="0" fontId="0" fillId="15" borderId="18" xfId="0" applyFill="1" applyBorder="1" applyAlignment="1">
      <alignment wrapText="1"/>
    </xf>
    <xf numFmtId="0" fontId="0" fillId="2" borderId="18" xfId="0" applyFill="1" applyBorder="1" applyAlignment="1">
      <alignment wrapText="1"/>
    </xf>
    <xf numFmtId="0" fontId="0" fillId="15" borderId="7" xfId="0" applyFill="1" applyBorder="1"/>
    <xf numFmtId="0" fontId="0" fillId="15" borderId="9" xfId="0" applyFill="1" applyBorder="1"/>
    <xf numFmtId="0" fontId="0" fillId="14" borderId="7" xfId="0" applyFill="1" applyBorder="1"/>
    <xf numFmtId="0" fontId="0" fillId="14" borderId="9" xfId="0" applyFill="1" applyBorder="1"/>
    <xf numFmtId="0" fontId="0" fillId="2" borderId="38" xfId="0" applyFill="1" applyBorder="1"/>
  </cellXfs>
  <cellStyles count="2">
    <cellStyle name="Normal" xfId="0" builtinId="0"/>
    <cellStyle name="Percent" xfId="1"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ZA"/>
              <a:t>PEG - citrate phase diagrams with  equilibrium curves all MWs</a:t>
            </a:r>
          </a:p>
        </c:rich>
      </c:tx>
      <c:overlay val="0"/>
    </c:title>
    <c:autoTitleDeleted val="0"/>
    <c:plotArea>
      <c:layout>
        <c:manualLayout>
          <c:layoutTarget val="inner"/>
          <c:xMode val="edge"/>
          <c:yMode val="edge"/>
          <c:x val="8.3771487758473623E-2"/>
          <c:y val="2.7160488546614455E-2"/>
          <c:w val="0.8938650626665845"/>
          <c:h val="0.86320173749358653"/>
        </c:manualLayout>
      </c:layout>
      <c:scatterChart>
        <c:scatterStyle val="lineMarker"/>
        <c:varyColors val="0"/>
        <c:ser>
          <c:idx val="4"/>
          <c:order val="0"/>
          <c:tx>
            <c:v>PEG 4000</c:v>
          </c:tx>
          <c:spPr>
            <a:ln w="19050" cap="rnd">
              <a:noFill/>
              <a:round/>
            </a:ln>
            <a:effectLst/>
          </c:spPr>
          <c:marker>
            <c:spPr>
              <a:solidFill>
                <a:schemeClr val="accent2"/>
              </a:solidFill>
              <a:ln>
                <a:solidFill>
                  <a:schemeClr val="accent2"/>
                </a:solidFill>
              </a:ln>
            </c:spPr>
          </c:marker>
          <c:errBars>
            <c:errDir val="x"/>
            <c:errBarType val="both"/>
            <c:errValType val="cust"/>
            <c:noEndCap val="0"/>
            <c:plus>
              <c:numRef>
                <c:f>'Summary phase diagram results'!$S$4:$S$11</c:f>
                <c:numCache>
                  <c:formatCode>General</c:formatCode>
                  <c:ptCount val="8"/>
                  <c:pt idx="0">
                    <c:v>1.6468619924117917E-3</c:v>
                  </c:pt>
                  <c:pt idx="1">
                    <c:v>3.283764437881944E-3</c:v>
                  </c:pt>
                  <c:pt idx="2">
                    <c:v>1.6778307194023317E-3</c:v>
                  </c:pt>
                  <c:pt idx="3">
                    <c:v>6.595416768394321E-3</c:v>
                  </c:pt>
                  <c:pt idx="4">
                    <c:v>3.1991471547409092E-4</c:v>
                  </c:pt>
                  <c:pt idx="5">
                    <c:v>1.8826772457435183E-3</c:v>
                  </c:pt>
                  <c:pt idx="6">
                    <c:v>8.1262319649647464E-4</c:v>
                  </c:pt>
                  <c:pt idx="7">
                    <c:v>6.80015685141536E-3</c:v>
                  </c:pt>
                </c:numCache>
              </c:numRef>
            </c:plus>
            <c:minus>
              <c:numRef>
                <c:f>'Summary phase diagram results'!$S$4:$S$11</c:f>
                <c:numCache>
                  <c:formatCode>General</c:formatCode>
                  <c:ptCount val="8"/>
                  <c:pt idx="0">
                    <c:v>1.6468619924117917E-3</c:v>
                  </c:pt>
                  <c:pt idx="1">
                    <c:v>3.283764437881944E-3</c:v>
                  </c:pt>
                  <c:pt idx="2">
                    <c:v>1.6778307194023317E-3</c:v>
                  </c:pt>
                  <c:pt idx="3">
                    <c:v>6.595416768394321E-3</c:v>
                  </c:pt>
                  <c:pt idx="4">
                    <c:v>3.1991471547409092E-4</c:v>
                  </c:pt>
                  <c:pt idx="5">
                    <c:v>1.8826772457435183E-3</c:v>
                  </c:pt>
                  <c:pt idx="6">
                    <c:v>8.1262319649647464E-4</c:v>
                  </c:pt>
                  <c:pt idx="7">
                    <c:v>6.80015685141536E-3</c:v>
                  </c:pt>
                </c:numCache>
              </c:numRef>
            </c:minus>
          </c:errBars>
          <c:errBars>
            <c:errDir val="y"/>
            <c:errBarType val="both"/>
            <c:errValType val="cust"/>
            <c:noEndCap val="0"/>
            <c:plus>
              <c:numRef>
                <c:f>'Summary phase diagram results'!$U$4:$U$11</c:f>
                <c:numCache>
                  <c:formatCode>General</c:formatCode>
                  <c:ptCount val="8"/>
                  <c:pt idx="0">
                    <c:v>4.0119411628032351E-3</c:v>
                  </c:pt>
                  <c:pt idx="1">
                    <c:v>8.2343099620589587E-4</c:v>
                  </c:pt>
                  <c:pt idx="2">
                    <c:v>9.7115988579360591E-3</c:v>
                  </c:pt>
                  <c:pt idx="3">
                    <c:v>3.1657183384949659E-4</c:v>
                  </c:pt>
                  <c:pt idx="4">
                    <c:v>2.6314428113779647E-3</c:v>
                  </c:pt>
                  <c:pt idx="5">
                    <c:v>5.1955068673661348E-5</c:v>
                  </c:pt>
                  <c:pt idx="6">
                    <c:v>9.4068805692491056E-3</c:v>
                  </c:pt>
                  <c:pt idx="7">
                    <c:v>1.0388878312157787E-4</c:v>
                  </c:pt>
                </c:numCache>
              </c:numRef>
            </c:plus>
            <c:minus>
              <c:numRef>
                <c:f>'Summary phase diagram results'!$U$4:$U$11</c:f>
                <c:numCache>
                  <c:formatCode>General</c:formatCode>
                  <c:ptCount val="8"/>
                  <c:pt idx="0">
                    <c:v>4.0119411628032351E-3</c:v>
                  </c:pt>
                  <c:pt idx="1">
                    <c:v>8.2343099620589587E-4</c:v>
                  </c:pt>
                  <c:pt idx="2">
                    <c:v>9.7115988579360591E-3</c:v>
                  </c:pt>
                  <c:pt idx="3">
                    <c:v>3.1657183384949659E-4</c:v>
                  </c:pt>
                  <c:pt idx="4">
                    <c:v>2.6314428113779647E-3</c:v>
                  </c:pt>
                  <c:pt idx="5">
                    <c:v>5.1955068673661348E-5</c:v>
                  </c:pt>
                  <c:pt idx="6">
                    <c:v>9.4068805692491056E-3</c:v>
                  </c:pt>
                  <c:pt idx="7">
                    <c:v>1.0388878312157787E-4</c:v>
                  </c:pt>
                </c:numCache>
              </c:numRef>
            </c:minus>
          </c:errBars>
          <c:xVal>
            <c:numRef>
              <c:f>'Summary phase diagram results'!$R$4:$R$11</c:f>
              <c:numCache>
                <c:formatCode>0.0%</c:formatCode>
                <c:ptCount val="8"/>
                <c:pt idx="0">
                  <c:v>8.0000000000000016E-2</c:v>
                </c:pt>
                <c:pt idx="1">
                  <c:v>0.15951619275992626</c:v>
                </c:pt>
                <c:pt idx="2">
                  <c:v>5.2999999999999992E-2</c:v>
                </c:pt>
                <c:pt idx="3">
                  <c:v>0.20833871062357018</c:v>
                </c:pt>
                <c:pt idx="4">
                  <c:v>4.3102685945517825E-2</c:v>
                </c:pt>
                <c:pt idx="5">
                  <c:v>0.25365649698170062</c:v>
                </c:pt>
                <c:pt idx="6">
                  <c:v>3.911024713541434E-2</c:v>
                </c:pt>
                <c:pt idx="7">
                  <c:v>0.32728060946952009</c:v>
                </c:pt>
              </c:numCache>
            </c:numRef>
          </c:xVal>
          <c:yVal>
            <c:numRef>
              <c:f>'Summary phase diagram results'!$T$4:$T$11</c:f>
              <c:numCache>
                <c:formatCode>0.0%</c:formatCode>
                <c:ptCount val="8"/>
                <c:pt idx="0">
                  <c:v>0.19488900375569856</c:v>
                </c:pt>
                <c:pt idx="1">
                  <c:v>4.0000000000000008E-2</c:v>
                </c:pt>
                <c:pt idx="2">
                  <c:v>0.30677393941980041</c:v>
                </c:pt>
                <c:pt idx="3">
                  <c:v>9.9999999999999985E-3</c:v>
                </c:pt>
                <c:pt idx="4">
                  <c:v>0.35453903054859848</c:v>
                </c:pt>
                <c:pt idx="5">
                  <c:v>6.9999999999999993E-3</c:v>
                </c:pt>
                <c:pt idx="6">
                  <c:v>0.45273802842798339</c:v>
                </c:pt>
                <c:pt idx="7">
                  <c:v>4.9999999999999992E-3</c:v>
                </c:pt>
              </c:numCache>
            </c:numRef>
          </c:yVal>
          <c:smooth val="0"/>
          <c:extLst>
            <c:ext xmlns:c16="http://schemas.microsoft.com/office/drawing/2014/chart" uri="{C3380CC4-5D6E-409C-BE32-E72D297353CC}">
              <c16:uniqueId val="{00000019-B98B-44B1-A3AE-F90FB92F70F6}"/>
            </c:ext>
          </c:extLst>
        </c:ser>
        <c:ser>
          <c:idx val="5"/>
          <c:order val="1"/>
          <c:tx>
            <c:v>PEG 6000</c:v>
          </c:tx>
          <c:spPr>
            <a:ln w="25400" cap="rnd">
              <a:noFill/>
              <a:round/>
            </a:ln>
            <a:effectLst/>
          </c:spPr>
          <c:marker>
            <c:symbol val="diamond"/>
            <c:size val="5"/>
            <c:spPr>
              <a:solidFill>
                <a:schemeClr val="accent5"/>
              </a:solidFill>
              <a:ln>
                <a:solidFill>
                  <a:schemeClr val="accent5"/>
                </a:solidFill>
              </a:ln>
            </c:spPr>
          </c:marker>
          <c:errBars>
            <c:errDir val="x"/>
            <c:errBarType val="both"/>
            <c:errValType val="cust"/>
            <c:noEndCap val="0"/>
            <c:plus>
              <c:numRef>
                <c:f>'Summary phase diagram results'!$S$14:$S$21</c:f>
                <c:numCache>
                  <c:formatCode>General</c:formatCode>
                  <c:ptCount val="8"/>
                  <c:pt idx="0">
                    <c:v>1.1721450469965077E-3</c:v>
                  </c:pt>
                  <c:pt idx="1">
                    <c:v>2.8333204911259015E-3</c:v>
                  </c:pt>
                  <c:pt idx="2">
                    <c:v>1.0943036402746369E-3</c:v>
                  </c:pt>
                  <c:pt idx="3">
                    <c:v>4.5239832071942597E-3</c:v>
                  </c:pt>
                  <c:pt idx="4">
                    <c:v>4.6797687137444476E-4</c:v>
                  </c:pt>
                  <c:pt idx="5">
                    <c:v>2.9469512999286346E-3</c:v>
                  </c:pt>
                  <c:pt idx="6">
                    <c:v>8.5765783294300274E-5</c:v>
                  </c:pt>
                  <c:pt idx="7">
                    <c:v>9.386219004456377E-4</c:v>
                  </c:pt>
                </c:numCache>
              </c:numRef>
            </c:plus>
            <c:minus>
              <c:numRef>
                <c:f>'Summary phase diagram results'!$S$14:$S$21</c:f>
                <c:numCache>
                  <c:formatCode>General</c:formatCode>
                  <c:ptCount val="8"/>
                  <c:pt idx="0">
                    <c:v>1.1721450469965077E-3</c:v>
                  </c:pt>
                  <c:pt idx="1">
                    <c:v>2.8333204911259015E-3</c:v>
                  </c:pt>
                  <c:pt idx="2">
                    <c:v>1.0943036402746369E-3</c:v>
                  </c:pt>
                  <c:pt idx="3">
                    <c:v>4.5239832071942597E-3</c:v>
                  </c:pt>
                  <c:pt idx="4">
                    <c:v>4.6797687137444476E-4</c:v>
                  </c:pt>
                  <c:pt idx="5">
                    <c:v>2.9469512999286346E-3</c:v>
                  </c:pt>
                  <c:pt idx="6">
                    <c:v>8.5765783294300274E-5</c:v>
                  </c:pt>
                  <c:pt idx="7">
                    <c:v>9.386219004456377E-4</c:v>
                  </c:pt>
                </c:numCache>
              </c:numRef>
            </c:minus>
          </c:errBars>
          <c:errBars>
            <c:errDir val="y"/>
            <c:errBarType val="both"/>
            <c:errValType val="cust"/>
            <c:noEndCap val="0"/>
            <c:plus>
              <c:numRef>
                <c:f>'Summary phase diagram results'!$U$14:$U$21</c:f>
                <c:numCache>
                  <c:formatCode>General</c:formatCode>
                  <c:ptCount val="8"/>
                  <c:pt idx="0">
                    <c:v>3.5763315066401581E-3</c:v>
                  </c:pt>
                  <c:pt idx="1">
                    <c:v>3.5382600241271229E-4</c:v>
                  </c:pt>
                  <c:pt idx="2">
                    <c:v>6.5037216796204047E-3</c:v>
                  </c:pt>
                  <c:pt idx="3">
                    <c:v>2.1510291488487497E-4</c:v>
                  </c:pt>
                  <c:pt idx="4">
                    <c:v>4.3278845238229925E-3</c:v>
                  </c:pt>
                  <c:pt idx="5">
                    <c:v>1.0581494646533132E-5</c:v>
                  </c:pt>
                  <c:pt idx="6">
                    <c:v>1.3485159419826186E-3</c:v>
                  </c:pt>
                  <c:pt idx="7">
                    <c:v>2.5856838440724627E-6</c:v>
                  </c:pt>
                </c:numCache>
              </c:numRef>
            </c:plus>
            <c:minus>
              <c:numRef>
                <c:f>'Summary phase diagram results'!$U$14:$U$21</c:f>
                <c:numCache>
                  <c:formatCode>General</c:formatCode>
                  <c:ptCount val="8"/>
                  <c:pt idx="0">
                    <c:v>3.5763315066401581E-3</c:v>
                  </c:pt>
                  <c:pt idx="1">
                    <c:v>3.5382600241271229E-4</c:v>
                  </c:pt>
                  <c:pt idx="2">
                    <c:v>6.5037216796204047E-3</c:v>
                  </c:pt>
                  <c:pt idx="3">
                    <c:v>2.1510291488487497E-4</c:v>
                  </c:pt>
                  <c:pt idx="4">
                    <c:v>4.3278845238229925E-3</c:v>
                  </c:pt>
                  <c:pt idx="5">
                    <c:v>1.0581494646533132E-5</c:v>
                  </c:pt>
                  <c:pt idx="6">
                    <c:v>1.3485159419826186E-3</c:v>
                  </c:pt>
                  <c:pt idx="7">
                    <c:v>2.5856838440724627E-6</c:v>
                  </c:pt>
                </c:numCache>
              </c:numRef>
            </c:minus>
          </c:errBars>
          <c:xVal>
            <c:numRef>
              <c:f>'Summary phase diagram results'!$R$14:$R$21</c:f>
              <c:numCache>
                <c:formatCode>0.0%</c:formatCode>
                <c:ptCount val="8"/>
                <c:pt idx="0">
                  <c:v>6.9568149406453186E-2</c:v>
                </c:pt>
                <c:pt idx="1">
                  <c:v>0.16816081230567989</c:v>
                </c:pt>
                <c:pt idx="2">
                  <c:v>5.0873491921776981E-2</c:v>
                </c:pt>
                <c:pt idx="3">
                  <c:v>0.21031715026342326</c:v>
                </c:pt>
                <c:pt idx="4">
                  <c:v>0.04</c:v>
                </c:pt>
                <c:pt idx="5">
                  <c:v>0.25188862785235172</c:v>
                </c:pt>
                <c:pt idx="6">
                  <c:v>2.9999999999999995E-2</c:v>
                </c:pt>
                <c:pt idx="7">
                  <c:v>0.32832040858000844</c:v>
                </c:pt>
              </c:numCache>
            </c:numRef>
          </c:xVal>
          <c:yVal>
            <c:numRef>
              <c:f>'Summary phase diagram results'!$T$14:$T$21</c:f>
              <c:numCache>
                <c:formatCode>0.0%</c:formatCode>
                <c:ptCount val="8"/>
                <c:pt idx="0">
                  <c:v>0.21225936603875753</c:v>
                </c:pt>
                <c:pt idx="1">
                  <c:v>2.0999978000000006E-2</c:v>
                </c:pt>
                <c:pt idx="2">
                  <c:v>0.3023539538318788</c:v>
                </c:pt>
                <c:pt idx="3">
                  <c:v>0.01</c:v>
                </c:pt>
                <c:pt idx="4">
                  <c:v>0.3699229417994121</c:v>
                </c:pt>
                <c:pt idx="5">
                  <c:v>9.0444594968596261E-4</c:v>
                </c:pt>
                <c:pt idx="6">
                  <c:v>0.47169718162146251</c:v>
                </c:pt>
                <c:pt idx="7">
                  <c:v>9.044459496859625E-4</c:v>
                </c:pt>
              </c:numCache>
            </c:numRef>
          </c:yVal>
          <c:smooth val="0"/>
          <c:extLst>
            <c:ext xmlns:c16="http://schemas.microsoft.com/office/drawing/2014/chart" uri="{C3380CC4-5D6E-409C-BE32-E72D297353CC}">
              <c16:uniqueId val="{0000001A-B98B-44B1-A3AE-F90FB92F70F6}"/>
            </c:ext>
          </c:extLst>
        </c:ser>
        <c:ser>
          <c:idx val="0"/>
          <c:order val="2"/>
          <c:tx>
            <c:v>PEG 10000</c:v>
          </c:tx>
          <c:spPr>
            <a:ln w="25400" cap="rnd">
              <a:noFill/>
              <a:round/>
            </a:ln>
            <a:effectLst/>
          </c:spPr>
          <c:marker>
            <c:symbol val="triangle"/>
            <c:size val="5"/>
            <c:spPr>
              <a:solidFill>
                <a:srgbClr val="92D050"/>
              </a:solidFill>
              <a:ln w="9525">
                <a:solidFill>
                  <a:srgbClr val="92D050"/>
                </a:solidFill>
              </a:ln>
              <a:effectLst/>
            </c:spPr>
          </c:marker>
          <c:errBars>
            <c:errDir val="x"/>
            <c:errBarType val="both"/>
            <c:errValType val="cust"/>
            <c:noEndCap val="0"/>
            <c:plus>
              <c:numRef>
                <c:f>'Summary phase diagram results'!$S$24:$S$31</c:f>
                <c:numCache>
                  <c:formatCode>General</c:formatCode>
                  <c:ptCount val="8"/>
                  <c:pt idx="0">
                    <c:v>4.9815229242798045E-4</c:v>
                  </c:pt>
                  <c:pt idx="1">
                    <c:v>1.2746293150771983E-3</c:v>
                  </c:pt>
                  <c:pt idx="2">
                    <c:v>4.721205271932195E-4</c:v>
                  </c:pt>
                  <c:pt idx="3">
                    <c:v>1.9620844069782187E-3</c:v>
                  </c:pt>
                  <c:pt idx="4">
                    <c:v>9.888240599849195E-4</c:v>
                  </c:pt>
                  <c:pt idx="5">
                    <c:v>6.4354370492794334E-3</c:v>
                  </c:pt>
                  <c:pt idx="6">
                    <c:v>3.2227236539327745E-5</c:v>
                  </c:pt>
                  <c:pt idx="7">
                    <c:v>3.7948362447999675E-4</c:v>
                  </c:pt>
                </c:numCache>
              </c:numRef>
            </c:plus>
            <c:minus>
              <c:numRef>
                <c:f>'Summary phase diagram results'!$S$24:$S$31</c:f>
                <c:numCache>
                  <c:formatCode>General</c:formatCode>
                  <c:ptCount val="8"/>
                  <c:pt idx="0">
                    <c:v>4.9815229242798045E-4</c:v>
                  </c:pt>
                  <c:pt idx="1">
                    <c:v>1.2746293150771983E-3</c:v>
                  </c:pt>
                  <c:pt idx="2">
                    <c:v>4.721205271932195E-4</c:v>
                  </c:pt>
                  <c:pt idx="3">
                    <c:v>1.9620844069782187E-3</c:v>
                  </c:pt>
                  <c:pt idx="4">
                    <c:v>9.888240599849195E-4</c:v>
                  </c:pt>
                  <c:pt idx="5">
                    <c:v>6.4354370492794334E-3</c:v>
                  </c:pt>
                  <c:pt idx="6">
                    <c:v>3.2227236539327745E-5</c:v>
                  </c:pt>
                  <c:pt idx="7">
                    <c:v>3.7948362447999675E-4</c:v>
                  </c:pt>
                </c:numCache>
              </c:numRef>
            </c:minus>
          </c:errBars>
          <c:errBars>
            <c:errDir val="y"/>
            <c:errBarType val="both"/>
            <c:errValType val="cust"/>
            <c:noEndCap val="0"/>
            <c:plus>
              <c:numRef>
                <c:f>'Summary phase diagram results'!$U$24:$U$31</c:f>
                <c:numCache>
                  <c:formatCode>General</c:formatCode>
                  <c:ptCount val="8"/>
                  <c:pt idx="0">
                    <c:v>1.8018634657820862E-3</c:v>
                  </c:pt>
                  <c:pt idx="1">
                    <c:v>1.0005867032029024E-4</c:v>
                  </c:pt>
                  <c:pt idx="2">
                    <c:v>3.0293645555659479E-3</c:v>
                  </c:pt>
                  <c:pt idx="3">
                    <c:v>9.442410543864394E-6</c:v>
                  </c:pt>
                  <c:pt idx="4">
                    <c:v>9.2967065511302266E-3</c:v>
                  </c:pt>
                  <c:pt idx="5">
                    <c:v>0</c:v>
                  </c:pt>
                  <c:pt idx="6">
                    <c:v>5.2893054425362887E-4</c:v>
                  </c:pt>
                  <c:pt idx="7">
                    <c:v>0</c:v>
                  </c:pt>
                </c:numCache>
              </c:numRef>
            </c:plus>
            <c:minus>
              <c:numRef>
                <c:f>'Summary phase diagram results'!$U$24:$U$31</c:f>
                <c:numCache>
                  <c:formatCode>General</c:formatCode>
                  <c:ptCount val="8"/>
                  <c:pt idx="0">
                    <c:v>1.8018634657820862E-3</c:v>
                  </c:pt>
                  <c:pt idx="1">
                    <c:v>1.0005867032029024E-4</c:v>
                  </c:pt>
                  <c:pt idx="2">
                    <c:v>3.0293645555659479E-3</c:v>
                  </c:pt>
                  <c:pt idx="3">
                    <c:v>9.442410543864394E-6</c:v>
                  </c:pt>
                  <c:pt idx="4">
                    <c:v>9.2967065511302266E-3</c:v>
                  </c:pt>
                  <c:pt idx="5">
                    <c:v>0</c:v>
                  </c:pt>
                  <c:pt idx="6">
                    <c:v>5.2893054425362887E-4</c:v>
                  </c:pt>
                  <c:pt idx="7">
                    <c:v>0</c:v>
                  </c:pt>
                </c:numCache>
              </c:numRef>
            </c:minus>
          </c:errBars>
          <c:xVal>
            <c:numRef>
              <c:f>'Summary phase diagram results'!$R$24:$R$31</c:f>
              <c:numCache>
                <c:formatCode>0.0%</c:formatCode>
                <c:ptCount val="8"/>
                <c:pt idx="0">
                  <c:v>6.4721825513311099E-2</c:v>
                </c:pt>
                <c:pt idx="1">
                  <c:v>0.16560465018135884</c:v>
                </c:pt>
                <c:pt idx="2">
                  <c:v>0.05</c:v>
                </c:pt>
                <c:pt idx="3">
                  <c:v>0.20779486317221901</c:v>
                </c:pt>
                <c:pt idx="4">
                  <c:v>3.8999999999999993E-2</c:v>
                </c:pt>
                <c:pt idx="5">
                  <c:v>0.25381870757243263</c:v>
                </c:pt>
                <c:pt idx="6">
                  <c:v>2.8376517219081163E-2</c:v>
                </c:pt>
                <c:pt idx="7">
                  <c:v>0.3341404588406135</c:v>
                </c:pt>
              </c:numCache>
            </c:numRef>
          </c:xVal>
          <c:yVal>
            <c:numRef>
              <c:f>'Summary phase diagram results'!$T$24:$T$31</c:f>
              <c:numCache>
                <c:formatCode>0.0%</c:formatCode>
                <c:ptCount val="8"/>
                <c:pt idx="0">
                  <c:v>0.23410490045675805</c:v>
                </c:pt>
                <c:pt idx="1">
                  <c:v>1.2999999999999999E-2</c:v>
                </c:pt>
                <c:pt idx="2">
                  <c:v>0.32082533813724157</c:v>
                </c:pt>
                <c:pt idx="3">
                  <c:v>1.0000000000000005E-3</c:v>
                </c:pt>
                <c:pt idx="4">
                  <c:v>0.36666943106097999</c:v>
                </c:pt>
                <c:pt idx="5">
                  <c:v>0</c:v>
                </c:pt>
                <c:pt idx="6">
                  <c:v>0.46573049098997177</c:v>
                </c:pt>
                <c:pt idx="7">
                  <c:v>0</c:v>
                </c:pt>
              </c:numCache>
            </c:numRef>
          </c:yVal>
          <c:smooth val="0"/>
          <c:extLst>
            <c:ext xmlns:c16="http://schemas.microsoft.com/office/drawing/2014/chart" uri="{C3380CC4-5D6E-409C-BE32-E72D297353CC}">
              <c16:uniqueId val="{00000015-B98B-44B1-A3AE-F90FB92F70F6}"/>
            </c:ext>
          </c:extLst>
        </c:ser>
        <c:ser>
          <c:idx val="3"/>
          <c:order val="3"/>
          <c:tx>
            <c:v>PEG 4000</c:v>
          </c:tx>
          <c:spPr>
            <a:ln w="19050">
              <a:solidFill>
                <a:schemeClr val="accent2"/>
              </a:solidFill>
            </a:ln>
          </c:spPr>
          <c:marker>
            <c:symbol val="none"/>
          </c:marker>
          <c:xVal>
            <c:numRef>
              <c:f>'Equilibrium curve models'!$B$52:$B$83</c:f>
              <c:numCache>
                <c:formatCode>0.0%</c:formatCode>
                <c:ptCount val="32"/>
                <c:pt idx="0">
                  <c:v>3.5000000000000003E-2</c:v>
                </c:pt>
                <c:pt idx="1">
                  <c:v>0.04</c:v>
                </c:pt>
                <c:pt idx="2">
                  <c:v>0.05</c:v>
                </c:pt>
                <c:pt idx="3">
                  <c:v>0.06</c:v>
                </c:pt>
                <c:pt idx="4">
                  <c:v>7.0000000000000007E-2</c:v>
                </c:pt>
                <c:pt idx="5">
                  <c:v>0.08</c:v>
                </c:pt>
                <c:pt idx="6">
                  <c:v>0.09</c:v>
                </c:pt>
                <c:pt idx="7">
                  <c:v>0.1</c:v>
                </c:pt>
                <c:pt idx="8">
                  <c:v>0.11</c:v>
                </c:pt>
                <c:pt idx="9">
                  <c:v>0.12</c:v>
                </c:pt>
                <c:pt idx="10">
                  <c:v>0.13</c:v>
                </c:pt>
                <c:pt idx="11">
                  <c:v>0.14000000000000001</c:v>
                </c:pt>
                <c:pt idx="12">
                  <c:v>0.15</c:v>
                </c:pt>
                <c:pt idx="13">
                  <c:v>0.16</c:v>
                </c:pt>
                <c:pt idx="14">
                  <c:v>0.17</c:v>
                </c:pt>
                <c:pt idx="15">
                  <c:v>0.18</c:v>
                </c:pt>
                <c:pt idx="16">
                  <c:v>0.19</c:v>
                </c:pt>
                <c:pt idx="17">
                  <c:v>0.2</c:v>
                </c:pt>
                <c:pt idx="18">
                  <c:v>0.21</c:v>
                </c:pt>
                <c:pt idx="19">
                  <c:v>0.22</c:v>
                </c:pt>
                <c:pt idx="20">
                  <c:v>0.23</c:v>
                </c:pt>
                <c:pt idx="21">
                  <c:v>0.24</c:v>
                </c:pt>
                <c:pt idx="22">
                  <c:v>0.25</c:v>
                </c:pt>
                <c:pt idx="23">
                  <c:v>0.26</c:v>
                </c:pt>
                <c:pt idx="24">
                  <c:v>0.27</c:v>
                </c:pt>
                <c:pt idx="25">
                  <c:v>0.28000000000000003</c:v>
                </c:pt>
                <c:pt idx="26">
                  <c:v>0.28999999999999998</c:v>
                </c:pt>
                <c:pt idx="27">
                  <c:v>0.3</c:v>
                </c:pt>
                <c:pt idx="28">
                  <c:v>0.31</c:v>
                </c:pt>
                <c:pt idx="29">
                  <c:v>0.32</c:v>
                </c:pt>
                <c:pt idx="30">
                  <c:v>0.33</c:v>
                </c:pt>
                <c:pt idx="31">
                  <c:v>0.34</c:v>
                </c:pt>
              </c:numCache>
            </c:numRef>
          </c:xVal>
          <c:yVal>
            <c:numRef>
              <c:f>'Equilibrium curve models'!$C$52:$C$83</c:f>
              <c:numCache>
                <c:formatCode>0.0%</c:formatCode>
                <c:ptCount val="32"/>
                <c:pt idx="0">
                  <c:v>0.48178845260869518</c:v>
                </c:pt>
                <c:pt idx="1">
                  <c:v>0.42240763021815825</c:v>
                </c:pt>
                <c:pt idx="2">
                  <c:v>0.33152333611819673</c:v>
                </c:pt>
                <c:pt idx="3">
                  <c:v>0.26550863964996768</c:v>
                </c:pt>
                <c:pt idx="4">
                  <c:v>0.2156813674938064</c:v>
                </c:pt>
                <c:pt idx="5">
                  <c:v>0.17698528811424713</c:v>
                </c:pt>
                <c:pt idx="6">
                  <c:v>0.14626811147115823</c:v>
                </c:pt>
                <c:pt idx="7">
                  <c:v>0.12146243503937952</c:v>
                </c:pt>
                <c:pt idx="8">
                  <c:v>0.10115778896874894</c:v>
                </c:pt>
                <c:pt idx="9">
                  <c:v>8.4360604782257986E-2</c:v>
                </c:pt>
                <c:pt idx="10">
                  <c:v>7.035188728930139E-2</c:v>
                </c:pt>
                <c:pt idx="11">
                  <c:v>5.8598948967086097E-2</c:v>
                </c:pt>
                <c:pt idx="12">
                  <c:v>4.8698619184025682E-2</c:v>
                </c:pt>
                <c:pt idx="13">
                  <c:v>4.0339576182311779E-2</c:v>
                </c:pt>
                <c:pt idx="14">
                  <c:v>3.3276730784008057E-2</c:v>
                </c:pt>
                <c:pt idx="15">
                  <c:v>2.7313453160787666E-2</c:v>
                </c:pt>
                <c:pt idx="16">
                  <c:v>2.2289050807790031E-2</c:v>
                </c:pt>
                <c:pt idx="17">
                  <c:v>1.8069851427275276E-2</c:v>
                </c:pt>
                <c:pt idx="18">
                  <c:v>1.4542813992566909E-2</c:v>
                </c:pt>
                <c:pt idx="19">
                  <c:v>1.1610943206765681E-2</c:v>
                </c:pt>
                <c:pt idx="20">
                  <c:v>9.1900051427739257E-3</c:v>
                </c:pt>
                <c:pt idx="21">
                  <c:v>7.2061859163485825E-3</c:v>
                </c:pt>
                <c:pt idx="22">
                  <c:v>5.5944309961402979E-3</c:v>
                </c:pt>
                <c:pt idx="23">
                  <c:v>4.2972685436520001E-3</c:v>
                </c:pt>
                <c:pt idx="24">
                  <c:v>3.2639673174094672E-3</c:v>
                </c:pt>
                <c:pt idx="25">
                  <c:v>2.4499151564721646E-3</c:v>
                </c:pt>
                <c:pt idx="26">
                  <c:v>1.8161321161348711E-3</c:v>
                </c:pt>
                <c:pt idx="27">
                  <c:v>1.3288554173546204E-3</c:v>
                </c:pt>
                <c:pt idx="28">
                  <c:v>9.5915278988904827E-4</c:v>
                </c:pt>
                <c:pt idx="29">
                  <c:v>6.8253711613422072E-4</c:v>
                </c:pt>
                <c:pt idx="30">
                  <c:v>4.7856869387833295E-4</c:v>
                </c:pt>
                <c:pt idx="31">
                  <c:v>3.3044193818072273E-4</c:v>
                </c:pt>
              </c:numCache>
            </c:numRef>
          </c:yVal>
          <c:smooth val="0"/>
          <c:extLst>
            <c:ext xmlns:c16="http://schemas.microsoft.com/office/drawing/2014/chart" uri="{C3380CC4-5D6E-409C-BE32-E72D297353CC}">
              <c16:uniqueId val="{00000018-B98B-44B1-A3AE-F90FB92F70F6}"/>
            </c:ext>
          </c:extLst>
        </c:ser>
        <c:ser>
          <c:idx val="1"/>
          <c:order val="4"/>
          <c:tx>
            <c:v>PEG 6000</c:v>
          </c:tx>
          <c:spPr>
            <a:ln w="19050">
              <a:solidFill>
                <a:schemeClr val="accent5"/>
              </a:solidFill>
            </a:ln>
          </c:spPr>
          <c:marker>
            <c:symbol val="none"/>
          </c:marker>
          <c:xVal>
            <c:numRef>
              <c:f>'PEG 6000 + CIT'!$BB$28:$BB$63</c:f>
              <c:numCache>
                <c:formatCode>0.0%</c:formatCode>
                <c:ptCount val="36"/>
                <c:pt idx="0">
                  <c:v>0.03</c:v>
                </c:pt>
                <c:pt idx="1">
                  <c:v>3.5000000000000003E-2</c:v>
                </c:pt>
                <c:pt idx="2">
                  <c:v>0.04</c:v>
                </c:pt>
                <c:pt idx="3">
                  <c:v>0.05</c:v>
                </c:pt>
                <c:pt idx="4">
                  <c:v>0.06</c:v>
                </c:pt>
                <c:pt idx="5">
                  <c:v>7.0000000000000007E-2</c:v>
                </c:pt>
                <c:pt idx="6">
                  <c:v>0.08</c:v>
                </c:pt>
                <c:pt idx="7">
                  <c:v>0.09</c:v>
                </c:pt>
                <c:pt idx="8">
                  <c:v>0.1</c:v>
                </c:pt>
                <c:pt idx="9">
                  <c:v>0.11</c:v>
                </c:pt>
                <c:pt idx="10">
                  <c:v>0.12</c:v>
                </c:pt>
                <c:pt idx="11">
                  <c:v>0.13</c:v>
                </c:pt>
                <c:pt idx="12">
                  <c:v>0.14000000000000001</c:v>
                </c:pt>
                <c:pt idx="13">
                  <c:v>0.15</c:v>
                </c:pt>
                <c:pt idx="14">
                  <c:v>0.16</c:v>
                </c:pt>
                <c:pt idx="15">
                  <c:v>0.17</c:v>
                </c:pt>
                <c:pt idx="16">
                  <c:v>0.18</c:v>
                </c:pt>
                <c:pt idx="17">
                  <c:v>0.19</c:v>
                </c:pt>
                <c:pt idx="18">
                  <c:v>0.2</c:v>
                </c:pt>
                <c:pt idx="19">
                  <c:v>0.21</c:v>
                </c:pt>
                <c:pt idx="20">
                  <c:v>0.22</c:v>
                </c:pt>
                <c:pt idx="21">
                  <c:v>0.23</c:v>
                </c:pt>
                <c:pt idx="22">
                  <c:v>0.24</c:v>
                </c:pt>
                <c:pt idx="23">
                  <c:v>0.25</c:v>
                </c:pt>
                <c:pt idx="24">
                  <c:v>0.26</c:v>
                </c:pt>
                <c:pt idx="25">
                  <c:v>0.27</c:v>
                </c:pt>
                <c:pt idx="26">
                  <c:v>0.28000000000000003</c:v>
                </c:pt>
                <c:pt idx="27">
                  <c:v>0.28999999999999998</c:v>
                </c:pt>
                <c:pt idx="28">
                  <c:v>0.3</c:v>
                </c:pt>
                <c:pt idx="29">
                  <c:v>0.31</c:v>
                </c:pt>
                <c:pt idx="30">
                  <c:v>0.32</c:v>
                </c:pt>
                <c:pt idx="31">
                  <c:v>0.33</c:v>
                </c:pt>
                <c:pt idx="32">
                  <c:v>0.34</c:v>
                </c:pt>
              </c:numCache>
            </c:numRef>
          </c:xVal>
          <c:yVal>
            <c:numRef>
              <c:f>'PEG 6000 + CIT'!$BC$28:$BC$63</c:f>
              <c:numCache>
                <c:formatCode>0.0%</c:formatCode>
                <c:ptCount val="36"/>
                <c:pt idx="0">
                  <c:v>0.47321746325075537</c:v>
                </c:pt>
                <c:pt idx="1">
                  <c:v>0.4199154821934733</c:v>
                </c:pt>
                <c:pt idx="2">
                  <c:v>0.37523844578867055</c:v>
                </c:pt>
                <c:pt idx="3">
                  <c:v>0.30415087720165523</c:v>
                </c:pt>
                <c:pt idx="4">
                  <c:v>0.24976148627094957</c:v>
                </c:pt>
                <c:pt idx="5">
                  <c:v>0.20658603924278293</c:v>
                </c:pt>
                <c:pt idx="6">
                  <c:v>0.17139415629010252</c:v>
                </c:pt>
                <c:pt idx="7">
                  <c:v>0.14216362421848305</c:v>
                </c:pt>
                <c:pt idx="8">
                  <c:v>0.11757150734865938</c:v>
                </c:pt>
                <c:pt idx="9">
                  <c:v>9.6721228758862271E-2</c:v>
                </c:pt>
                <c:pt idx="10">
                  <c:v>7.8984794244955331E-2</c:v>
                </c:pt>
                <c:pt idx="11">
                  <c:v>6.3906058117003978E-2</c:v>
                </c:pt>
                <c:pt idx="12">
                  <c:v>5.1138783169232378E-2</c:v>
                </c:pt>
                <c:pt idx="13">
                  <c:v>4.0405948828028247E-2</c:v>
                </c:pt>
                <c:pt idx="14">
                  <c:v>3.1472933527066434E-2</c:v>
                </c:pt>
                <c:pt idx="15">
                  <c:v>2.4130315062405563E-2</c:v>
                </c:pt>
                <c:pt idx="16">
                  <c:v>1.8183627250869035E-2</c:v>
                </c:pt>
                <c:pt idx="17">
                  <c:v>1.3448217350027091E-2</c:v>
                </c:pt>
                <c:pt idx="18">
                  <c:v>9.7477506312864774E-3</c:v>
                </c:pt>
                <c:pt idx="19">
                  <c:v>6.915123059678641E-3</c:v>
                </c:pt>
                <c:pt idx="20">
                  <c:v>4.7946968258820227E-3</c:v>
                </c:pt>
                <c:pt idx="21">
                  <c:v>3.2449360368083263E-3</c:v>
                </c:pt>
                <c:pt idx="22">
                  <c:v>2.1407195102448305E-3</c:v>
                </c:pt>
                <c:pt idx="23">
                  <c:v>1.374842019485538E-3</c:v>
                </c:pt>
                <c:pt idx="24">
                  <c:v>8.584619670425188E-4</c:v>
                </c:pt>
                <c:pt idx="25">
                  <c:v>5.2048086748224048E-4</c:v>
                </c:pt>
                <c:pt idx="26">
                  <c:v>3.0601870223188741E-4</c:v>
                </c:pt>
                <c:pt idx="27">
                  <c:v>1.7426013511576894E-4</c:v>
                </c:pt>
                <c:pt idx="28">
                  <c:v>9.5985435523086166E-5</c:v>
                </c:pt>
                <c:pt idx="29">
                  <c:v>5.1076695736782066E-5</c:v>
                </c:pt>
                <c:pt idx="30">
                  <c:v>2.6224406546477078E-5</c:v>
                </c:pt>
                <c:pt idx="31">
                  <c:v>1.2975117155297594E-5</c:v>
                </c:pt>
                <c:pt idx="32">
                  <c:v>6.1787243453244241E-6</c:v>
                </c:pt>
              </c:numCache>
            </c:numRef>
          </c:yVal>
          <c:smooth val="0"/>
          <c:extLst>
            <c:ext xmlns:c16="http://schemas.microsoft.com/office/drawing/2014/chart" uri="{C3380CC4-5D6E-409C-BE32-E72D297353CC}">
              <c16:uniqueId val="{00000016-B98B-44B1-A3AE-F90FB92F70F6}"/>
            </c:ext>
          </c:extLst>
        </c:ser>
        <c:ser>
          <c:idx val="2"/>
          <c:order val="5"/>
          <c:tx>
            <c:v>PEG 10000</c:v>
          </c:tx>
          <c:spPr>
            <a:ln w="25400" cap="rnd">
              <a:solidFill>
                <a:srgbClr val="92D050"/>
              </a:solidFill>
              <a:round/>
            </a:ln>
            <a:effectLst/>
          </c:spPr>
          <c:marker>
            <c:symbol val="none"/>
          </c:marker>
          <c:xVal>
            <c:numRef>
              <c:f>'PEG 10000 + CIT'!$BA$24:$BA$57</c:f>
              <c:numCache>
                <c:formatCode>0%</c:formatCode>
                <c:ptCount val="34"/>
                <c:pt idx="0">
                  <c:v>2.5000000000000001E-2</c:v>
                </c:pt>
                <c:pt idx="1">
                  <c:v>0.03</c:v>
                </c:pt>
                <c:pt idx="2">
                  <c:v>3.5000000000000003E-2</c:v>
                </c:pt>
                <c:pt idx="3">
                  <c:v>0.04</c:v>
                </c:pt>
                <c:pt idx="4">
                  <c:v>0.05</c:v>
                </c:pt>
                <c:pt idx="5">
                  <c:v>0.06</c:v>
                </c:pt>
                <c:pt idx="6">
                  <c:v>7.0000000000000007E-2</c:v>
                </c:pt>
                <c:pt idx="7">
                  <c:v>0.08</c:v>
                </c:pt>
                <c:pt idx="8">
                  <c:v>0.09</c:v>
                </c:pt>
                <c:pt idx="9">
                  <c:v>0.1</c:v>
                </c:pt>
                <c:pt idx="10">
                  <c:v>0.11</c:v>
                </c:pt>
                <c:pt idx="11">
                  <c:v>0.12</c:v>
                </c:pt>
                <c:pt idx="12">
                  <c:v>0.13</c:v>
                </c:pt>
                <c:pt idx="13">
                  <c:v>0.14000000000000001</c:v>
                </c:pt>
                <c:pt idx="14">
                  <c:v>0.15</c:v>
                </c:pt>
                <c:pt idx="15">
                  <c:v>0.16</c:v>
                </c:pt>
                <c:pt idx="16">
                  <c:v>0.17</c:v>
                </c:pt>
                <c:pt idx="17">
                  <c:v>0.18</c:v>
                </c:pt>
                <c:pt idx="18">
                  <c:v>0.19</c:v>
                </c:pt>
                <c:pt idx="19">
                  <c:v>0.2</c:v>
                </c:pt>
                <c:pt idx="20">
                  <c:v>0.21</c:v>
                </c:pt>
                <c:pt idx="21">
                  <c:v>0.22</c:v>
                </c:pt>
                <c:pt idx="22">
                  <c:v>0.23</c:v>
                </c:pt>
                <c:pt idx="23">
                  <c:v>0.24</c:v>
                </c:pt>
                <c:pt idx="24">
                  <c:v>0.25</c:v>
                </c:pt>
                <c:pt idx="25">
                  <c:v>0.26</c:v>
                </c:pt>
                <c:pt idx="26">
                  <c:v>0.27</c:v>
                </c:pt>
                <c:pt idx="27">
                  <c:v>0.28000000000000003</c:v>
                </c:pt>
                <c:pt idx="28">
                  <c:v>0.28999999999999998</c:v>
                </c:pt>
                <c:pt idx="29">
                  <c:v>0.3</c:v>
                </c:pt>
                <c:pt idx="30">
                  <c:v>0.31</c:v>
                </c:pt>
                <c:pt idx="31">
                  <c:v>0.32</c:v>
                </c:pt>
                <c:pt idx="32">
                  <c:v>0.33</c:v>
                </c:pt>
                <c:pt idx="33">
                  <c:v>0.34</c:v>
                </c:pt>
              </c:numCache>
            </c:numRef>
          </c:xVal>
          <c:yVal>
            <c:numRef>
              <c:f>'PEG 10000 + CIT'!$BB$24:$BB$57</c:f>
              <c:numCache>
                <c:formatCode>0%</c:formatCode>
                <c:ptCount val="34"/>
                <c:pt idx="0">
                  <c:v>0.49531048296063801</c:v>
                </c:pt>
                <c:pt idx="1">
                  <c:v>0.44746066301252696</c:v>
                </c:pt>
                <c:pt idx="2">
                  <c:v>0.4065296013972749</c:v>
                </c:pt>
                <c:pt idx="3">
                  <c:v>0.37071323057808042</c:v>
                </c:pt>
                <c:pt idx="4">
                  <c:v>0.30998347474359067</c:v>
                </c:pt>
                <c:pt idx="5">
                  <c:v>0.2593526450228657</c:v>
                </c:pt>
                <c:pt idx="6">
                  <c:v>0.21575868863268913</c:v>
                </c:pt>
                <c:pt idx="7">
                  <c:v>0.17757225806351976</c:v>
                </c:pt>
                <c:pt idx="8">
                  <c:v>0.1439519405319426</c:v>
                </c:pt>
                <c:pt idx="9">
                  <c:v>0.11449566444748553</c:v>
                </c:pt>
                <c:pt idx="10">
                  <c:v>8.9023778729171027E-2</c:v>
                </c:pt>
                <c:pt idx="11">
                  <c:v>6.7432495359653885E-2</c:v>
                </c:pt>
                <c:pt idx="12">
                  <c:v>4.9595195131468837E-2</c:v>
                </c:pt>
                <c:pt idx="13">
                  <c:v>3.5303869424107487E-2</c:v>
                </c:pt>
                <c:pt idx="14">
                  <c:v>2.4246878772669549E-2</c:v>
                </c:pt>
                <c:pt idx="15">
                  <c:v>1.6017854920178008E-2</c:v>
                </c:pt>
                <c:pt idx="16">
                  <c:v>1.0147337938483309E-2</c:v>
                </c:pt>
                <c:pt idx="17">
                  <c:v>6.1460974984168968E-3</c:v>
                </c:pt>
                <c:pt idx="18">
                  <c:v>3.5486205864611931E-3</c:v>
                </c:pt>
                <c:pt idx="19">
                  <c:v>1.9474052142272732E-3</c:v>
                </c:pt>
                <c:pt idx="20">
                  <c:v>1.0127968044066741E-3</c:v>
                </c:pt>
                <c:pt idx="21">
                  <c:v>4.9773416974772781E-4</c:v>
                </c:pt>
                <c:pt idx="22">
                  <c:v>2.3047710929433333E-4</c:v>
                </c:pt>
                <c:pt idx="23">
                  <c:v>1.0026853010062829E-4</c:v>
                </c:pt>
                <c:pt idx="24">
                  <c:v>4.0866155511801141E-5</c:v>
                </c:pt>
                <c:pt idx="25">
                  <c:v>1.5559113002731533E-5</c:v>
                </c:pt>
                <c:pt idx="26">
                  <c:v>5.518115368766445E-6</c:v>
                </c:pt>
                <c:pt idx="27">
                  <c:v>1.8178058255403937E-6</c:v>
                </c:pt>
                <c:pt idx="28">
                  <c:v>5.5465561473937516E-7</c:v>
                </c:pt>
                <c:pt idx="29">
                  <c:v>1.5631088575233459E-7</c:v>
                </c:pt>
                <c:pt idx="30">
                  <c:v>4.0571175089149932E-8</c:v>
                </c:pt>
                <c:pt idx="31">
                  <c:v>9.6712570978420895E-9</c:v>
                </c:pt>
                <c:pt idx="32">
                  <c:v>2.1113549383760669E-9</c:v>
                </c:pt>
                <c:pt idx="33">
                  <c:v>4.2094945361605837E-10</c:v>
                </c:pt>
              </c:numCache>
            </c:numRef>
          </c:yVal>
          <c:smooth val="0"/>
          <c:extLst>
            <c:ext xmlns:c16="http://schemas.microsoft.com/office/drawing/2014/chart" uri="{C3380CC4-5D6E-409C-BE32-E72D297353CC}">
              <c16:uniqueId val="{00000017-B98B-44B1-A3AE-F90FB92F70F6}"/>
            </c:ext>
          </c:extLst>
        </c:ser>
        <c:dLbls>
          <c:showLegendKey val="0"/>
          <c:showVal val="0"/>
          <c:showCatName val="0"/>
          <c:showSerName val="0"/>
          <c:showPercent val="0"/>
          <c:showBubbleSize val="0"/>
        </c:dLbls>
        <c:axId val="484070800"/>
        <c:axId val="484071456"/>
      </c:scatterChart>
      <c:valAx>
        <c:axId val="484070800"/>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en-ZA"/>
                  <a:t>Citrate concentration</a:t>
                </a:r>
                <a:r>
                  <a:rPr lang="en-ZA" baseline="0"/>
                  <a:t> (wt%)</a:t>
                </a:r>
                <a:endParaRPr lang="en-ZA"/>
              </a:p>
            </c:rich>
          </c:tx>
          <c:overlay val="0"/>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4071456"/>
        <c:crosses val="autoZero"/>
        <c:crossBetween val="midCat"/>
      </c:valAx>
      <c:valAx>
        <c:axId val="484071456"/>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ZA"/>
                  <a:t>PEG concentration (wt%)</a:t>
                </a:r>
              </a:p>
            </c:rich>
          </c:tx>
          <c:overlay val="0"/>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4070800"/>
        <c:crosses val="autoZero"/>
        <c:crossBetween val="midCat"/>
      </c:valAx>
    </c:plotArea>
    <c:legend>
      <c:legendPos val="r"/>
      <c:layout>
        <c:manualLayout>
          <c:xMode val="edge"/>
          <c:yMode val="edge"/>
          <c:x val="0.78408306329183164"/>
          <c:y val="0.26481787405115698"/>
          <c:w val="0.16731756137247053"/>
          <c:h val="0.26789496103918325"/>
        </c:manualLayout>
      </c:layout>
      <c:overlay val="0"/>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RI standard curve Citrate buffer pH 6</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 I standards'!$O$28:$R$28</c:f>
              <c:numCache>
                <c:formatCode>0%</c:formatCode>
                <c:ptCount val="4"/>
                <c:pt idx="0">
                  <c:v>0.05</c:v>
                </c:pt>
                <c:pt idx="1">
                  <c:v>0.1</c:v>
                </c:pt>
                <c:pt idx="2">
                  <c:v>0.15</c:v>
                </c:pt>
                <c:pt idx="3">
                  <c:v>0.2</c:v>
                </c:pt>
              </c:numCache>
            </c:numRef>
          </c:xVal>
          <c:yVal>
            <c:numRef>
              <c:f>'R I standards'!$O$32:$R$32</c:f>
              <c:numCache>
                <c:formatCode>0.000</c:formatCode>
                <c:ptCount val="4"/>
                <c:pt idx="0">
                  <c:v>1.341</c:v>
                </c:pt>
                <c:pt idx="1">
                  <c:v>1.349</c:v>
                </c:pt>
                <c:pt idx="2">
                  <c:v>1.357</c:v>
                </c:pt>
                <c:pt idx="3">
                  <c:v>1.365</c:v>
                </c:pt>
              </c:numCache>
            </c:numRef>
          </c:yVal>
          <c:smooth val="0"/>
          <c:extLst>
            <c:ext xmlns:c16="http://schemas.microsoft.com/office/drawing/2014/chart" uri="{C3380CC4-5D6E-409C-BE32-E72D297353CC}">
              <c16:uniqueId val="{00000001-E5B6-481A-8DBB-9FD5E0B726FF}"/>
            </c:ext>
          </c:extLst>
        </c:ser>
        <c:dLbls>
          <c:showLegendKey val="0"/>
          <c:showVal val="0"/>
          <c:showCatName val="0"/>
          <c:showSerName val="0"/>
          <c:showPercent val="0"/>
          <c:showBubbleSize val="0"/>
        </c:dLbls>
        <c:axId val="593906528"/>
        <c:axId val="593909480"/>
      </c:scatterChart>
      <c:valAx>
        <c:axId val="5939065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Citrate wt%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3909480"/>
        <c:crosses val="autoZero"/>
        <c:crossBetween val="midCat"/>
      </c:valAx>
      <c:valAx>
        <c:axId val="5939094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39065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PEG 4000 - citrate phase diagram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2"/>
              </a:solidFill>
              <a:ln w="9525">
                <a:solidFill>
                  <a:schemeClr val="accent2"/>
                </a:solidFill>
              </a:ln>
              <a:effectLst/>
            </c:spPr>
          </c:marker>
          <c:errBars>
            <c:errDir val="x"/>
            <c:errBarType val="both"/>
            <c:errValType val="cust"/>
            <c:noEndCap val="0"/>
            <c:plus>
              <c:numRef>
                <c:f>'PEG 4000 + CIT'!$AU$6:$AU$20</c:f>
                <c:numCache>
                  <c:formatCode>General</c:formatCode>
                  <c:ptCount val="15"/>
                  <c:pt idx="0">
                    <c:v>2.1433328582952352E-3</c:v>
                  </c:pt>
                  <c:pt idx="1">
                    <c:v>1.6468619924117917E-3</c:v>
                  </c:pt>
                  <c:pt idx="2">
                    <c:v>3.283764437881944E-3</c:v>
                  </c:pt>
                  <c:pt idx="3">
                    <c:v>3.9295120238005774E-3</c:v>
                  </c:pt>
                  <c:pt idx="4">
                    <c:v>1.6778307194023317E-3</c:v>
                  </c:pt>
                  <c:pt idx="5">
                    <c:v>6.595416768394321E-3</c:v>
                  </c:pt>
                  <c:pt idx="6">
                    <c:v>1.0704183085749924E-3</c:v>
                  </c:pt>
                  <c:pt idx="7">
                    <c:v>3.1991471547409092E-4</c:v>
                  </c:pt>
                  <c:pt idx="8">
                    <c:v>1.8826772457435183E-3</c:v>
                  </c:pt>
                  <c:pt idx="9">
                    <c:v>3.8369645165517727E-3</c:v>
                  </c:pt>
                  <c:pt idx="10">
                    <c:v>8.1262319649647464E-4</c:v>
                  </c:pt>
                  <c:pt idx="11">
                    <c:v>6.80015685141536E-3</c:v>
                  </c:pt>
                </c:numCache>
              </c:numRef>
            </c:plus>
            <c:minus>
              <c:numRef>
                <c:f>'PEG 4000 + CIT'!$AU$6:$AU$20</c:f>
                <c:numCache>
                  <c:formatCode>General</c:formatCode>
                  <c:ptCount val="15"/>
                  <c:pt idx="0">
                    <c:v>2.1433328582952352E-3</c:v>
                  </c:pt>
                  <c:pt idx="1">
                    <c:v>1.6468619924117917E-3</c:v>
                  </c:pt>
                  <c:pt idx="2">
                    <c:v>3.283764437881944E-3</c:v>
                  </c:pt>
                  <c:pt idx="3">
                    <c:v>3.9295120238005774E-3</c:v>
                  </c:pt>
                  <c:pt idx="4">
                    <c:v>1.6778307194023317E-3</c:v>
                  </c:pt>
                  <c:pt idx="5">
                    <c:v>6.595416768394321E-3</c:v>
                  </c:pt>
                  <c:pt idx="6">
                    <c:v>1.0704183085749924E-3</c:v>
                  </c:pt>
                  <c:pt idx="7">
                    <c:v>3.1991471547409092E-4</c:v>
                  </c:pt>
                  <c:pt idx="8">
                    <c:v>1.8826772457435183E-3</c:v>
                  </c:pt>
                  <c:pt idx="9">
                    <c:v>3.8369645165517727E-3</c:v>
                  </c:pt>
                  <c:pt idx="10">
                    <c:v>8.1262319649647464E-4</c:v>
                  </c:pt>
                  <c:pt idx="11">
                    <c:v>6.80015685141536E-3</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'PEG 4000 + CIT'!$AW$6:$AW$19</c:f>
                <c:numCache>
                  <c:formatCode>General</c:formatCode>
                  <c:ptCount val="14"/>
                  <c:pt idx="0">
                    <c:v>3.0560829728544232E-3</c:v>
                  </c:pt>
                  <c:pt idx="1">
                    <c:v>4.0119411628032351E-3</c:v>
                  </c:pt>
                  <c:pt idx="2">
                    <c:v>8.2343099620589587E-4</c:v>
                  </c:pt>
                  <c:pt idx="3">
                    <c:v>5.3186070385835829E-3</c:v>
                  </c:pt>
                  <c:pt idx="4">
                    <c:v>9.7115988579360591E-3</c:v>
                  </c:pt>
                  <c:pt idx="5">
                    <c:v>3.1657183384949659E-4</c:v>
                  </c:pt>
                  <c:pt idx="6">
                    <c:v>1.3911045049880204E-3</c:v>
                  </c:pt>
                  <c:pt idx="7">
                    <c:v>2.6314428113779647E-3</c:v>
                  </c:pt>
                  <c:pt idx="8">
                    <c:v>5.1955068673661348E-5</c:v>
                  </c:pt>
                  <c:pt idx="9">
                    <c:v>4.7091880405918237E-3</c:v>
                  </c:pt>
                  <c:pt idx="10">
                    <c:v>9.4068805692491056E-3</c:v>
                  </c:pt>
                  <c:pt idx="11">
                    <c:v>1.0388878312157787E-4</c:v>
                  </c:pt>
                  <c:pt idx="12">
                    <c:v>0</c:v>
                  </c:pt>
                  <c:pt idx="13">
                    <c:v>0</c:v>
                  </c:pt>
                </c:numCache>
              </c:numRef>
            </c:plus>
            <c:minus>
              <c:numRef>
                <c:f>'PEG 4000 + CIT'!$AW$6:$AW$19</c:f>
                <c:numCache>
                  <c:formatCode>General</c:formatCode>
                  <c:ptCount val="14"/>
                  <c:pt idx="0">
                    <c:v>3.0560829728544232E-3</c:v>
                  </c:pt>
                  <c:pt idx="1">
                    <c:v>4.0119411628032351E-3</c:v>
                  </c:pt>
                  <c:pt idx="2">
                    <c:v>8.2343099620589587E-4</c:v>
                  </c:pt>
                  <c:pt idx="3">
                    <c:v>5.3186070385835829E-3</c:v>
                  </c:pt>
                  <c:pt idx="4">
                    <c:v>9.7115988579360591E-3</c:v>
                  </c:pt>
                  <c:pt idx="5">
                    <c:v>3.1657183384949659E-4</c:v>
                  </c:pt>
                  <c:pt idx="6">
                    <c:v>1.3911045049880204E-3</c:v>
                  </c:pt>
                  <c:pt idx="7">
                    <c:v>2.6314428113779647E-3</c:v>
                  </c:pt>
                  <c:pt idx="8">
                    <c:v>5.1955068673661348E-5</c:v>
                  </c:pt>
                  <c:pt idx="9">
                    <c:v>4.7091880405918237E-3</c:v>
                  </c:pt>
                  <c:pt idx="10">
                    <c:v>9.4068805692491056E-3</c:v>
                  </c:pt>
                  <c:pt idx="11">
                    <c:v>1.0388878312157787E-4</c:v>
                  </c:pt>
                  <c:pt idx="12">
                    <c:v>0</c:v>
                  </c:pt>
                  <c:pt idx="13">
                    <c:v>0</c:v>
                  </c:pt>
                </c:numCache>
              </c:numRef>
            </c:minus>
            <c:spPr>
              <a:noFill/>
              <a:ln w="9525" cap="flat" cmpd="sng" algn="ctr">
                <a:solidFill>
                  <a:schemeClr val="tx1">
                    <a:lumMod val="65000"/>
                    <a:lumOff val="35000"/>
                  </a:schemeClr>
                </a:solidFill>
                <a:round/>
              </a:ln>
              <a:effectLst/>
            </c:spPr>
          </c:errBars>
          <c:xVal>
            <c:numRef>
              <c:f>'PEG 4000 + CIT'!$AT$6:$AT$17</c:f>
              <c:numCache>
                <c:formatCode>0.00%</c:formatCode>
                <c:ptCount val="12"/>
                <c:pt idx="0">
                  <c:v>0.10411718131433097</c:v>
                </c:pt>
                <c:pt idx="1">
                  <c:v>8.0000000000000016E-2</c:v>
                </c:pt>
                <c:pt idx="2">
                  <c:v>0.15951619275992626</c:v>
                </c:pt>
                <c:pt idx="3">
                  <c:v>0.12412702595862432</c:v>
                </c:pt>
                <c:pt idx="4">
                  <c:v>5.2999999999999992E-2</c:v>
                </c:pt>
                <c:pt idx="5">
                  <c:v>0.20833871062357018</c:v>
                </c:pt>
                <c:pt idx="6">
                  <c:v>0.14421938708404577</c:v>
                </c:pt>
                <c:pt idx="7">
                  <c:v>4.3102685945517825E-2</c:v>
                </c:pt>
                <c:pt idx="8">
                  <c:v>0.25365649698170062</c:v>
                </c:pt>
                <c:pt idx="9">
                  <c:v>0.18466692944422547</c:v>
                </c:pt>
                <c:pt idx="10">
                  <c:v>3.911024713541434E-2</c:v>
                </c:pt>
                <c:pt idx="11">
                  <c:v>0.32728060946952009</c:v>
                </c:pt>
              </c:numCache>
            </c:numRef>
          </c:xVal>
          <c:yVal>
            <c:numRef>
              <c:f>'PEG 4000 + CIT'!$AV$6:$AV$17</c:f>
              <c:numCache>
                <c:formatCode>0.00%</c:formatCode>
                <c:ptCount val="12"/>
                <c:pt idx="0">
                  <c:v>0.14845605700712591</c:v>
                </c:pt>
                <c:pt idx="1">
                  <c:v>0.19488900375569856</c:v>
                </c:pt>
                <c:pt idx="2">
                  <c:v>4.0000000000000008E-2</c:v>
                </c:pt>
                <c:pt idx="3">
                  <c:v>0.16800632494399786</c:v>
                </c:pt>
                <c:pt idx="4">
                  <c:v>0.30677393941980041</c:v>
                </c:pt>
                <c:pt idx="5">
                  <c:v>9.9999999999999985E-3</c:v>
                </c:pt>
                <c:pt idx="6">
                  <c:v>0.18742601604629752</c:v>
                </c:pt>
                <c:pt idx="7">
                  <c:v>0.35453903054859848</c:v>
                </c:pt>
                <c:pt idx="8">
                  <c:v>6.9999999999999993E-3</c:v>
                </c:pt>
                <c:pt idx="9">
                  <c:v>0.22664564446196295</c:v>
                </c:pt>
                <c:pt idx="10">
                  <c:v>0.45273802842798339</c:v>
                </c:pt>
                <c:pt idx="11">
                  <c:v>4.9999999999999992E-3</c:v>
                </c:pt>
              </c:numCache>
            </c:numRef>
          </c:yVal>
          <c:smooth val="0"/>
          <c:extLst>
            <c:ext xmlns:c16="http://schemas.microsoft.com/office/drawing/2014/chart" uri="{C3380CC4-5D6E-409C-BE32-E72D297353CC}">
              <c16:uniqueId val="{00000000-8423-463B-970C-91BC06BE84CD}"/>
            </c:ext>
          </c:extLst>
        </c:ser>
        <c:dLbls>
          <c:showLegendKey val="0"/>
          <c:showVal val="0"/>
          <c:showCatName val="0"/>
          <c:showSerName val="0"/>
          <c:showPercent val="0"/>
          <c:showBubbleSize val="0"/>
        </c:dLbls>
        <c:axId val="665172032"/>
        <c:axId val="665170720"/>
      </c:scatterChart>
      <c:valAx>
        <c:axId val="66517203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Citrate wt%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5170720"/>
        <c:crosses val="autoZero"/>
        <c:crossBetween val="midCat"/>
      </c:valAx>
      <c:valAx>
        <c:axId val="6651707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4000 wt%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517203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ZA"/>
              <a:t>PEG 6000 - citrate phase diagram</a:t>
            </a:r>
          </a:p>
        </c:rich>
      </c:tx>
      <c:overlay val="0"/>
    </c:title>
    <c:autoTitleDeleted val="0"/>
    <c:plotArea>
      <c:layout/>
      <c:scatterChart>
        <c:scatterStyle val="lineMarker"/>
        <c:varyColors val="0"/>
        <c:ser>
          <c:idx val="2"/>
          <c:order val="0"/>
          <c:spPr>
            <a:ln w="25400">
              <a:noFill/>
            </a:ln>
          </c:spPr>
          <c:marker>
            <c:spPr>
              <a:solidFill>
                <a:schemeClr val="accent5"/>
              </a:solidFill>
              <a:ln>
                <a:solidFill>
                  <a:schemeClr val="accent5"/>
                </a:solidFill>
              </a:ln>
            </c:spPr>
          </c:marker>
          <c:errBars>
            <c:errDir val="x"/>
            <c:errBarType val="both"/>
            <c:errValType val="cust"/>
            <c:noEndCap val="0"/>
            <c:plus>
              <c:numRef>
                <c:f>'PEG 6000 + CIT'!$AT$7:$AT$18</c:f>
                <c:numCache>
                  <c:formatCode>General</c:formatCode>
                  <c:ptCount val="12"/>
                  <c:pt idx="0">
                    <c:v>1.7595344050486267E-3</c:v>
                  </c:pt>
                  <c:pt idx="1">
                    <c:v>1.1721450469965077E-3</c:v>
                  </c:pt>
                  <c:pt idx="2">
                    <c:v>2.8333204911259015E-3</c:v>
                  </c:pt>
                  <c:pt idx="3">
                    <c:v>2.6653686602916022E-3</c:v>
                  </c:pt>
                  <c:pt idx="4">
                    <c:v>1.0943036402746369E-3</c:v>
                  </c:pt>
                  <c:pt idx="5">
                    <c:v>4.5239832071942597E-3</c:v>
                  </c:pt>
                  <c:pt idx="6">
                    <c:v>1.6878384299127646E-3</c:v>
                  </c:pt>
                  <c:pt idx="7">
                    <c:v>4.6797687137444476E-4</c:v>
                  </c:pt>
                  <c:pt idx="8">
                    <c:v>2.9469512999286346E-3</c:v>
                  </c:pt>
                  <c:pt idx="9">
                    <c:v>5.2936291353184958E-4</c:v>
                  </c:pt>
                  <c:pt idx="10">
                    <c:v>8.5765783294300274E-5</c:v>
                  </c:pt>
                  <c:pt idx="11">
                    <c:v>9.386219004456377E-4</c:v>
                  </c:pt>
                </c:numCache>
              </c:numRef>
            </c:plus>
            <c:minus>
              <c:numRef>
                <c:f>'PEG 6000 + CIT'!$AT$7:$AT$18</c:f>
                <c:numCache>
                  <c:formatCode>General</c:formatCode>
                  <c:ptCount val="12"/>
                  <c:pt idx="0">
                    <c:v>1.7595344050486267E-3</c:v>
                  </c:pt>
                  <c:pt idx="1">
                    <c:v>1.1721450469965077E-3</c:v>
                  </c:pt>
                  <c:pt idx="2">
                    <c:v>2.8333204911259015E-3</c:v>
                  </c:pt>
                  <c:pt idx="3">
                    <c:v>2.6653686602916022E-3</c:v>
                  </c:pt>
                  <c:pt idx="4">
                    <c:v>1.0943036402746369E-3</c:v>
                  </c:pt>
                  <c:pt idx="5">
                    <c:v>4.5239832071942597E-3</c:v>
                  </c:pt>
                  <c:pt idx="6">
                    <c:v>1.6878384299127646E-3</c:v>
                  </c:pt>
                  <c:pt idx="7">
                    <c:v>4.6797687137444476E-4</c:v>
                  </c:pt>
                  <c:pt idx="8">
                    <c:v>2.9469512999286346E-3</c:v>
                  </c:pt>
                  <c:pt idx="9">
                    <c:v>5.2936291353184958E-4</c:v>
                  </c:pt>
                  <c:pt idx="10">
                    <c:v>8.5765783294300274E-5</c:v>
                  </c:pt>
                  <c:pt idx="11">
                    <c:v>9.386219004456377E-4</c:v>
                  </c:pt>
                </c:numCache>
              </c:numRef>
            </c:minus>
          </c:errBars>
          <c:errBars>
            <c:errDir val="y"/>
            <c:errBarType val="both"/>
            <c:errValType val="cust"/>
            <c:noEndCap val="0"/>
            <c:plus>
              <c:numRef>
                <c:f>'PEG 6000 + CIT'!$AV$7:$AV$18</c:f>
                <c:numCache>
                  <c:formatCode>General</c:formatCode>
                  <c:ptCount val="12"/>
                  <c:pt idx="0">
                    <c:v>2.4993386435349812E-3</c:v>
                  </c:pt>
                  <c:pt idx="1">
                    <c:v>3.5763315066401581E-3</c:v>
                  </c:pt>
                  <c:pt idx="2">
                    <c:v>3.5382600241271229E-4</c:v>
                  </c:pt>
                  <c:pt idx="3">
                    <c:v>3.6191108007154345E-3</c:v>
                  </c:pt>
                  <c:pt idx="4">
                    <c:v>6.5037216796204047E-3</c:v>
                  </c:pt>
                  <c:pt idx="5">
                    <c:v>2.1510291488487497E-4</c:v>
                  </c:pt>
                  <c:pt idx="6">
                    <c:v>2.1934972755364244E-3</c:v>
                  </c:pt>
                  <c:pt idx="7">
                    <c:v>4.3278845238229925E-3</c:v>
                  </c:pt>
                  <c:pt idx="8">
                    <c:v>1.0581494646533132E-5</c:v>
                  </c:pt>
                  <c:pt idx="9">
                    <c:v>6.462498413605382E-4</c:v>
                  </c:pt>
                  <c:pt idx="10">
                    <c:v>1.3485159419826186E-3</c:v>
                  </c:pt>
                  <c:pt idx="11">
                    <c:v>2.5856838440724627E-6</c:v>
                  </c:pt>
                </c:numCache>
              </c:numRef>
            </c:plus>
            <c:minus>
              <c:numRef>
                <c:f>'PEG 6000 + CIT'!$AV$7:$AV$18</c:f>
                <c:numCache>
                  <c:formatCode>General</c:formatCode>
                  <c:ptCount val="12"/>
                  <c:pt idx="0">
                    <c:v>2.4993386435349812E-3</c:v>
                  </c:pt>
                  <c:pt idx="1">
                    <c:v>3.5763315066401581E-3</c:v>
                  </c:pt>
                  <c:pt idx="2">
                    <c:v>3.5382600241271229E-4</c:v>
                  </c:pt>
                  <c:pt idx="3">
                    <c:v>3.6191108007154345E-3</c:v>
                  </c:pt>
                  <c:pt idx="4">
                    <c:v>6.5037216796204047E-3</c:v>
                  </c:pt>
                  <c:pt idx="5">
                    <c:v>2.1510291488487497E-4</c:v>
                  </c:pt>
                  <c:pt idx="6">
                    <c:v>2.1934972755364244E-3</c:v>
                  </c:pt>
                  <c:pt idx="7">
                    <c:v>4.3278845238229925E-3</c:v>
                  </c:pt>
                  <c:pt idx="8">
                    <c:v>1.0581494646533132E-5</c:v>
                  </c:pt>
                  <c:pt idx="9">
                    <c:v>6.462498413605382E-4</c:v>
                  </c:pt>
                  <c:pt idx="10">
                    <c:v>1.3485159419826186E-3</c:v>
                  </c:pt>
                  <c:pt idx="11">
                    <c:v>2.5856838440724627E-6</c:v>
                  </c:pt>
                </c:numCache>
              </c:numRef>
            </c:minus>
          </c:errBars>
          <c:xVal>
            <c:numRef>
              <c:f>'PEG 6000 + CIT'!$AS$7:$AS$18</c:f>
              <c:numCache>
                <c:formatCode>0.00%</c:formatCode>
                <c:ptCount val="12"/>
                <c:pt idx="0">
                  <c:v>0.10443037974683546</c:v>
                </c:pt>
                <c:pt idx="1">
                  <c:v>6.9568149406453186E-2</c:v>
                </c:pt>
                <c:pt idx="2">
                  <c:v>0.16816081230567989</c:v>
                </c:pt>
                <c:pt idx="3">
                  <c:v>0.12391132224861443</c:v>
                </c:pt>
                <c:pt idx="4">
                  <c:v>5.0873491921776981E-2</c:v>
                </c:pt>
                <c:pt idx="5">
                  <c:v>0.21031715026342326</c:v>
                </c:pt>
                <c:pt idx="6">
                  <c:v>0.14426682455101639</c:v>
                </c:pt>
                <c:pt idx="7">
                  <c:v>0.04</c:v>
                </c:pt>
                <c:pt idx="8">
                  <c:v>0.25188862785235172</c:v>
                </c:pt>
                <c:pt idx="9">
                  <c:v>0.18516577119643562</c:v>
                </c:pt>
                <c:pt idx="10">
                  <c:v>2.9999999999999995E-2</c:v>
                </c:pt>
                <c:pt idx="11">
                  <c:v>0.32832040858000844</c:v>
                </c:pt>
              </c:numCache>
            </c:numRef>
          </c:xVal>
          <c:yVal>
            <c:numRef>
              <c:f>'PEG 6000 + CIT'!$AU$7:$AU$18</c:f>
              <c:numCache>
                <c:formatCode>0.00%</c:formatCode>
                <c:ptCount val="12"/>
                <c:pt idx="0">
                  <c:v>0.14833860759493672</c:v>
                </c:pt>
                <c:pt idx="1">
                  <c:v>0.21225936603875753</c:v>
                </c:pt>
                <c:pt idx="2">
                  <c:v>2.0999978000000006E-2</c:v>
                </c:pt>
                <c:pt idx="3">
                  <c:v>0.16825019794140936</c:v>
                </c:pt>
                <c:pt idx="4">
                  <c:v>0.3023539538318788</c:v>
                </c:pt>
                <c:pt idx="5">
                  <c:v>0.01</c:v>
                </c:pt>
                <c:pt idx="6">
                  <c:v>0.1874876652851786</c:v>
                </c:pt>
                <c:pt idx="7">
                  <c:v>0.3699229417994121</c:v>
                </c:pt>
                <c:pt idx="8">
                  <c:v>9.0444594968596261E-4</c:v>
                </c:pt>
                <c:pt idx="9">
                  <c:v>0.22605163150307958</c:v>
                </c:pt>
                <c:pt idx="10">
                  <c:v>0.47169718162146251</c:v>
                </c:pt>
                <c:pt idx="11">
                  <c:v>9.044459496859625E-4</c:v>
                </c:pt>
              </c:numCache>
            </c:numRef>
          </c:yVal>
          <c:smooth val="0"/>
          <c:extLst>
            <c:ext xmlns:c16="http://schemas.microsoft.com/office/drawing/2014/chart" uri="{C3380CC4-5D6E-409C-BE32-E72D297353CC}">
              <c16:uniqueId val="{00000004-6074-47C2-88A5-786239927A6A}"/>
            </c:ext>
          </c:extLst>
        </c:ser>
        <c:ser>
          <c:idx val="0"/>
          <c:order val="1"/>
          <c:spPr>
            <a:ln w="19050" cap="rnd">
              <a:solidFill>
                <a:schemeClr val="accent1"/>
              </a:solidFill>
              <a:round/>
            </a:ln>
            <a:effectLst/>
          </c:spPr>
          <c:marker>
            <c:symbol val="none"/>
          </c:marker>
          <c:xVal>
            <c:numRef>
              <c:f>'PEG 6000 + CIT'!$BB$28:$BB$63</c:f>
              <c:numCache>
                <c:formatCode>0.0%</c:formatCode>
                <c:ptCount val="36"/>
                <c:pt idx="0">
                  <c:v>0.03</c:v>
                </c:pt>
                <c:pt idx="1">
                  <c:v>3.5000000000000003E-2</c:v>
                </c:pt>
                <c:pt idx="2">
                  <c:v>0.04</c:v>
                </c:pt>
                <c:pt idx="3">
                  <c:v>0.05</c:v>
                </c:pt>
                <c:pt idx="4">
                  <c:v>0.06</c:v>
                </c:pt>
                <c:pt idx="5">
                  <c:v>7.0000000000000007E-2</c:v>
                </c:pt>
                <c:pt idx="6">
                  <c:v>0.08</c:v>
                </c:pt>
                <c:pt idx="7">
                  <c:v>0.09</c:v>
                </c:pt>
                <c:pt idx="8">
                  <c:v>0.1</c:v>
                </c:pt>
                <c:pt idx="9">
                  <c:v>0.11</c:v>
                </c:pt>
                <c:pt idx="10">
                  <c:v>0.12</c:v>
                </c:pt>
                <c:pt idx="11">
                  <c:v>0.13</c:v>
                </c:pt>
                <c:pt idx="12">
                  <c:v>0.14000000000000001</c:v>
                </c:pt>
                <c:pt idx="13">
                  <c:v>0.15</c:v>
                </c:pt>
                <c:pt idx="14">
                  <c:v>0.16</c:v>
                </c:pt>
                <c:pt idx="15">
                  <c:v>0.17</c:v>
                </c:pt>
                <c:pt idx="16">
                  <c:v>0.18</c:v>
                </c:pt>
                <c:pt idx="17">
                  <c:v>0.19</c:v>
                </c:pt>
                <c:pt idx="18">
                  <c:v>0.2</c:v>
                </c:pt>
                <c:pt idx="19">
                  <c:v>0.21</c:v>
                </c:pt>
                <c:pt idx="20">
                  <c:v>0.22</c:v>
                </c:pt>
                <c:pt idx="21">
                  <c:v>0.23</c:v>
                </c:pt>
                <c:pt idx="22">
                  <c:v>0.24</c:v>
                </c:pt>
                <c:pt idx="23">
                  <c:v>0.25</c:v>
                </c:pt>
                <c:pt idx="24">
                  <c:v>0.26</c:v>
                </c:pt>
                <c:pt idx="25">
                  <c:v>0.27</c:v>
                </c:pt>
                <c:pt idx="26">
                  <c:v>0.28000000000000003</c:v>
                </c:pt>
                <c:pt idx="27">
                  <c:v>0.28999999999999998</c:v>
                </c:pt>
                <c:pt idx="28">
                  <c:v>0.3</c:v>
                </c:pt>
                <c:pt idx="29">
                  <c:v>0.31</c:v>
                </c:pt>
                <c:pt idx="30">
                  <c:v>0.32</c:v>
                </c:pt>
                <c:pt idx="31">
                  <c:v>0.33</c:v>
                </c:pt>
                <c:pt idx="32">
                  <c:v>0.34</c:v>
                </c:pt>
              </c:numCache>
            </c:numRef>
          </c:xVal>
          <c:yVal>
            <c:numRef>
              <c:f>'PEG 6000 + CIT'!$BC$28:$BC$63</c:f>
              <c:numCache>
                <c:formatCode>0.0%</c:formatCode>
                <c:ptCount val="36"/>
                <c:pt idx="0">
                  <c:v>0.47321746325075537</c:v>
                </c:pt>
                <c:pt idx="1">
                  <c:v>0.4199154821934733</c:v>
                </c:pt>
                <c:pt idx="2">
                  <c:v>0.37523844578867055</c:v>
                </c:pt>
                <c:pt idx="3">
                  <c:v>0.30415087720165523</c:v>
                </c:pt>
                <c:pt idx="4">
                  <c:v>0.24976148627094957</c:v>
                </c:pt>
                <c:pt idx="5">
                  <c:v>0.20658603924278293</c:v>
                </c:pt>
                <c:pt idx="6">
                  <c:v>0.17139415629010252</c:v>
                </c:pt>
                <c:pt idx="7">
                  <c:v>0.14216362421848305</c:v>
                </c:pt>
                <c:pt idx="8">
                  <c:v>0.11757150734865938</c:v>
                </c:pt>
                <c:pt idx="9">
                  <c:v>9.6721228758862271E-2</c:v>
                </c:pt>
                <c:pt idx="10">
                  <c:v>7.8984794244955331E-2</c:v>
                </c:pt>
                <c:pt idx="11">
                  <c:v>6.3906058117003978E-2</c:v>
                </c:pt>
                <c:pt idx="12">
                  <c:v>5.1138783169232378E-2</c:v>
                </c:pt>
                <c:pt idx="13">
                  <c:v>4.0405948828028247E-2</c:v>
                </c:pt>
                <c:pt idx="14">
                  <c:v>3.1472933527066434E-2</c:v>
                </c:pt>
                <c:pt idx="15">
                  <c:v>2.4130315062405563E-2</c:v>
                </c:pt>
                <c:pt idx="16">
                  <c:v>1.8183627250869035E-2</c:v>
                </c:pt>
                <c:pt idx="17">
                  <c:v>1.3448217350027091E-2</c:v>
                </c:pt>
                <c:pt idx="18">
                  <c:v>9.7477506312864774E-3</c:v>
                </c:pt>
                <c:pt idx="19">
                  <c:v>6.915123059678641E-3</c:v>
                </c:pt>
                <c:pt idx="20">
                  <c:v>4.7946968258820227E-3</c:v>
                </c:pt>
                <c:pt idx="21">
                  <c:v>3.2449360368083263E-3</c:v>
                </c:pt>
                <c:pt idx="22">
                  <c:v>2.1407195102448305E-3</c:v>
                </c:pt>
                <c:pt idx="23">
                  <c:v>1.374842019485538E-3</c:v>
                </c:pt>
                <c:pt idx="24">
                  <c:v>8.584619670425188E-4</c:v>
                </c:pt>
                <c:pt idx="25">
                  <c:v>5.2048086748224048E-4</c:v>
                </c:pt>
                <c:pt idx="26">
                  <c:v>3.0601870223188741E-4</c:v>
                </c:pt>
                <c:pt idx="27">
                  <c:v>1.7426013511576894E-4</c:v>
                </c:pt>
                <c:pt idx="28">
                  <c:v>9.5985435523086166E-5</c:v>
                </c:pt>
                <c:pt idx="29">
                  <c:v>5.1076695736782066E-5</c:v>
                </c:pt>
                <c:pt idx="30">
                  <c:v>2.6224406546477078E-5</c:v>
                </c:pt>
                <c:pt idx="31">
                  <c:v>1.2975117155297594E-5</c:v>
                </c:pt>
                <c:pt idx="32">
                  <c:v>6.1787243453244241E-6</c:v>
                </c:pt>
              </c:numCache>
            </c:numRef>
          </c:yVal>
          <c:smooth val="0"/>
          <c:extLst>
            <c:ext xmlns:c16="http://schemas.microsoft.com/office/drawing/2014/chart" uri="{C3380CC4-5D6E-409C-BE32-E72D297353CC}">
              <c16:uniqueId val="{00000003-6074-47C2-88A5-786239927A6A}"/>
            </c:ext>
          </c:extLst>
        </c:ser>
        <c:dLbls>
          <c:showLegendKey val="0"/>
          <c:showVal val="0"/>
          <c:showCatName val="0"/>
          <c:showSerName val="0"/>
          <c:showPercent val="0"/>
          <c:showBubbleSize val="0"/>
        </c:dLbls>
        <c:axId val="486239224"/>
        <c:axId val="486239552"/>
      </c:scatterChart>
      <c:valAx>
        <c:axId val="486239224"/>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en-ZA"/>
                  <a:t>Citrate concentration (wt%)</a:t>
                </a: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6239552"/>
        <c:crosses val="autoZero"/>
        <c:crossBetween val="midCat"/>
      </c:valAx>
      <c:valAx>
        <c:axId val="486239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ZA"/>
                  <a:t>PEG 6000 concentration (wt%)</a:t>
                </a: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6239224"/>
        <c:crosses val="autoZero"/>
        <c:crossBetween val="midCat"/>
      </c:valAx>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ZA"/>
              <a:t>PEG 10000 - citrate phase diagram</a:t>
            </a:r>
          </a:p>
        </c:rich>
      </c:tx>
      <c:overlay val="0"/>
    </c:title>
    <c:autoTitleDeleted val="0"/>
    <c:plotArea>
      <c:layout/>
      <c:scatterChart>
        <c:scatterStyle val="lineMarker"/>
        <c:varyColors val="0"/>
        <c:ser>
          <c:idx val="2"/>
          <c:order val="0"/>
          <c:spPr>
            <a:ln w="25400">
              <a:noFill/>
            </a:ln>
          </c:spPr>
          <c:marker>
            <c:spPr>
              <a:solidFill>
                <a:schemeClr val="accent6"/>
              </a:solidFill>
              <a:ln>
                <a:solidFill>
                  <a:schemeClr val="accent6"/>
                </a:solidFill>
              </a:ln>
            </c:spPr>
          </c:marker>
          <c:errBars>
            <c:errDir val="x"/>
            <c:errBarType val="both"/>
            <c:errValType val="cust"/>
            <c:noEndCap val="0"/>
            <c:plus>
              <c:numRef>
                <c:f>'PEG 10000 + CIT'!$AT$6:$AT$17</c:f>
                <c:numCache>
                  <c:formatCode>General</c:formatCode>
                  <c:ptCount val="12"/>
                  <c:pt idx="0">
                    <c:v>7.9869313406569751E-4</c:v>
                  </c:pt>
                  <c:pt idx="1">
                    <c:v>4.9815229242798045E-4</c:v>
                  </c:pt>
                  <c:pt idx="2">
                    <c:v>1.2746293150771983E-3</c:v>
                  </c:pt>
                  <c:pt idx="3">
                    <c:v>1.1696357101363582E-3</c:v>
                  </c:pt>
                  <c:pt idx="4">
                    <c:v>4.721205271932195E-4</c:v>
                  </c:pt>
                  <c:pt idx="5">
                    <c:v>1.9620844069782187E-3</c:v>
                  </c:pt>
                  <c:pt idx="6">
                    <c:v>3.6602157545154584E-3</c:v>
                  </c:pt>
                  <c:pt idx="7">
                    <c:v>9.888240599849195E-4</c:v>
                  </c:pt>
                  <c:pt idx="8">
                    <c:v>6.4354370492794334E-3</c:v>
                  </c:pt>
                  <c:pt idx="9">
                    <c:v>2.11272462007031E-4</c:v>
                  </c:pt>
                  <c:pt idx="10">
                    <c:v>3.2227236539327765E-5</c:v>
                  </c:pt>
                  <c:pt idx="11">
                    <c:v>3.794836244799967E-4</c:v>
                  </c:pt>
                </c:numCache>
              </c:numRef>
            </c:plus>
            <c:minus>
              <c:numRef>
                <c:f>'PEG 10000 + CIT'!$AT$6:$AT$17</c:f>
                <c:numCache>
                  <c:formatCode>General</c:formatCode>
                  <c:ptCount val="12"/>
                  <c:pt idx="0">
                    <c:v>7.9869313406569751E-4</c:v>
                  </c:pt>
                  <c:pt idx="1">
                    <c:v>4.9815229242798045E-4</c:v>
                  </c:pt>
                  <c:pt idx="2">
                    <c:v>1.2746293150771983E-3</c:v>
                  </c:pt>
                  <c:pt idx="3">
                    <c:v>1.1696357101363582E-3</c:v>
                  </c:pt>
                  <c:pt idx="4">
                    <c:v>4.721205271932195E-4</c:v>
                  </c:pt>
                  <c:pt idx="5">
                    <c:v>1.9620844069782187E-3</c:v>
                  </c:pt>
                  <c:pt idx="6">
                    <c:v>3.6602157545154584E-3</c:v>
                  </c:pt>
                  <c:pt idx="7">
                    <c:v>9.888240599849195E-4</c:v>
                  </c:pt>
                  <c:pt idx="8">
                    <c:v>6.4354370492794334E-3</c:v>
                  </c:pt>
                  <c:pt idx="9">
                    <c:v>2.11272462007031E-4</c:v>
                  </c:pt>
                  <c:pt idx="10">
                    <c:v>3.2227236539327765E-5</c:v>
                  </c:pt>
                  <c:pt idx="11">
                    <c:v>3.794836244799967E-4</c:v>
                  </c:pt>
                </c:numCache>
              </c:numRef>
            </c:minus>
          </c:errBars>
          <c:errBars>
            <c:errDir val="y"/>
            <c:errBarType val="both"/>
            <c:errValType val="cust"/>
            <c:noEndCap val="0"/>
            <c:plus>
              <c:numRef>
                <c:f>'PEG 10000 + CIT'!$AV$6:$AV$17</c:f>
                <c:numCache>
                  <c:formatCode>General</c:formatCode>
                  <c:ptCount val="12"/>
                  <c:pt idx="0">
                    <c:v>1.1431676537199868E-3</c:v>
                  </c:pt>
                  <c:pt idx="1">
                    <c:v>1.8018634657820862E-3</c:v>
                  </c:pt>
                  <c:pt idx="2">
                    <c:v>1.0005867032029024E-4</c:v>
                  </c:pt>
                  <c:pt idx="3">
                    <c:v>1.5881635041787609E-3</c:v>
                  </c:pt>
                  <c:pt idx="4">
                    <c:v>3.0293645555659479E-3</c:v>
                  </c:pt>
                  <c:pt idx="5">
                    <c:v>9.442410543864394E-6</c:v>
                  </c:pt>
                  <c:pt idx="6">
                    <c:v>4.7567783403415671E-3</c:v>
                  </c:pt>
                  <c:pt idx="7">
                    <c:v>9.2967065511302266E-3</c:v>
                  </c:pt>
                  <c:pt idx="8">
                    <c:v>0</c:v>
                  </c:pt>
                  <c:pt idx="9">
                    <c:v>2.5629043386928864E-4</c:v>
                  </c:pt>
                  <c:pt idx="10">
                    <c:v>5.2893054425362767E-4</c:v>
                  </c:pt>
                  <c:pt idx="11">
                    <c:v>0</c:v>
                  </c:pt>
                </c:numCache>
              </c:numRef>
            </c:plus>
            <c:minus>
              <c:numRef>
                <c:f>'PEG 10000 + CIT'!$AV$6:$AV$17</c:f>
                <c:numCache>
                  <c:formatCode>General</c:formatCode>
                  <c:ptCount val="12"/>
                  <c:pt idx="0">
                    <c:v>1.1431676537199868E-3</c:v>
                  </c:pt>
                  <c:pt idx="1">
                    <c:v>1.8018634657820862E-3</c:v>
                  </c:pt>
                  <c:pt idx="2">
                    <c:v>1.0005867032029024E-4</c:v>
                  </c:pt>
                  <c:pt idx="3">
                    <c:v>1.5881635041787609E-3</c:v>
                  </c:pt>
                  <c:pt idx="4">
                    <c:v>3.0293645555659479E-3</c:v>
                  </c:pt>
                  <c:pt idx="5">
                    <c:v>9.442410543864394E-6</c:v>
                  </c:pt>
                  <c:pt idx="6">
                    <c:v>4.7567783403415671E-3</c:v>
                  </c:pt>
                  <c:pt idx="7">
                    <c:v>9.2967065511302266E-3</c:v>
                  </c:pt>
                  <c:pt idx="8">
                    <c:v>0</c:v>
                  </c:pt>
                  <c:pt idx="9">
                    <c:v>2.5629043386928864E-4</c:v>
                  </c:pt>
                  <c:pt idx="10">
                    <c:v>5.2893054425362767E-4</c:v>
                  </c:pt>
                  <c:pt idx="11">
                    <c:v>0</c:v>
                  </c:pt>
                </c:numCache>
              </c:numRef>
            </c:minus>
          </c:errBars>
          <c:xVal>
            <c:numRef>
              <c:f>'PEG 10000 + CIT'!$AS$6:$AS$17</c:f>
              <c:numCache>
                <c:formatCode>0.00%</c:formatCode>
                <c:ptCount val="12"/>
                <c:pt idx="0">
                  <c:v>0.10376922569146478</c:v>
                </c:pt>
                <c:pt idx="1">
                  <c:v>6.4721825513311099E-2</c:v>
                </c:pt>
                <c:pt idx="2">
                  <c:v>0.16560465018135884</c:v>
                </c:pt>
                <c:pt idx="3">
                  <c:v>0.12387045709385927</c:v>
                </c:pt>
                <c:pt idx="4">
                  <c:v>0.05</c:v>
                </c:pt>
                <c:pt idx="5">
                  <c:v>0.20779486317221901</c:v>
                </c:pt>
                <c:pt idx="6">
                  <c:v>0.14436179316700679</c:v>
                </c:pt>
                <c:pt idx="7">
                  <c:v>3.8999999999999993E-2</c:v>
                </c:pt>
                <c:pt idx="8">
                  <c:v>0.25381870757243263</c:v>
                </c:pt>
                <c:pt idx="9">
                  <c:v>0.18602825745682891</c:v>
                </c:pt>
                <c:pt idx="10">
                  <c:v>2.8376517219081177E-2</c:v>
                </c:pt>
                <c:pt idx="11">
                  <c:v>0.33414045884061344</c:v>
                </c:pt>
              </c:numCache>
            </c:numRef>
          </c:xVal>
          <c:yVal>
            <c:numRef>
              <c:f>'PEG 10000 + CIT'!$AU$6:$AU$17</c:f>
              <c:numCache>
                <c:formatCode>0.00%</c:formatCode>
                <c:ptCount val="12"/>
                <c:pt idx="0">
                  <c:v>0.1485246550927454</c:v>
                </c:pt>
                <c:pt idx="1">
                  <c:v>0.23410490045675805</c:v>
                </c:pt>
                <c:pt idx="2">
                  <c:v>1.2999999999999999E-2</c:v>
                </c:pt>
                <c:pt idx="3">
                  <c:v>0.16819471011147022</c:v>
                </c:pt>
                <c:pt idx="4">
                  <c:v>0.32082533813724157</c:v>
                </c:pt>
                <c:pt idx="5">
                  <c:v>1.0000000000000005E-3</c:v>
                </c:pt>
                <c:pt idx="6">
                  <c:v>0.18761108551115793</c:v>
                </c:pt>
                <c:pt idx="7">
                  <c:v>0.36666943106097999</c:v>
                </c:pt>
                <c:pt idx="8">
                  <c:v>0</c:v>
                </c:pt>
                <c:pt idx="9">
                  <c:v>0.22566718995290425</c:v>
                </c:pt>
                <c:pt idx="10">
                  <c:v>0.46573049098997077</c:v>
                </c:pt>
                <c:pt idx="11">
                  <c:v>0</c:v>
                </c:pt>
              </c:numCache>
            </c:numRef>
          </c:yVal>
          <c:smooth val="0"/>
          <c:extLst>
            <c:ext xmlns:c16="http://schemas.microsoft.com/office/drawing/2014/chart" uri="{C3380CC4-5D6E-409C-BE32-E72D297353CC}">
              <c16:uniqueId val="{00000004-B32A-45F5-9156-B0E7CFEB75FC}"/>
            </c:ext>
          </c:extLst>
        </c:ser>
        <c:ser>
          <c:idx val="1"/>
          <c:order val="1"/>
          <c:spPr>
            <a:ln w="25400" cap="rnd">
              <a:solidFill>
                <a:schemeClr val="accent6"/>
              </a:solidFill>
              <a:round/>
            </a:ln>
            <a:effectLst/>
          </c:spPr>
          <c:marker>
            <c:symbol val="none"/>
          </c:marker>
          <c:xVal>
            <c:numRef>
              <c:f>'PEG 10000 + CIT'!$BA$24:$BA$57</c:f>
              <c:numCache>
                <c:formatCode>0%</c:formatCode>
                <c:ptCount val="34"/>
                <c:pt idx="0">
                  <c:v>2.5000000000000001E-2</c:v>
                </c:pt>
                <c:pt idx="1">
                  <c:v>0.03</c:v>
                </c:pt>
                <c:pt idx="2">
                  <c:v>3.5000000000000003E-2</c:v>
                </c:pt>
                <c:pt idx="3">
                  <c:v>0.04</c:v>
                </c:pt>
                <c:pt idx="4">
                  <c:v>0.05</c:v>
                </c:pt>
                <c:pt idx="5">
                  <c:v>0.06</c:v>
                </c:pt>
                <c:pt idx="6">
                  <c:v>7.0000000000000007E-2</c:v>
                </c:pt>
                <c:pt idx="7">
                  <c:v>0.08</c:v>
                </c:pt>
                <c:pt idx="8">
                  <c:v>0.09</c:v>
                </c:pt>
                <c:pt idx="9">
                  <c:v>0.1</c:v>
                </c:pt>
                <c:pt idx="10">
                  <c:v>0.11</c:v>
                </c:pt>
                <c:pt idx="11">
                  <c:v>0.12</c:v>
                </c:pt>
                <c:pt idx="12">
                  <c:v>0.13</c:v>
                </c:pt>
                <c:pt idx="13">
                  <c:v>0.14000000000000001</c:v>
                </c:pt>
                <c:pt idx="14">
                  <c:v>0.15</c:v>
                </c:pt>
                <c:pt idx="15">
                  <c:v>0.16</c:v>
                </c:pt>
                <c:pt idx="16">
                  <c:v>0.17</c:v>
                </c:pt>
                <c:pt idx="17">
                  <c:v>0.18</c:v>
                </c:pt>
                <c:pt idx="18">
                  <c:v>0.19</c:v>
                </c:pt>
                <c:pt idx="19">
                  <c:v>0.2</c:v>
                </c:pt>
                <c:pt idx="20">
                  <c:v>0.21</c:v>
                </c:pt>
                <c:pt idx="21">
                  <c:v>0.22</c:v>
                </c:pt>
                <c:pt idx="22">
                  <c:v>0.23</c:v>
                </c:pt>
                <c:pt idx="23">
                  <c:v>0.24</c:v>
                </c:pt>
                <c:pt idx="24">
                  <c:v>0.25</c:v>
                </c:pt>
                <c:pt idx="25">
                  <c:v>0.26</c:v>
                </c:pt>
                <c:pt idx="26">
                  <c:v>0.27</c:v>
                </c:pt>
                <c:pt idx="27">
                  <c:v>0.28000000000000003</c:v>
                </c:pt>
                <c:pt idx="28">
                  <c:v>0.28999999999999998</c:v>
                </c:pt>
                <c:pt idx="29">
                  <c:v>0.3</c:v>
                </c:pt>
                <c:pt idx="30">
                  <c:v>0.31</c:v>
                </c:pt>
                <c:pt idx="31">
                  <c:v>0.32</c:v>
                </c:pt>
                <c:pt idx="32">
                  <c:v>0.33</c:v>
                </c:pt>
                <c:pt idx="33">
                  <c:v>0.34</c:v>
                </c:pt>
              </c:numCache>
            </c:numRef>
          </c:xVal>
          <c:yVal>
            <c:numRef>
              <c:f>'PEG 10000 + CIT'!$BB$24:$BB$57</c:f>
              <c:numCache>
                <c:formatCode>0%</c:formatCode>
                <c:ptCount val="34"/>
                <c:pt idx="0">
                  <c:v>0.49531048296063801</c:v>
                </c:pt>
                <c:pt idx="1">
                  <c:v>0.44746066301252696</c:v>
                </c:pt>
                <c:pt idx="2">
                  <c:v>0.4065296013972749</c:v>
                </c:pt>
                <c:pt idx="3">
                  <c:v>0.37071323057808042</c:v>
                </c:pt>
                <c:pt idx="4">
                  <c:v>0.30998347474359067</c:v>
                </c:pt>
                <c:pt idx="5">
                  <c:v>0.2593526450228657</c:v>
                </c:pt>
                <c:pt idx="6">
                  <c:v>0.21575868863268913</c:v>
                </c:pt>
                <c:pt idx="7">
                  <c:v>0.17757225806351976</c:v>
                </c:pt>
                <c:pt idx="8">
                  <c:v>0.1439519405319426</c:v>
                </c:pt>
                <c:pt idx="9">
                  <c:v>0.11449566444748553</c:v>
                </c:pt>
                <c:pt idx="10">
                  <c:v>8.9023778729171027E-2</c:v>
                </c:pt>
                <c:pt idx="11">
                  <c:v>6.7432495359653885E-2</c:v>
                </c:pt>
                <c:pt idx="12">
                  <c:v>4.9595195131468837E-2</c:v>
                </c:pt>
                <c:pt idx="13">
                  <c:v>3.5303869424107487E-2</c:v>
                </c:pt>
                <c:pt idx="14">
                  <c:v>2.4246878772669549E-2</c:v>
                </c:pt>
                <c:pt idx="15">
                  <c:v>1.6017854920178008E-2</c:v>
                </c:pt>
                <c:pt idx="16">
                  <c:v>1.0147337938483309E-2</c:v>
                </c:pt>
                <c:pt idx="17">
                  <c:v>6.1460974984168968E-3</c:v>
                </c:pt>
                <c:pt idx="18">
                  <c:v>3.5486205864611931E-3</c:v>
                </c:pt>
                <c:pt idx="19">
                  <c:v>1.9474052142272732E-3</c:v>
                </c:pt>
                <c:pt idx="20">
                  <c:v>1.0127968044066741E-3</c:v>
                </c:pt>
                <c:pt idx="21">
                  <c:v>4.9773416974772781E-4</c:v>
                </c:pt>
                <c:pt idx="22">
                  <c:v>2.3047710929433333E-4</c:v>
                </c:pt>
                <c:pt idx="23">
                  <c:v>1.0026853010062829E-4</c:v>
                </c:pt>
                <c:pt idx="24">
                  <c:v>4.0866155511801141E-5</c:v>
                </c:pt>
                <c:pt idx="25">
                  <c:v>1.5559113002731533E-5</c:v>
                </c:pt>
                <c:pt idx="26">
                  <c:v>5.518115368766445E-6</c:v>
                </c:pt>
                <c:pt idx="27">
                  <c:v>1.8178058255403937E-6</c:v>
                </c:pt>
                <c:pt idx="28">
                  <c:v>5.5465561473937516E-7</c:v>
                </c:pt>
                <c:pt idx="29">
                  <c:v>1.5631088575233459E-7</c:v>
                </c:pt>
                <c:pt idx="30">
                  <c:v>4.0571175089149932E-8</c:v>
                </c:pt>
                <c:pt idx="31">
                  <c:v>9.6712570978420895E-9</c:v>
                </c:pt>
                <c:pt idx="32">
                  <c:v>2.1113549383760669E-9</c:v>
                </c:pt>
                <c:pt idx="33">
                  <c:v>4.2094945361605837E-10</c:v>
                </c:pt>
              </c:numCache>
            </c:numRef>
          </c:yVal>
          <c:smooth val="0"/>
          <c:extLst>
            <c:ext xmlns:c16="http://schemas.microsoft.com/office/drawing/2014/chart" uri="{C3380CC4-5D6E-409C-BE32-E72D297353CC}">
              <c16:uniqueId val="{00000003-B32A-45F5-9156-B0E7CFEB75FC}"/>
            </c:ext>
          </c:extLst>
        </c:ser>
        <c:dLbls>
          <c:showLegendKey val="0"/>
          <c:showVal val="0"/>
          <c:showCatName val="0"/>
          <c:showSerName val="0"/>
          <c:showPercent val="0"/>
          <c:showBubbleSize val="0"/>
        </c:dLbls>
        <c:axId val="668657128"/>
        <c:axId val="668660408"/>
      </c:scatterChart>
      <c:valAx>
        <c:axId val="668657128"/>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en-ZA"/>
                  <a:t>Citrate concentration</a:t>
                </a:r>
                <a:r>
                  <a:rPr lang="en-ZA" baseline="0"/>
                  <a:t> (wt%)</a:t>
                </a:r>
                <a:endParaRPr lang="en-ZA"/>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8660408"/>
        <c:crosses val="autoZero"/>
        <c:crossBetween val="midCat"/>
      </c:valAx>
      <c:valAx>
        <c:axId val="668660408"/>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ZA"/>
                  <a:t>PEG 10000 concentration (wt%)</a:t>
                </a:r>
              </a:p>
            </c:rich>
          </c:tx>
          <c:overlay val="0"/>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8657128"/>
        <c:crosses val="autoZero"/>
        <c:crossBetween val="midCat"/>
      </c:valAx>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PEG - citrate phase diagrams with  equilibrium curves - model vs experimental - all MWs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228386581770265"/>
          <c:y val="6.0185185185185182E-2"/>
          <c:w val="0.84132056240292596"/>
          <c:h val="0.79537839020122481"/>
        </c:manualLayout>
      </c:layout>
      <c:scatterChart>
        <c:scatterStyle val="lineMarker"/>
        <c:varyColors val="0"/>
        <c:ser>
          <c:idx val="0"/>
          <c:order val="0"/>
          <c:tx>
            <c:v>Peg 4000 model</c:v>
          </c:tx>
          <c:spPr>
            <a:ln w="25400" cap="rnd">
              <a:solidFill>
                <a:schemeClr val="accent2"/>
              </a:solidFill>
              <a:prstDash val="sysDash"/>
              <a:round/>
            </a:ln>
            <a:effectLst/>
          </c:spPr>
          <c:marker>
            <c:symbol val="none"/>
          </c:marker>
          <c:xVal>
            <c:numRef>
              <c:f>'Equilibrium curve models'!$B$53:$B$83</c:f>
              <c:numCache>
                <c:formatCode>0.0%</c:formatCode>
                <c:ptCount val="31"/>
                <c:pt idx="0">
                  <c:v>0.04</c:v>
                </c:pt>
                <c:pt idx="1">
                  <c:v>0.05</c:v>
                </c:pt>
                <c:pt idx="2">
                  <c:v>0.06</c:v>
                </c:pt>
                <c:pt idx="3">
                  <c:v>7.0000000000000007E-2</c:v>
                </c:pt>
                <c:pt idx="4">
                  <c:v>0.08</c:v>
                </c:pt>
                <c:pt idx="5">
                  <c:v>0.09</c:v>
                </c:pt>
                <c:pt idx="6">
                  <c:v>0.1</c:v>
                </c:pt>
                <c:pt idx="7">
                  <c:v>0.11</c:v>
                </c:pt>
                <c:pt idx="8">
                  <c:v>0.12</c:v>
                </c:pt>
                <c:pt idx="9">
                  <c:v>0.13</c:v>
                </c:pt>
                <c:pt idx="10">
                  <c:v>0.14000000000000001</c:v>
                </c:pt>
                <c:pt idx="11">
                  <c:v>0.15</c:v>
                </c:pt>
                <c:pt idx="12">
                  <c:v>0.16</c:v>
                </c:pt>
                <c:pt idx="13">
                  <c:v>0.17</c:v>
                </c:pt>
                <c:pt idx="14">
                  <c:v>0.18</c:v>
                </c:pt>
                <c:pt idx="15">
                  <c:v>0.19</c:v>
                </c:pt>
                <c:pt idx="16">
                  <c:v>0.2</c:v>
                </c:pt>
                <c:pt idx="17">
                  <c:v>0.21</c:v>
                </c:pt>
                <c:pt idx="18">
                  <c:v>0.22</c:v>
                </c:pt>
                <c:pt idx="19">
                  <c:v>0.23</c:v>
                </c:pt>
                <c:pt idx="20">
                  <c:v>0.24</c:v>
                </c:pt>
                <c:pt idx="21">
                  <c:v>0.25</c:v>
                </c:pt>
                <c:pt idx="22">
                  <c:v>0.26</c:v>
                </c:pt>
                <c:pt idx="23">
                  <c:v>0.27</c:v>
                </c:pt>
                <c:pt idx="24">
                  <c:v>0.28000000000000003</c:v>
                </c:pt>
                <c:pt idx="25">
                  <c:v>0.28999999999999998</c:v>
                </c:pt>
                <c:pt idx="26">
                  <c:v>0.3</c:v>
                </c:pt>
                <c:pt idx="27">
                  <c:v>0.31</c:v>
                </c:pt>
                <c:pt idx="28">
                  <c:v>0.32</c:v>
                </c:pt>
                <c:pt idx="29">
                  <c:v>0.33</c:v>
                </c:pt>
                <c:pt idx="30">
                  <c:v>0.34</c:v>
                </c:pt>
              </c:numCache>
            </c:numRef>
          </c:xVal>
          <c:yVal>
            <c:numRef>
              <c:f>'Equilibrium curve models'!$C$53:$C$83</c:f>
              <c:numCache>
                <c:formatCode>0.0%</c:formatCode>
                <c:ptCount val="31"/>
                <c:pt idx="0">
                  <c:v>0.42240763021815825</c:v>
                </c:pt>
                <c:pt idx="1">
                  <c:v>0.33152333611819673</c:v>
                </c:pt>
                <c:pt idx="2">
                  <c:v>0.26550863964996768</c:v>
                </c:pt>
                <c:pt idx="3">
                  <c:v>0.2156813674938064</c:v>
                </c:pt>
                <c:pt idx="4">
                  <c:v>0.17698528811424713</c:v>
                </c:pt>
                <c:pt idx="5">
                  <c:v>0.14626811147115823</c:v>
                </c:pt>
                <c:pt idx="6">
                  <c:v>0.12146243503937952</c:v>
                </c:pt>
                <c:pt idx="7">
                  <c:v>0.10115778896874894</c:v>
                </c:pt>
                <c:pt idx="8">
                  <c:v>8.4360604782257986E-2</c:v>
                </c:pt>
                <c:pt idx="9">
                  <c:v>7.035188728930139E-2</c:v>
                </c:pt>
                <c:pt idx="10">
                  <c:v>5.8598948967086097E-2</c:v>
                </c:pt>
                <c:pt idx="11">
                  <c:v>4.8698619184025682E-2</c:v>
                </c:pt>
                <c:pt idx="12">
                  <c:v>4.0339576182311779E-2</c:v>
                </c:pt>
                <c:pt idx="13">
                  <c:v>3.3276730784008057E-2</c:v>
                </c:pt>
                <c:pt idx="14">
                  <c:v>2.7313453160787666E-2</c:v>
                </c:pt>
                <c:pt idx="15">
                  <c:v>2.2289050807790031E-2</c:v>
                </c:pt>
                <c:pt idx="16">
                  <c:v>1.8069851427275276E-2</c:v>
                </c:pt>
                <c:pt idx="17">
                  <c:v>1.4542813992566909E-2</c:v>
                </c:pt>
                <c:pt idx="18">
                  <c:v>1.1610943206765681E-2</c:v>
                </c:pt>
                <c:pt idx="19">
                  <c:v>9.1900051427739257E-3</c:v>
                </c:pt>
                <c:pt idx="20">
                  <c:v>7.2061859163485825E-3</c:v>
                </c:pt>
                <c:pt idx="21">
                  <c:v>5.5944309961402979E-3</c:v>
                </c:pt>
                <c:pt idx="22">
                  <c:v>4.2972685436520001E-3</c:v>
                </c:pt>
                <c:pt idx="23">
                  <c:v>3.2639673174094672E-3</c:v>
                </c:pt>
                <c:pt idx="24">
                  <c:v>2.4499151564721646E-3</c:v>
                </c:pt>
                <c:pt idx="25">
                  <c:v>1.8161321161348711E-3</c:v>
                </c:pt>
                <c:pt idx="26">
                  <c:v>1.3288554173546204E-3</c:v>
                </c:pt>
                <c:pt idx="27">
                  <c:v>9.5915278988904827E-4</c:v>
                </c:pt>
                <c:pt idx="28">
                  <c:v>6.8253711613422072E-4</c:v>
                </c:pt>
                <c:pt idx="29">
                  <c:v>4.7856869387833295E-4</c:v>
                </c:pt>
                <c:pt idx="30">
                  <c:v>3.3044193818072273E-4</c:v>
                </c:pt>
              </c:numCache>
            </c:numRef>
          </c:yVal>
          <c:smooth val="0"/>
          <c:extLst>
            <c:ext xmlns:c16="http://schemas.microsoft.com/office/drawing/2014/chart" uri="{C3380CC4-5D6E-409C-BE32-E72D297353CC}">
              <c16:uniqueId val="{00000000-91F1-4298-9C43-030DC09D5C36}"/>
            </c:ext>
          </c:extLst>
        </c:ser>
        <c:ser>
          <c:idx val="1"/>
          <c:order val="1"/>
          <c:tx>
            <c:v>PEG 6000 model</c:v>
          </c:tx>
          <c:spPr>
            <a:ln w="25400" cap="rnd">
              <a:solidFill>
                <a:schemeClr val="accent5"/>
              </a:solidFill>
              <a:prstDash val="sysDash"/>
              <a:round/>
            </a:ln>
            <a:effectLst/>
          </c:spPr>
          <c:marker>
            <c:symbol val="none"/>
          </c:marker>
          <c:xVal>
            <c:numRef>
              <c:f>'Equilibrium curve models'!$B$53:$B$83</c:f>
              <c:numCache>
                <c:formatCode>0.0%</c:formatCode>
                <c:ptCount val="31"/>
                <c:pt idx="0">
                  <c:v>0.04</c:v>
                </c:pt>
                <c:pt idx="1">
                  <c:v>0.05</c:v>
                </c:pt>
                <c:pt idx="2">
                  <c:v>0.06</c:v>
                </c:pt>
                <c:pt idx="3">
                  <c:v>7.0000000000000007E-2</c:v>
                </c:pt>
                <c:pt idx="4">
                  <c:v>0.08</c:v>
                </c:pt>
                <c:pt idx="5">
                  <c:v>0.09</c:v>
                </c:pt>
                <c:pt idx="6">
                  <c:v>0.1</c:v>
                </c:pt>
                <c:pt idx="7">
                  <c:v>0.11</c:v>
                </c:pt>
                <c:pt idx="8">
                  <c:v>0.12</c:v>
                </c:pt>
                <c:pt idx="9">
                  <c:v>0.13</c:v>
                </c:pt>
                <c:pt idx="10">
                  <c:v>0.14000000000000001</c:v>
                </c:pt>
                <c:pt idx="11">
                  <c:v>0.15</c:v>
                </c:pt>
                <c:pt idx="12">
                  <c:v>0.16</c:v>
                </c:pt>
                <c:pt idx="13">
                  <c:v>0.17</c:v>
                </c:pt>
                <c:pt idx="14">
                  <c:v>0.18</c:v>
                </c:pt>
                <c:pt idx="15">
                  <c:v>0.19</c:v>
                </c:pt>
                <c:pt idx="16">
                  <c:v>0.2</c:v>
                </c:pt>
                <c:pt idx="17">
                  <c:v>0.21</c:v>
                </c:pt>
                <c:pt idx="18">
                  <c:v>0.22</c:v>
                </c:pt>
                <c:pt idx="19">
                  <c:v>0.23</c:v>
                </c:pt>
                <c:pt idx="20">
                  <c:v>0.24</c:v>
                </c:pt>
                <c:pt idx="21">
                  <c:v>0.25</c:v>
                </c:pt>
                <c:pt idx="22">
                  <c:v>0.26</c:v>
                </c:pt>
                <c:pt idx="23">
                  <c:v>0.27</c:v>
                </c:pt>
                <c:pt idx="24">
                  <c:v>0.28000000000000003</c:v>
                </c:pt>
                <c:pt idx="25">
                  <c:v>0.28999999999999998</c:v>
                </c:pt>
                <c:pt idx="26">
                  <c:v>0.3</c:v>
                </c:pt>
                <c:pt idx="27">
                  <c:v>0.31</c:v>
                </c:pt>
                <c:pt idx="28">
                  <c:v>0.32</c:v>
                </c:pt>
                <c:pt idx="29">
                  <c:v>0.33</c:v>
                </c:pt>
                <c:pt idx="30">
                  <c:v>0.34</c:v>
                </c:pt>
              </c:numCache>
            </c:numRef>
          </c:xVal>
          <c:yVal>
            <c:numRef>
              <c:f>'Equilibrium curve models'!$D$53:$D$83</c:f>
              <c:numCache>
                <c:formatCode>0.0%</c:formatCode>
                <c:ptCount val="31"/>
                <c:pt idx="0">
                  <c:v>0.37523844578867055</c:v>
                </c:pt>
                <c:pt idx="1">
                  <c:v>0.30415087720165523</c:v>
                </c:pt>
                <c:pt idx="2">
                  <c:v>0.24976148627094957</c:v>
                </c:pt>
                <c:pt idx="3">
                  <c:v>0.20658603924278293</c:v>
                </c:pt>
                <c:pt idx="4">
                  <c:v>0.17139415629010252</c:v>
                </c:pt>
                <c:pt idx="5">
                  <c:v>0.14216362421848305</c:v>
                </c:pt>
                <c:pt idx="6">
                  <c:v>0.11757150734865938</c:v>
                </c:pt>
                <c:pt idx="7">
                  <c:v>9.6721228758862271E-2</c:v>
                </c:pt>
                <c:pt idx="8">
                  <c:v>7.8984794244955331E-2</c:v>
                </c:pt>
                <c:pt idx="9">
                  <c:v>6.3906058117003978E-2</c:v>
                </c:pt>
                <c:pt idx="10">
                  <c:v>5.1138783169232378E-2</c:v>
                </c:pt>
                <c:pt idx="11">
                  <c:v>4.0405948828028247E-2</c:v>
                </c:pt>
                <c:pt idx="12">
                  <c:v>3.1472933527066434E-2</c:v>
                </c:pt>
                <c:pt idx="13">
                  <c:v>2.4130315062405563E-2</c:v>
                </c:pt>
                <c:pt idx="14">
                  <c:v>1.8183627250869035E-2</c:v>
                </c:pt>
                <c:pt idx="15">
                  <c:v>1.3448217350027091E-2</c:v>
                </c:pt>
                <c:pt idx="16">
                  <c:v>9.7477506312864774E-3</c:v>
                </c:pt>
                <c:pt idx="17">
                  <c:v>6.915123059678641E-3</c:v>
                </c:pt>
                <c:pt idx="18">
                  <c:v>4.7946968258820227E-3</c:v>
                </c:pt>
                <c:pt idx="19">
                  <c:v>3.2449360368083263E-3</c:v>
                </c:pt>
                <c:pt idx="20">
                  <c:v>2.1407195102448305E-3</c:v>
                </c:pt>
                <c:pt idx="21">
                  <c:v>1.374842019485538E-3</c:v>
                </c:pt>
                <c:pt idx="22">
                  <c:v>8.584619670425188E-4</c:v>
                </c:pt>
                <c:pt idx="23">
                  <c:v>5.2048086748224048E-4</c:v>
                </c:pt>
                <c:pt idx="24">
                  <c:v>3.0601870223188741E-4</c:v>
                </c:pt>
                <c:pt idx="25">
                  <c:v>1.7426013511576894E-4</c:v>
                </c:pt>
                <c:pt idx="26">
                  <c:v>9.5985435523086166E-5</c:v>
                </c:pt>
                <c:pt idx="27">
                  <c:v>5.1076695736782066E-5</c:v>
                </c:pt>
                <c:pt idx="28">
                  <c:v>2.6224406546477078E-5</c:v>
                </c:pt>
                <c:pt idx="29">
                  <c:v>1.2975117155297594E-5</c:v>
                </c:pt>
                <c:pt idx="30">
                  <c:v>6.1787243453244241E-6</c:v>
                </c:pt>
              </c:numCache>
            </c:numRef>
          </c:yVal>
          <c:smooth val="0"/>
          <c:extLst>
            <c:ext xmlns:c16="http://schemas.microsoft.com/office/drawing/2014/chart" uri="{C3380CC4-5D6E-409C-BE32-E72D297353CC}">
              <c16:uniqueId val="{00000001-91F1-4298-9C43-030DC09D5C36}"/>
            </c:ext>
          </c:extLst>
        </c:ser>
        <c:ser>
          <c:idx val="2"/>
          <c:order val="2"/>
          <c:tx>
            <c:v>PEG 10000 model</c:v>
          </c:tx>
          <c:spPr>
            <a:ln w="25400" cap="rnd">
              <a:solidFill>
                <a:srgbClr val="92D050"/>
              </a:solidFill>
              <a:prstDash val="sysDash"/>
              <a:round/>
            </a:ln>
            <a:effectLst/>
          </c:spPr>
          <c:marker>
            <c:symbol val="none"/>
          </c:marker>
          <c:xVal>
            <c:numRef>
              <c:f>'Equilibrium curve models'!$B$53:$B$83</c:f>
              <c:numCache>
                <c:formatCode>0.0%</c:formatCode>
                <c:ptCount val="31"/>
                <c:pt idx="0">
                  <c:v>0.04</c:v>
                </c:pt>
                <c:pt idx="1">
                  <c:v>0.05</c:v>
                </c:pt>
                <c:pt idx="2">
                  <c:v>0.06</c:v>
                </c:pt>
                <c:pt idx="3">
                  <c:v>7.0000000000000007E-2</c:v>
                </c:pt>
                <c:pt idx="4">
                  <c:v>0.08</c:v>
                </c:pt>
                <c:pt idx="5">
                  <c:v>0.09</c:v>
                </c:pt>
                <c:pt idx="6">
                  <c:v>0.1</c:v>
                </c:pt>
                <c:pt idx="7">
                  <c:v>0.11</c:v>
                </c:pt>
                <c:pt idx="8">
                  <c:v>0.12</c:v>
                </c:pt>
                <c:pt idx="9">
                  <c:v>0.13</c:v>
                </c:pt>
                <c:pt idx="10">
                  <c:v>0.14000000000000001</c:v>
                </c:pt>
                <c:pt idx="11">
                  <c:v>0.15</c:v>
                </c:pt>
                <c:pt idx="12">
                  <c:v>0.16</c:v>
                </c:pt>
                <c:pt idx="13">
                  <c:v>0.17</c:v>
                </c:pt>
                <c:pt idx="14">
                  <c:v>0.18</c:v>
                </c:pt>
                <c:pt idx="15">
                  <c:v>0.19</c:v>
                </c:pt>
                <c:pt idx="16">
                  <c:v>0.2</c:v>
                </c:pt>
                <c:pt idx="17">
                  <c:v>0.21</c:v>
                </c:pt>
                <c:pt idx="18">
                  <c:v>0.22</c:v>
                </c:pt>
                <c:pt idx="19">
                  <c:v>0.23</c:v>
                </c:pt>
                <c:pt idx="20">
                  <c:v>0.24</c:v>
                </c:pt>
                <c:pt idx="21">
                  <c:v>0.25</c:v>
                </c:pt>
                <c:pt idx="22">
                  <c:v>0.26</c:v>
                </c:pt>
                <c:pt idx="23">
                  <c:v>0.27</c:v>
                </c:pt>
                <c:pt idx="24">
                  <c:v>0.28000000000000003</c:v>
                </c:pt>
                <c:pt idx="25">
                  <c:v>0.28999999999999998</c:v>
                </c:pt>
                <c:pt idx="26">
                  <c:v>0.3</c:v>
                </c:pt>
                <c:pt idx="27">
                  <c:v>0.31</c:v>
                </c:pt>
                <c:pt idx="28">
                  <c:v>0.32</c:v>
                </c:pt>
                <c:pt idx="29">
                  <c:v>0.33</c:v>
                </c:pt>
                <c:pt idx="30">
                  <c:v>0.34</c:v>
                </c:pt>
              </c:numCache>
            </c:numRef>
          </c:xVal>
          <c:yVal>
            <c:numRef>
              <c:f>'Equilibrium curve models'!$E$53:$E$83</c:f>
              <c:numCache>
                <c:formatCode>0.0%</c:formatCode>
                <c:ptCount val="31"/>
                <c:pt idx="0">
                  <c:v>0.37071323057808042</c:v>
                </c:pt>
                <c:pt idx="1">
                  <c:v>0.30998347474359067</c:v>
                </c:pt>
                <c:pt idx="2">
                  <c:v>0.2593526450228657</c:v>
                </c:pt>
                <c:pt idx="3">
                  <c:v>0.21575868863268913</c:v>
                </c:pt>
                <c:pt idx="4">
                  <c:v>0.17757225806351976</c:v>
                </c:pt>
                <c:pt idx="5">
                  <c:v>0.1439519405319426</c:v>
                </c:pt>
                <c:pt idx="6">
                  <c:v>0.11449566444748553</c:v>
                </c:pt>
                <c:pt idx="7">
                  <c:v>8.9023778729171027E-2</c:v>
                </c:pt>
                <c:pt idx="8">
                  <c:v>6.7432495359653885E-2</c:v>
                </c:pt>
                <c:pt idx="9">
                  <c:v>4.9595195131468837E-2</c:v>
                </c:pt>
                <c:pt idx="10">
                  <c:v>3.5303869424107487E-2</c:v>
                </c:pt>
                <c:pt idx="11">
                  <c:v>2.4246878772669549E-2</c:v>
                </c:pt>
                <c:pt idx="12">
                  <c:v>1.6017854920178008E-2</c:v>
                </c:pt>
                <c:pt idx="13">
                  <c:v>1.0147337938483309E-2</c:v>
                </c:pt>
                <c:pt idx="14">
                  <c:v>6.1460974984168968E-3</c:v>
                </c:pt>
                <c:pt idx="15">
                  <c:v>3.5486205864611931E-3</c:v>
                </c:pt>
                <c:pt idx="16">
                  <c:v>1.9474052142272732E-3</c:v>
                </c:pt>
                <c:pt idx="17">
                  <c:v>1.0127968044066741E-3</c:v>
                </c:pt>
                <c:pt idx="18">
                  <c:v>4.9773416974772781E-4</c:v>
                </c:pt>
                <c:pt idx="19">
                  <c:v>2.3047710929433333E-4</c:v>
                </c:pt>
                <c:pt idx="20">
                  <c:v>1.0026853010062829E-4</c:v>
                </c:pt>
                <c:pt idx="21">
                  <c:v>4.0866155511801141E-5</c:v>
                </c:pt>
                <c:pt idx="22">
                  <c:v>1.5559113002731533E-5</c:v>
                </c:pt>
                <c:pt idx="23">
                  <c:v>5.518115368766445E-6</c:v>
                </c:pt>
                <c:pt idx="24">
                  <c:v>1.8178058255403937E-6</c:v>
                </c:pt>
                <c:pt idx="25">
                  <c:v>5.5465561473937516E-7</c:v>
                </c:pt>
                <c:pt idx="26">
                  <c:v>1.5631088575233459E-7</c:v>
                </c:pt>
                <c:pt idx="27">
                  <c:v>4.0571175089149932E-8</c:v>
                </c:pt>
                <c:pt idx="28">
                  <c:v>9.6712570978420895E-9</c:v>
                </c:pt>
                <c:pt idx="29">
                  <c:v>2.1113549383760669E-9</c:v>
                </c:pt>
                <c:pt idx="30">
                  <c:v>4.2094945361605837E-10</c:v>
                </c:pt>
              </c:numCache>
            </c:numRef>
          </c:yVal>
          <c:smooth val="0"/>
          <c:extLst>
            <c:ext xmlns:c16="http://schemas.microsoft.com/office/drawing/2014/chart" uri="{C3380CC4-5D6E-409C-BE32-E72D297353CC}">
              <c16:uniqueId val="{00000002-91F1-4298-9C43-030DC09D5C36}"/>
            </c:ext>
          </c:extLst>
        </c:ser>
        <c:ser>
          <c:idx val="3"/>
          <c:order val="3"/>
          <c:tx>
            <c:v>PEG 4000 Experimental</c:v>
          </c:tx>
          <c:spPr>
            <a:ln w="19050" cap="rnd">
              <a:noFill/>
              <a:round/>
            </a:ln>
            <a:effectLst/>
          </c:spPr>
          <c:marker>
            <c:symbol val="circle"/>
            <c:size val="5"/>
            <c:spPr>
              <a:solidFill>
                <a:schemeClr val="accent2"/>
              </a:solidFill>
              <a:ln w="9525">
                <a:solidFill>
                  <a:schemeClr val="accent2"/>
                </a:solidFill>
              </a:ln>
              <a:effectLst/>
            </c:spPr>
          </c:marker>
          <c:xVal>
            <c:numRef>
              <c:f>'Equilibrium curve models'!$B$7:$B$14</c:f>
              <c:numCache>
                <c:formatCode>0.0%</c:formatCode>
                <c:ptCount val="8"/>
                <c:pt idx="0">
                  <c:v>8.0000000000000016E-2</c:v>
                </c:pt>
                <c:pt idx="1">
                  <c:v>0.15951619275992626</c:v>
                </c:pt>
                <c:pt idx="2">
                  <c:v>5.2999999999999992E-2</c:v>
                </c:pt>
                <c:pt idx="3">
                  <c:v>0.20833871062357018</c:v>
                </c:pt>
                <c:pt idx="4">
                  <c:v>4.3102685945517825E-2</c:v>
                </c:pt>
                <c:pt idx="5">
                  <c:v>0.25365649698170062</c:v>
                </c:pt>
                <c:pt idx="6">
                  <c:v>3.911024713541434E-2</c:v>
                </c:pt>
                <c:pt idx="7">
                  <c:v>0.32728060946952009</c:v>
                </c:pt>
              </c:numCache>
            </c:numRef>
          </c:xVal>
          <c:yVal>
            <c:numRef>
              <c:f>'Equilibrium curve models'!$C$7:$C$14</c:f>
              <c:numCache>
                <c:formatCode>0.0%</c:formatCode>
                <c:ptCount val="8"/>
                <c:pt idx="0">
                  <c:v>0.19488900375569856</c:v>
                </c:pt>
                <c:pt idx="1">
                  <c:v>4.0000000000000008E-2</c:v>
                </c:pt>
                <c:pt idx="2">
                  <c:v>0.30677393941980041</c:v>
                </c:pt>
                <c:pt idx="3">
                  <c:v>9.9999999999999985E-3</c:v>
                </c:pt>
                <c:pt idx="4">
                  <c:v>0.35453903054859848</c:v>
                </c:pt>
                <c:pt idx="5">
                  <c:v>6.9999999999999993E-3</c:v>
                </c:pt>
                <c:pt idx="6">
                  <c:v>0.45273802842798339</c:v>
                </c:pt>
                <c:pt idx="7">
                  <c:v>4.9999999999999992E-3</c:v>
                </c:pt>
              </c:numCache>
            </c:numRef>
          </c:yVal>
          <c:smooth val="0"/>
          <c:extLst>
            <c:ext xmlns:c16="http://schemas.microsoft.com/office/drawing/2014/chart" uri="{C3380CC4-5D6E-409C-BE32-E72D297353CC}">
              <c16:uniqueId val="{00000003-91F1-4298-9C43-030DC09D5C36}"/>
            </c:ext>
          </c:extLst>
        </c:ser>
        <c:ser>
          <c:idx val="4"/>
          <c:order val="4"/>
          <c:tx>
            <c:v>PEG 6000 Experimental</c:v>
          </c:tx>
          <c:spPr>
            <a:ln w="19050" cap="rnd">
              <a:noFill/>
              <a:round/>
            </a:ln>
            <a:effectLst/>
          </c:spPr>
          <c:marker>
            <c:symbol val="square"/>
            <c:size val="5"/>
            <c:spPr>
              <a:solidFill>
                <a:schemeClr val="accent5"/>
              </a:solidFill>
              <a:ln w="9525">
                <a:solidFill>
                  <a:schemeClr val="accent5"/>
                </a:solidFill>
              </a:ln>
              <a:effectLst/>
            </c:spPr>
          </c:marker>
          <c:xVal>
            <c:numRef>
              <c:f>'Equilibrium curve models'!$B$22:$B$29</c:f>
              <c:numCache>
                <c:formatCode>0.0%</c:formatCode>
                <c:ptCount val="8"/>
                <c:pt idx="0">
                  <c:v>6.95681494064532E-2</c:v>
                </c:pt>
                <c:pt idx="1">
                  <c:v>0.16816081230567989</c:v>
                </c:pt>
                <c:pt idx="2">
                  <c:v>5.0873491921776981E-2</c:v>
                </c:pt>
                <c:pt idx="3">
                  <c:v>0.21031715026342326</c:v>
                </c:pt>
                <c:pt idx="4">
                  <c:v>0.04</c:v>
                </c:pt>
                <c:pt idx="5">
                  <c:v>0.25188862785235172</c:v>
                </c:pt>
                <c:pt idx="6">
                  <c:v>2.9999999999999995E-2</c:v>
                </c:pt>
                <c:pt idx="7">
                  <c:v>0.32832040858000844</c:v>
                </c:pt>
              </c:numCache>
            </c:numRef>
          </c:xVal>
          <c:yVal>
            <c:numRef>
              <c:f>'Equilibrium curve models'!$C$22:$C$29</c:f>
              <c:numCache>
                <c:formatCode>0.0%</c:formatCode>
                <c:ptCount val="8"/>
                <c:pt idx="0">
                  <c:v>0.21225936603875753</c:v>
                </c:pt>
                <c:pt idx="1">
                  <c:v>2.0999978000000006E-2</c:v>
                </c:pt>
                <c:pt idx="2">
                  <c:v>0.3023539538318788</c:v>
                </c:pt>
                <c:pt idx="3">
                  <c:v>0.01</c:v>
                </c:pt>
                <c:pt idx="4">
                  <c:v>0.3699229417994121</c:v>
                </c:pt>
                <c:pt idx="5">
                  <c:v>9.0444594968596261E-4</c:v>
                </c:pt>
                <c:pt idx="6">
                  <c:v>0.47169718162146251</c:v>
                </c:pt>
                <c:pt idx="7">
                  <c:v>9.044459496859625E-4</c:v>
                </c:pt>
              </c:numCache>
            </c:numRef>
          </c:yVal>
          <c:smooth val="0"/>
          <c:extLst>
            <c:ext xmlns:c16="http://schemas.microsoft.com/office/drawing/2014/chart" uri="{C3380CC4-5D6E-409C-BE32-E72D297353CC}">
              <c16:uniqueId val="{00000004-91F1-4298-9C43-030DC09D5C36}"/>
            </c:ext>
          </c:extLst>
        </c:ser>
        <c:ser>
          <c:idx val="5"/>
          <c:order val="5"/>
          <c:tx>
            <c:v>PEG 10000 Experimental</c:v>
          </c:tx>
          <c:spPr>
            <a:ln w="19050" cap="rnd">
              <a:noFill/>
              <a:round/>
            </a:ln>
            <a:effectLst/>
          </c:spPr>
          <c:marker>
            <c:symbol val="triangle"/>
            <c:size val="5"/>
            <c:spPr>
              <a:solidFill>
                <a:srgbClr val="92D050"/>
              </a:solidFill>
              <a:ln w="9525">
                <a:solidFill>
                  <a:srgbClr val="92D050"/>
                </a:solidFill>
              </a:ln>
              <a:effectLst/>
            </c:spPr>
          </c:marker>
          <c:xVal>
            <c:numRef>
              <c:f>'Equilibrium curve models'!$B$37:$B$44</c:f>
              <c:numCache>
                <c:formatCode>0.0%</c:formatCode>
                <c:ptCount val="8"/>
                <c:pt idx="0">
                  <c:v>6.4721825513311099E-2</c:v>
                </c:pt>
                <c:pt idx="1">
                  <c:v>0.16560465018135884</c:v>
                </c:pt>
                <c:pt idx="2">
                  <c:v>0.05</c:v>
                </c:pt>
                <c:pt idx="3">
                  <c:v>0.20779486317221901</c:v>
                </c:pt>
                <c:pt idx="4">
                  <c:v>3.8999999999999993E-2</c:v>
                </c:pt>
                <c:pt idx="5">
                  <c:v>0.25381870757243263</c:v>
                </c:pt>
                <c:pt idx="6">
                  <c:v>2.8376517219081163E-2</c:v>
                </c:pt>
                <c:pt idx="7">
                  <c:v>0.3341404588406135</c:v>
                </c:pt>
              </c:numCache>
            </c:numRef>
          </c:xVal>
          <c:yVal>
            <c:numRef>
              <c:f>'Equilibrium curve models'!$C$37:$C$44</c:f>
              <c:numCache>
                <c:formatCode>0.0%</c:formatCode>
                <c:ptCount val="8"/>
                <c:pt idx="0">
                  <c:v>0.23410490045675805</c:v>
                </c:pt>
                <c:pt idx="1">
                  <c:v>1.2999999999999999E-2</c:v>
                </c:pt>
                <c:pt idx="2">
                  <c:v>0.32082533813724157</c:v>
                </c:pt>
                <c:pt idx="3">
                  <c:v>1.0000000000000005E-3</c:v>
                </c:pt>
                <c:pt idx="4">
                  <c:v>0.36666943106097999</c:v>
                </c:pt>
                <c:pt idx="5">
                  <c:v>0</c:v>
                </c:pt>
                <c:pt idx="6">
                  <c:v>0.46573049098997177</c:v>
                </c:pt>
                <c:pt idx="7">
                  <c:v>0</c:v>
                </c:pt>
              </c:numCache>
            </c:numRef>
          </c:yVal>
          <c:smooth val="0"/>
          <c:extLst>
            <c:ext xmlns:c16="http://schemas.microsoft.com/office/drawing/2014/chart" uri="{C3380CC4-5D6E-409C-BE32-E72D297353CC}">
              <c16:uniqueId val="{00000005-91F1-4298-9C43-030DC09D5C36}"/>
            </c:ext>
          </c:extLst>
        </c:ser>
        <c:dLbls>
          <c:showLegendKey val="0"/>
          <c:showVal val="0"/>
          <c:showCatName val="0"/>
          <c:showSerName val="0"/>
          <c:showPercent val="0"/>
          <c:showBubbleSize val="0"/>
        </c:dLbls>
        <c:axId val="560735272"/>
        <c:axId val="560734944"/>
      </c:scatterChart>
      <c:valAx>
        <c:axId val="5607352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Citrate concentration</a:t>
                </a:r>
                <a:r>
                  <a:rPr lang="en-ZA" baseline="0"/>
                  <a:t> (wt%)</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0734944"/>
        <c:crosses val="autoZero"/>
        <c:crossBetween val="midCat"/>
      </c:valAx>
      <c:valAx>
        <c:axId val="5607349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concentration (wt%)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0735272"/>
        <c:crosses val="autoZero"/>
        <c:crossBetween val="midCat"/>
      </c:valAx>
      <c:spPr>
        <a:noFill/>
        <a:ln>
          <a:noFill/>
        </a:ln>
        <a:effectLst/>
      </c:spPr>
    </c:plotArea>
    <c:legend>
      <c:legendPos val="r"/>
      <c:layout>
        <c:manualLayout>
          <c:xMode val="edge"/>
          <c:yMode val="edge"/>
          <c:x val="0.64279555951588574"/>
          <c:y val="0.15818309950668996"/>
          <c:w val="0.26175181015275456"/>
          <c:h val="0.3408655667567986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1.3337999999999999"/>
            <c:dispRSqr val="1"/>
            <c:dispEq val="1"/>
            <c:trendlineLbl>
              <c:layout>
                <c:manualLayout>
                  <c:x val="3.9632983377077866E-2"/>
                  <c:y val="0.1755092592592592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'R I standards DIwater'!#REF!</c:f>
                <c:numCache>
                  <c:formatCode>General</c:formatCode>
                  <c:ptCount val="1"/>
                  <c:pt idx="0">
                    <c:v>1</c:v>
                  </c:pt>
                </c:numCache>
              </c:numRef>
            </c:plus>
            <c:minus>
              <c:numRef>
                <c:f>'R I standards DIwater'!#REF!</c:f>
                <c:numCache>
                  <c:formatCode>General</c:formatCode>
                  <c:ptCount val="1"/>
                  <c:pt idx="0">
                    <c:v>1</c:v>
                  </c:pt>
                </c:numCache>
              </c:numRef>
            </c:minus>
            <c:spPr>
              <a:noFill/>
              <a:ln w="9525" cap="flat" cmpd="sng" algn="ctr">
                <a:solidFill>
                  <a:schemeClr val="tx1">
                    <a:lumMod val="65000"/>
                    <a:lumOff val="35000"/>
                  </a:schemeClr>
                </a:solidFill>
                <a:round/>
              </a:ln>
              <a:effectLst/>
            </c:spPr>
          </c:errBars>
          <c:xVal>
            <c:numRef>
              <c:f>'R I standards DIwater'!#REF!</c:f>
            </c:numRef>
          </c:xVal>
          <c:yVal>
            <c:numRef>
              <c:f>'R I standards DIwater'!#REF!</c:f>
              <c:numCache>
                <c:formatCode>General</c:formatCode>
                <c:ptCount val="1"/>
                <c:pt idx="0">
                  <c:v>1</c:v>
                </c:pt>
              </c:numCache>
            </c:numRef>
          </c:yVal>
          <c:smooth val="0"/>
          <c:extLst>
            <c:ext xmlns:c16="http://schemas.microsoft.com/office/drawing/2014/chart" uri="{C3380CC4-5D6E-409C-BE32-E72D297353CC}">
              <c16:uniqueId val="{00000001-A249-4E19-9381-4E29D7290F9D}"/>
            </c:ext>
          </c:extLst>
        </c:ser>
        <c:dLbls>
          <c:showLegendKey val="0"/>
          <c:showVal val="0"/>
          <c:showCatName val="0"/>
          <c:showSerName val="0"/>
          <c:showPercent val="0"/>
          <c:showBubbleSize val="0"/>
        </c:dLbls>
        <c:axId val="398547312"/>
        <c:axId val="398549936"/>
      </c:scatterChart>
      <c:valAx>
        <c:axId val="3985473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10000</a:t>
                </a:r>
                <a:r>
                  <a:rPr lang="en-ZA" baseline="0"/>
                  <a:t> (wt %) in citrate buffer</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8549936"/>
        <c:crosses val="autoZero"/>
        <c:crossBetween val="midCat"/>
      </c:valAx>
      <c:valAx>
        <c:axId val="398549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Refractive index</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85473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RI standard curve MDX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x"/>
            <c:size val="2"/>
            <c:spPr>
              <a:no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layout>
                <c:manualLayout>
                  <c:x val="-8.3104986876640419E-2"/>
                  <c:y val="-4.1666666666666669E-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'R I standards'!$D$8:$H$8</c:f>
                <c:numCache>
                  <c:formatCode>General</c:formatCode>
                  <c:ptCount val="5"/>
                  <c:pt idx="0">
                    <c:v>1.7320508075686865E-4</c:v>
                  </c:pt>
                  <c:pt idx="1">
                    <c:v>1.1547005383791244E-4</c:v>
                  </c:pt>
                  <c:pt idx="2">
                    <c:v>9.9999999999988987E-5</c:v>
                  </c:pt>
                  <c:pt idx="3">
                    <c:v>5.7735026918956222E-5</c:v>
                  </c:pt>
                  <c:pt idx="4">
                    <c:v>5.7735026918956215E-5</c:v>
                  </c:pt>
                </c:numCache>
              </c:numRef>
            </c:plus>
            <c:minus>
              <c:numRef>
                <c:f>'R I standards'!$D$8:$H$8</c:f>
                <c:numCache>
                  <c:formatCode>General</c:formatCode>
                  <c:ptCount val="5"/>
                  <c:pt idx="0">
                    <c:v>1.7320508075686865E-4</c:v>
                  </c:pt>
                  <c:pt idx="1">
                    <c:v>1.1547005383791244E-4</c:v>
                  </c:pt>
                  <c:pt idx="2">
                    <c:v>9.9999999999988987E-5</c:v>
                  </c:pt>
                  <c:pt idx="3">
                    <c:v>5.7735026918956222E-5</c:v>
                  </c:pt>
                  <c:pt idx="4">
                    <c:v>5.7735026918956215E-5</c:v>
                  </c:pt>
                </c:numCache>
              </c:numRef>
            </c:minus>
            <c:spPr>
              <a:noFill/>
              <a:ln w="9525" cap="flat" cmpd="sng" algn="ctr">
                <a:solidFill>
                  <a:schemeClr val="tx1">
                    <a:lumMod val="65000"/>
                    <a:lumOff val="35000"/>
                  </a:schemeClr>
                </a:solidFill>
                <a:round/>
              </a:ln>
              <a:effectLst/>
            </c:spPr>
          </c:errBars>
          <c:xVal>
            <c:numRef>
              <c:f>'R I standards'!$D$3:$H$3</c:f>
              <c:numCache>
                <c:formatCode>0%</c:formatCode>
                <c:ptCount val="5"/>
                <c:pt idx="0">
                  <c:v>2.5000000000000001E-2</c:v>
                </c:pt>
                <c:pt idx="1">
                  <c:v>0.05</c:v>
                </c:pt>
                <c:pt idx="2">
                  <c:v>0.1</c:v>
                </c:pt>
                <c:pt idx="3">
                  <c:v>0.15</c:v>
                </c:pt>
                <c:pt idx="4">
                  <c:v>0.2</c:v>
                </c:pt>
              </c:numCache>
            </c:numRef>
          </c:xVal>
          <c:yVal>
            <c:numRef>
              <c:f>'R I standards'!$D$7:$H$7</c:f>
              <c:numCache>
                <c:formatCode>0.000</c:formatCode>
                <c:ptCount val="5"/>
                <c:pt idx="0">
                  <c:v>1.3366</c:v>
                </c:pt>
                <c:pt idx="1">
                  <c:v>1.3401333333333334</c:v>
                </c:pt>
                <c:pt idx="2">
                  <c:v>1.3474999999999999</c:v>
                </c:pt>
                <c:pt idx="3">
                  <c:v>1.3550666666666666</c:v>
                </c:pt>
                <c:pt idx="4">
                  <c:v>1.3628666666666664</c:v>
                </c:pt>
              </c:numCache>
            </c:numRef>
          </c:yVal>
          <c:smooth val="0"/>
          <c:extLst>
            <c:ext xmlns:c16="http://schemas.microsoft.com/office/drawing/2014/chart" uri="{C3380CC4-5D6E-409C-BE32-E72D297353CC}">
              <c16:uniqueId val="{00000001-FE91-4B75-92AF-BD6716861EDF}"/>
            </c:ext>
          </c:extLst>
        </c:ser>
        <c:dLbls>
          <c:showLegendKey val="0"/>
          <c:showVal val="0"/>
          <c:showCatName val="0"/>
          <c:showSerName val="0"/>
          <c:showPercent val="0"/>
          <c:showBubbleSize val="0"/>
        </c:dLbls>
        <c:axId val="522087464"/>
        <c:axId val="522086480"/>
      </c:scatterChart>
      <c:valAx>
        <c:axId val="522087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MDX wt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086480"/>
        <c:crosses val="autoZero"/>
        <c:crossBetween val="midCat"/>
      </c:valAx>
      <c:valAx>
        <c:axId val="5220864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087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RI standard curve PEG 10000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x"/>
            <c:size val="2"/>
            <c:spPr>
              <a:no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layout>
                <c:manualLayout>
                  <c:x val="-1.0999562554680665E-2"/>
                  <c:y val="9.2592592592592587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'R I standards'!$K$8:$N$8</c:f>
                <c:numCache>
                  <c:formatCode>General</c:formatCode>
                  <c:ptCount val="4"/>
                  <c:pt idx="0">
                    <c:v>5.7735026918956222E-5</c:v>
                  </c:pt>
                  <c:pt idx="1">
                    <c:v>1.1547005383804064E-4</c:v>
                  </c:pt>
                  <c:pt idx="2">
                    <c:v>2.0816659994659034E-4</c:v>
                  </c:pt>
                  <c:pt idx="3">
                    <c:v>2.3094010767582489E-4</c:v>
                  </c:pt>
                </c:numCache>
              </c:numRef>
            </c:plus>
            <c:minus>
              <c:numRef>
                <c:f>'R I standards'!$K$8:$N$8</c:f>
                <c:numCache>
                  <c:formatCode>General</c:formatCode>
                  <c:ptCount val="4"/>
                  <c:pt idx="0">
                    <c:v>5.7735026918956222E-5</c:v>
                  </c:pt>
                  <c:pt idx="1">
                    <c:v>1.1547005383804064E-4</c:v>
                  </c:pt>
                  <c:pt idx="2">
                    <c:v>2.0816659994659034E-4</c:v>
                  </c:pt>
                  <c:pt idx="3">
                    <c:v>2.3094010767582489E-4</c:v>
                  </c:pt>
                </c:numCache>
              </c:numRef>
            </c:minus>
            <c:spPr>
              <a:noFill/>
              <a:ln w="9525" cap="flat" cmpd="sng" algn="ctr">
                <a:solidFill>
                  <a:schemeClr val="tx1">
                    <a:lumMod val="65000"/>
                    <a:lumOff val="35000"/>
                  </a:schemeClr>
                </a:solidFill>
                <a:round/>
              </a:ln>
              <a:effectLst/>
            </c:spPr>
          </c:errBars>
          <c:xVal>
            <c:numRef>
              <c:f>'R I standards'!$K$3:$N$3</c:f>
              <c:numCache>
                <c:formatCode>0%</c:formatCode>
                <c:ptCount val="4"/>
                <c:pt idx="0">
                  <c:v>2.5000000000000001E-2</c:v>
                </c:pt>
                <c:pt idx="1">
                  <c:v>0.05</c:v>
                </c:pt>
                <c:pt idx="2">
                  <c:v>7.4999999999999997E-2</c:v>
                </c:pt>
                <c:pt idx="3">
                  <c:v>0.1</c:v>
                </c:pt>
              </c:numCache>
            </c:numRef>
          </c:xVal>
          <c:yVal>
            <c:numRef>
              <c:f>'R I standards'!$K$7:$N$7</c:f>
              <c:numCache>
                <c:formatCode>0.000</c:formatCode>
                <c:ptCount val="4"/>
                <c:pt idx="0">
                  <c:v>1.3363333333333334</c:v>
                </c:pt>
                <c:pt idx="1">
                  <c:v>1.3397333333333334</c:v>
                </c:pt>
                <c:pt idx="2">
                  <c:v>1.3431333333333333</c:v>
                </c:pt>
                <c:pt idx="3">
                  <c:v>1.3466666666666667</c:v>
                </c:pt>
              </c:numCache>
            </c:numRef>
          </c:yVal>
          <c:smooth val="0"/>
          <c:extLst>
            <c:ext xmlns:c16="http://schemas.microsoft.com/office/drawing/2014/chart" uri="{C3380CC4-5D6E-409C-BE32-E72D297353CC}">
              <c16:uniqueId val="{00000001-B9A3-4A1B-B8BD-41DC345E57CE}"/>
            </c:ext>
          </c:extLst>
        </c:ser>
        <c:dLbls>
          <c:showLegendKey val="0"/>
          <c:showVal val="0"/>
          <c:showCatName val="0"/>
          <c:showSerName val="0"/>
          <c:showPercent val="0"/>
          <c:showBubbleSize val="0"/>
        </c:dLbls>
        <c:axId val="758055016"/>
        <c:axId val="758051736"/>
      </c:scatterChart>
      <c:valAx>
        <c:axId val="7580550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wt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1736"/>
        <c:crosses val="autoZero"/>
        <c:crossBetween val="midCat"/>
      </c:valAx>
      <c:valAx>
        <c:axId val="758051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50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RI standard curve PEG 12000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x"/>
            <c:size val="2"/>
            <c:spPr>
              <a:no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layout>
                <c:manualLayout>
                  <c:x val="-1.0999562554680665E-2"/>
                  <c:y val="9.2592592592592587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'R I standards'!$K$8:$N$8</c:f>
                <c:numCache>
                  <c:formatCode>General</c:formatCode>
                  <c:ptCount val="4"/>
                  <c:pt idx="0">
                    <c:v>5.7735026918956222E-5</c:v>
                  </c:pt>
                  <c:pt idx="1">
                    <c:v>1.1547005383804064E-4</c:v>
                  </c:pt>
                  <c:pt idx="2">
                    <c:v>2.0816659994659034E-4</c:v>
                  </c:pt>
                  <c:pt idx="3">
                    <c:v>2.3094010767582489E-4</c:v>
                  </c:pt>
                </c:numCache>
              </c:numRef>
            </c:plus>
            <c:minus>
              <c:numRef>
                <c:f>'R I standards'!$K$8:$N$8</c:f>
                <c:numCache>
                  <c:formatCode>General</c:formatCode>
                  <c:ptCount val="4"/>
                  <c:pt idx="0">
                    <c:v>5.7735026918956222E-5</c:v>
                  </c:pt>
                  <c:pt idx="1">
                    <c:v>1.1547005383804064E-4</c:v>
                  </c:pt>
                  <c:pt idx="2">
                    <c:v>2.0816659994659034E-4</c:v>
                  </c:pt>
                  <c:pt idx="3">
                    <c:v>2.3094010767582489E-4</c:v>
                  </c:pt>
                </c:numCache>
              </c:numRef>
            </c:minus>
            <c:spPr>
              <a:noFill/>
              <a:ln w="9525" cap="flat" cmpd="sng" algn="ctr">
                <a:solidFill>
                  <a:schemeClr val="tx1">
                    <a:lumMod val="65000"/>
                    <a:lumOff val="35000"/>
                  </a:schemeClr>
                </a:solidFill>
                <a:round/>
              </a:ln>
              <a:effectLst/>
            </c:spPr>
          </c:errBars>
          <c:xVal>
            <c:numRef>
              <c:f>'R I standards'!$R$3:$U$3</c:f>
              <c:numCache>
                <c:formatCode>0%</c:formatCode>
                <c:ptCount val="4"/>
                <c:pt idx="0">
                  <c:v>2.5000000000000001E-2</c:v>
                </c:pt>
                <c:pt idx="1">
                  <c:v>0.05</c:v>
                </c:pt>
                <c:pt idx="2">
                  <c:v>7.4999999999999997E-2</c:v>
                </c:pt>
                <c:pt idx="3">
                  <c:v>0.1</c:v>
                </c:pt>
              </c:numCache>
            </c:numRef>
          </c:xVal>
          <c:yVal>
            <c:numRef>
              <c:f>'R I standards'!$R$7:$U$7</c:f>
              <c:numCache>
                <c:formatCode>0.000</c:formatCode>
                <c:ptCount val="4"/>
                <c:pt idx="0">
                  <c:v>1.3363666666666667</c:v>
                </c:pt>
                <c:pt idx="1">
                  <c:v>1.3398000000000001</c:v>
                </c:pt>
                <c:pt idx="2">
                  <c:v>1.3433333333333335</c:v>
                </c:pt>
                <c:pt idx="3">
                  <c:v>1.3467666666666667</c:v>
                </c:pt>
              </c:numCache>
            </c:numRef>
          </c:yVal>
          <c:smooth val="0"/>
          <c:extLst>
            <c:ext xmlns:c16="http://schemas.microsoft.com/office/drawing/2014/chart" uri="{C3380CC4-5D6E-409C-BE32-E72D297353CC}">
              <c16:uniqueId val="{00000001-675C-4D10-B57E-22C668B523C8}"/>
            </c:ext>
          </c:extLst>
        </c:ser>
        <c:dLbls>
          <c:showLegendKey val="0"/>
          <c:showVal val="0"/>
          <c:showCatName val="0"/>
          <c:showSerName val="0"/>
          <c:showPercent val="0"/>
          <c:showBubbleSize val="0"/>
        </c:dLbls>
        <c:axId val="758055016"/>
        <c:axId val="758051736"/>
      </c:scatterChart>
      <c:valAx>
        <c:axId val="7580550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wt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1736"/>
        <c:crosses val="autoZero"/>
        <c:crossBetween val="midCat"/>
      </c:valAx>
      <c:valAx>
        <c:axId val="758051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50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RI standard curve PEG 20000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x"/>
            <c:size val="2"/>
            <c:spPr>
              <a:no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layout>
                <c:manualLayout>
                  <c:x val="-1.0999562554680665E-2"/>
                  <c:y val="9.2592592592592587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'R I standards'!$K$8:$N$8</c:f>
                <c:numCache>
                  <c:formatCode>General</c:formatCode>
                  <c:ptCount val="4"/>
                  <c:pt idx="0">
                    <c:v>5.7735026918956222E-5</c:v>
                  </c:pt>
                  <c:pt idx="1">
                    <c:v>1.1547005383804064E-4</c:v>
                  </c:pt>
                  <c:pt idx="2">
                    <c:v>2.0816659994659034E-4</c:v>
                  </c:pt>
                  <c:pt idx="3">
                    <c:v>2.3094010767582489E-4</c:v>
                  </c:pt>
                </c:numCache>
              </c:numRef>
            </c:plus>
            <c:minus>
              <c:numRef>
                <c:f>'R I standards'!$K$8:$N$8</c:f>
                <c:numCache>
                  <c:formatCode>General</c:formatCode>
                  <c:ptCount val="4"/>
                  <c:pt idx="0">
                    <c:v>5.7735026918956222E-5</c:v>
                  </c:pt>
                  <c:pt idx="1">
                    <c:v>1.1547005383804064E-4</c:v>
                  </c:pt>
                  <c:pt idx="2">
                    <c:v>2.0816659994659034E-4</c:v>
                  </c:pt>
                  <c:pt idx="3">
                    <c:v>2.3094010767582489E-4</c:v>
                  </c:pt>
                </c:numCache>
              </c:numRef>
            </c:minus>
            <c:spPr>
              <a:noFill/>
              <a:ln w="9525" cap="flat" cmpd="sng" algn="ctr">
                <a:solidFill>
                  <a:schemeClr val="tx1">
                    <a:lumMod val="65000"/>
                    <a:lumOff val="35000"/>
                  </a:schemeClr>
                </a:solidFill>
                <a:round/>
              </a:ln>
              <a:effectLst/>
            </c:spPr>
          </c:errBars>
          <c:xVal>
            <c:numRef>
              <c:f>'R I standards'!$Y$3:$AB$3</c:f>
              <c:numCache>
                <c:formatCode>0%</c:formatCode>
                <c:ptCount val="4"/>
                <c:pt idx="0">
                  <c:v>2.5000000000000001E-2</c:v>
                </c:pt>
                <c:pt idx="1">
                  <c:v>0.05</c:v>
                </c:pt>
                <c:pt idx="2">
                  <c:v>7.4999999999999997E-2</c:v>
                </c:pt>
                <c:pt idx="3">
                  <c:v>0.1</c:v>
                </c:pt>
              </c:numCache>
            </c:numRef>
          </c:xVal>
          <c:yVal>
            <c:numRef>
              <c:f>'R I standards'!$Y$7:$AB$7</c:f>
              <c:numCache>
                <c:formatCode>0.000</c:formatCode>
                <c:ptCount val="4"/>
                <c:pt idx="0">
                  <c:v>1.3364</c:v>
                </c:pt>
                <c:pt idx="1">
                  <c:v>1.3398333333333337</c:v>
                </c:pt>
                <c:pt idx="2">
                  <c:v>1.3432999999999999</c:v>
                </c:pt>
                <c:pt idx="3">
                  <c:v>1.3468</c:v>
                </c:pt>
              </c:numCache>
            </c:numRef>
          </c:yVal>
          <c:smooth val="0"/>
          <c:extLst>
            <c:ext xmlns:c16="http://schemas.microsoft.com/office/drawing/2014/chart" uri="{C3380CC4-5D6E-409C-BE32-E72D297353CC}">
              <c16:uniqueId val="{00000001-8EE6-4BC6-84A6-BD40FAE16D12}"/>
            </c:ext>
          </c:extLst>
        </c:ser>
        <c:dLbls>
          <c:showLegendKey val="0"/>
          <c:showVal val="0"/>
          <c:showCatName val="0"/>
          <c:showSerName val="0"/>
          <c:showPercent val="0"/>
          <c:showBubbleSize val="0"/>
        </c:dLbls>
        <c:axId val="758055016"/>
        <c:axId val="758051736"/>
      </c:scatterChart>
      <c:valAx>
        <c:axId val="7580550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wt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1736"/>
        <c:crosses val="autoZero"/>
        <c:crossBetween val="midCat"/>
      </c:valAx>
      <c:valAx>
        <c:axId val="758051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50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RI standard curve</a:t>
            </a:r>
            <a:r>
              <a:rPr lang="en-ZA" baseline="0"/>
              <a:t> </a:t>
            </a:r>
            <a:r>
              <a:rPr lang="en-ZA"/>
              <a:t>PEG 4000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 I standards'!$C$28:$F$28</c:f>
              <c:numCache>
                <c:formatCode>0%</c:formatCode>
                <c:ptCount val="4"/>
                <c:pt idx="0">
                  <c:v>0.05</c:v>
                </c:pt>
                <c:pt idx="1">
                  <c:v>0.1</c:v>
                </c:pt>
                <c:pt idx="2">
                  <c:v>0.15</c:v>
                </c:pt>
                <c:pt idx="3">
                  <c:v>0.2</c:v>
                </c:pt>
              </c:numCache>
            </c:numRef>
          </c:xVal>
          <c:yVal>
            <c:numRef>
              <c:f>'R I standards'!$C$32:$F$32</c:f>
              <c:numCache>
                <c:formatCode>0.000</c:formatCode>
                <c:ptCount val="4"/>
                <c:pt idx="0">
                  <c:v>1.3396666666666668</c:v>
                </c:pt>
                <c:pt idx="1">
                  <c:v>1.3464666666666669</c:v>
                </c:pt>
                <c:pt idx="2">
                  <c:v>1.3534999999999997</c:v>
                </c:pt>
                <c:pt idx="3">
                  <c:v>1.3608</c:v>
                </c:pt>
              </c:numCache>
            </c:numRef>
          </c:yVal>
          <c:smooth val="0"/>
          <c:extLst>
            <c:ext xmlns:c16="http://schemas.microsoft.com/office/drawing/2014/chart" uri="{C3380CC4-5D6E-409C-BE32-E72D297353CC}">
              <c16:uniqueId val="{00000000-FD78-4098-8264-FD8EA56E6D3E}"/>
            </c:ext>
          </c:extLst>
        </c:ser>
        <c:dLbls>
          <c:showLegendKey val="0"/>
          <c:showVal val="0"/>
          <c:showCatName val="0"/>
          <c:showSerName val="0"/>
          <c:showPercent val="0"/>
          <c:showBubbleSize val="0"/>
        </c:dLbls>
        <c:axId val="593906528"/>
        <c:axId val="593909480"/>
      </c:scatterChart>
      <c:valAx>
        <c:axId val="5939065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wt%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3909480"/>
        <c:crosses val="autoZero"/>
        <c:crossBetween val="midCat"/>
      </c:valAx>
      <c:valAx>
        <c:axId val="5939094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39065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RI standard curve PEG 6000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 I standards'!$I$28:$L$28</c:f>
              <c:numCache>
                <c:formatCode>0%</c:formatCode>
                <c:ptCount val="4"/>
                <c:pt idx="0">
                  <c:v>0.05</c:v>
                </c:pt>
                <c:pt idx="1">
                  <c:v>0.1</c:v>
                </c:pt>
                <c:pt idx="2">
                  <c:v>0.15</c:v>
                </c:pt>
                <c:pt idx="3">
                  <c:v>0.2</c:v>
                </c:pt>
              </c:numCache>
            </c:numRef>
          </c:xVal>
          <c:yVal>
            <c:numRef>
              <c:f>'R I standards'!$I$32:$L$32</c:f>
              <c:numCache>
                <c:formatCode>0.000</c:formatCode>
                <c:ptCount val="4"/>
                <c:pt idx="0">
                  <c:v>1.3398000000000001</c:v>
                </c:pt>
                <c:pt idx="1">
                  <c:v>1.3466666666666667</c:v>
                </c:pt>
                <c:pt idx="2">
                  <c:v>1.3534666666666666</c:v>
                </c:pt>
                <c:pt idx="3">
                  <c:v>1.3608</c:v>
                </c:pt>
              </c:numCache>
            </c:numRef>
          </c:yVal>
          <c:smooth val="0"/>
          <c:extLst>
            <c:ext xmlns:c16="http://schemas.microsoft.com/office/drawing/2014/chart" uri="{C3380CC4-5D6E-409C-BE32-E72D297353CC}">
              <c16:uniqueId val="{00000001-401D-4879-B5C9-062DEE952A6A}"/>
            </c:ext>
          </c:extLst>
        </c:ser>
        <c:dLbls>
          <c:showLegendKey val="0"/>
          <c:showVal val="0"/>
          <c:showCatName val="0"/>
          <c:showSerName val="0"/>
          <c:showPercent val="0"/>
          <c:showBubbleSize val="0"/>
        </c:dLbls>
        <c:axId val="593906528"/>
        <c:axId val="593909480"/>
      </c:scatterChart>
      <c:valAx>
        <c:axId val="5939065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wt%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3909480"/>
        <c:crosses val="autoZero"/>
        <c:crossBetween val="midCat"/>
      </c:valAx>
      <c:valAx>
        <c:axId val="5939094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39065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24</xdr:col>
      <xdr:colOff>452438</xdr:colOff>
      <xdr:row>7</xdr:row>
      <xdr:rowOff>23811</xdr:rowOff>
    </xdr:from>
    <xdr:to>
      <xdr:col>37</xdr:col>
      <xdr:colOff>221115</xdr:colOff>
      <xdr:row>34</xdr:row>
      <xdr:rowOff>23812</xdr:rowOff>
    </xdr:to>
    <xdr:graphicFrame macro="">
      <xdr:nvGraphicFramePr>
        <xdr:cNvPr id="6" name="Chart 5">
          <a:extLst>
            <a:ext uri="{FF2B5EF4-FFF2-40B4-BE49-F238E27FC236}">
              <a16:creationId xmlns:a16="http://schemas.microsoft.com/office/drawing/2014/main" id="{26001724-D0BB-4D7B-8268-B5AC782C7B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344197</xdr:colOff>
      <xdr:row>4</xdr:row>
      <xdr:rowOff>189199</xdr:rowOff>
    </xdr:from>
    <xdr:to>
      <xdr:col>14</xdr:col>
      <xdr:colOff>1071562</xdr:colOff>
      <xdr:row>31</xdr:row>
      <xdr:rowOff>47624</xdr:rowOff>
    </xdr:to>
    <xdr:graphicFrame macro="">
      <xdr:nvGraphicFramePr>
        <xdr:cNvPr id="2" name="Chart 1">
          <a:extLst>
            <a:ext uri="{FF2B5EF4-FFF2-40B4-BE49-F238E27FC236}">
              <a16:creationId xmlns:a16="http://schemas.microsoft.com/office/drawing/2014/main" id="{2F0428F3-E9BB-4DEA-BD96-9BDFF7EB2D8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552450</xdr:colOff>
      <xdr:row>0</xdr:row>
      <xdr:rowOff>0</xdr:rowOff>
    </xdr:from>
    <xdr:to>
      <xdr:col>10</xdr:col>
      <xdr:colOff>247650</xdr:colOff>
      <xdr:row>0</xdr:row>
      <xdr:rowOff>0</xdr:rowOff>
    </xdr:to>
    <xdr:graphicFrame macro="">
      <xdr:nvGraphicFramePr>
        <xdr:cNvPr id="2" name="Chart 1">
          <a:extLst>
            <a:ext uri="{FF2B5EF4-FFF2-40B4-BE49-F238E27FC236}">
              <a16:creationId xmlns:a16="http://schemas.microsoft.com/office/drawing/2014/main" id="{37157A00-E7B1-4402-9740-54154BBB32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581891</xdr:colOff>
      <xdr:row>10</xdr:row>
      <xdr:rowOff>68356</xdr:rowOff>
    </xdr:from>
    <xdr:to>
      <xdr:col>7</xdr:col>
      <xdr:colOff>346364</xdr:colOff>
      <xdr:row>23</xdr:row>
      <xdr:rowOff>166256</xdr:rowOff>
    </xdr:to>
    <xdr:graphicFrame macro="">
      <xdr:nvGraphicFramePr>
        <xdr:cNvPr id="5" name="Chart 4">
          <a:extLst>
            <a:ext uri="{FF2B5EF4-FFF2-40B4-BE49-F238E27FC236}">
              <a16:creationId xmlns:a16="http://schemas.microsoft.com/office/drawing/2014/main" id="{E8F9F884-9259-45E3-A3D2-8694174CE8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27710</xdr:colOff>
      <xdr:row>10</xdr:row>
      <xdr:rowOff>55419</xdr:rowOff>
    </xdr:from>
    <xdr:to>
      <xdr:col>15</xdr:col>
      <xdr:colOff>318654</xdr:colOff>
      <xdr:row>24</xdr:row>
      <xdr:rowOff>0</xdr:rowOff>
    </xdr:to>
    <xdr:graphicFrame macro="">
      <xdr:nvGraphicFramePr>
        <xdr:cNvPr id="6" name="Chart 5">
          <a:extLst>
            <a:ext uri="{FF2B5EF4-FFF2-40B4-BE49-F238E27FC236}">
              <a16:creationId xmlns:a16="http://schemas.microsoft.com/office/drawing/2014/main" id="{CB06D846-5484-4E31-A742-9D0AA77800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19559</xdr:colOff>
      <xdr:row>10</xdr:row>
      <xdr:rowOff>114708</xdr:rowOff>
    </xdr:from>
    <xdr:to>
      <xdr:col>22</xdr:col>
      <xdr:colOff>573129</xdr:colOff>
      <xdr:row>24</xdr:row>
      <xdr:rowOff>13040</xdr:rowOff>
    </xdr:to>
    <xdr:graphicFrame macro="">
      <xdr:nvGraphicFramePr>
        <xdr:cNvPr id="7" name="Chart 6">
          <a:extLst>
            <a:ext uri="{FF2B5EF4-FFF2-40B4-BE49-F238E27FC236}">
              <a16:creationId xmlns:a16="http://schemas.microsoft.com/office/drawing/2014/main" id="{52EC1FCB-0345-42D4-B363-2C01CF3F86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0</xdr:colOff>
      <xdr:row>10</xdr:row>
      <xdr:rowOff>83127</xdr:rowOff>
    </xdr:from>
    <xdr:to>
      <xdr:col>29</xdr:col>
      <xdr:colOff>549088</xdr:colOff>
      <xdr:row>23</xdr:row>
      <xdr:rowOff>161568</xdr:rowOff>
    </xdr:to>
    <xdr:graphicFrame macro="">
      <xdr:nvGraphicFramePr>
        <xdr:cNvPr id="8" name="Chart 7">
          <a:extLst>
            <a:ext uri="{FF2B5EF4-FFF2-40B4-BE49-F238E27FC236}">
              <a16:creationId xmlns:a16="http://schemas.microsoft.com/office/drawing/2014/main" id="{2FA77816-5E3B-487C-A160-5380B17FE0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534637</xdr:colOff>
      <xdr:row>33</xdr:row>
      <xdr:rowOff>140773</xdr:rowOff>
    </xdr:from>
    <xdr:to>
      <xdr:col>6</xdr:col>
      <xdr:colOff>166255</xdr:colOff>
      <xdr:row>47</xdr:row>
      <xdr:rowOff>138546</xdr:rowOff>
    </xdr:to>
    <xdr:graphicFrame macro="">
      <xdr:nvGraphicFramePr>
        <xdr:cNvPr id="3" name="Chart 2">
          <a:extLst>
            <a:ext uri="{FF2B5EF4-FFF2-40B4-BE49-F238E27FC236}">
              <a16:creationId xmlns:a16="http://schemas.microsoft.com/office/drawing/2014/main" id="{FE4947E2-B4B7-4CA3-AC32-029741ACD11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532659</xdr:colOff>
      <xdr:row>33</xdr:row>
      <xdr:rowOff>136072</xdr:rowOff>
    </xdr:from>
    <xdr:to>
      <xdr:col>12</xdr:col>
      <xdr:colOff>382981</xdr:colOff>
      <xdr:row>48</xdr:row>
      <xdr:rowOff>21772</xdr:rowOff>
    </xdr:to>
    <xdr:graphicFrame macro="">
      <xdr:nvGraphicFramePr>
        <xdr:cNvPr id="9" name="Chart 8">
          <a:extLst>
            <a:ext uri="{FF2B5EF4-FFF2-40B4-BE49-F238E27FC236}">
              <a16:creationId xmlns:a16="http://schemas.microsoft.com/office/drawing/2014/main" id="{54070138-1146-40C6-B739-05054E9661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0</xdr:colOff>
      <xdr:row>33</xdr:row>
      <xdr:rowOff>96982</xdr:rowOff>
    </xdr:from>
    <xdr:to>
      <xdr:col>18</xdr:col>
      <xdr:colOff>462643</xdr:colOff>
      <xdr:row>47</xdr:row>
      <xdr:rowOff>173182</xdr:rowOff>
    </xdr:to>
    <xdr:graphicFrame macro="">
      <xdr:nvGraphicFramePr>
        <xdr:cNvPr id="10" name="Chart 9">
          <a:extLst>
            <a:ext uri="{FF2B5EF4-FFF2-40B4-BE49-F238E27FC236}">
              <a16:creationId xmlns:a16="http://schemas.microsoft.com/office/drawing/2014/main" id="{E0F0EA9A-4798-4D20-AE9D-201BDE7A74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46</xdr:col>
      <xdr:colOff>224893</xdr:colOff>
      <xdr:row>22</xdr:row>
      <xdr:rowOff>148853</xdr:rowOff>
    </xdr:from>
    <xdr:to>
      <xdr:col>51</xdr:col>
      <xdr:colOff>692726</xdr:colOff>
      <xdr:row>41</xdr:row>
      <xdr:rowOff>128155</xdr:rowOff>
    </xdr:to>
    <xdr:graphicFrame macro="">
      <xdr:nvGraphicFramePr>
        <xdr:cNvPr id="2" name="Chart 1">
          <a:extLst>
            <a:ext uri="{FF2B5EF4-FFF2-40B4-BE49-F238E27FC236}">
              <a16:creationId xmlns:a16="http://schemas.microsoft.com/office/drawing/2014/main" id="{109BD6F9-CB94-4B97-A7D7-F3DEE9ACAD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53</xdr:col>
      <xdr:colOff>244930</xdr:colOff>
      <xdr:row>4</xdr:row>
      <xdr:rowOff>145595</xdr:rowOff>
    </xdr:from>
    <xdr:to>
      <xdr:col>60</xdr:col>
      <xdr:colOff>530680</xdr:colOff>
      <xdr:row>19</xdr:row>
      <xdr:rowOff>31295</xdr:rowOff>
    </xdr:to>
    <xdr:graphicFrame macro="">
      <xdr:nvGraphicFramePr>
        <xdr:cNvPr id="9" name="Chart 8">
          <a:extLst>
            <a:ext uri="{FF2B5EF4-FFF2-40B4-BE49-F238E27FC236}">
              <a16:creationId xmlns:a16="http://schemas.microsoft.com/office/drawing/2014/main" id="{EE437D60-F476-4E98-8DEF-D1A40BB8C5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52</xdr:col>
      <xdr:colOff>408213</xdr:colOff>
      <xdr:row>4</xdr:row>
      <xdr:rowOff>9525</xdr:rowOff>
    </xdr:from>
    <xdr:to>
      <xdr:col>60</xdr:col>
      <xdr:colOff>81642</xdr:colOff>
      <xdr:row>18</xdr:row>
      <xdr:rowOff>85725</xdr:rowOff>
    </xdr:to>
    <xdr:graphicFrame macro="">
      <xdr:nvGraphicFramePr>
        <xdr:cNvPr id="2" name="Chart 1">
          <a:extLst>
            <a:ext uri="{FF2B5EF4-FFF2-40B4-BE49-F238E27FC236}">
              <a16:creationId xmlns:a16="http://schemas.microsoft.com/office/drawing/2014/main" id="{31479710-FC45-4EEC-B097-E41F21915D9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22572</xdr:colOff>
      <xdr:row>0</xdr:row>
      <xdr:rowOff>179293</xdr:rowOff>
    </xdr:from>
    <xdr:to>
      <xdr:col>11</xdr:col>
      <xdr:colOff>451757</xdr:colOff>
      <xdr:row>25</xdr:row>
      <xdr:rowOff>152400</xdr:rowOff>
    </xdr:to>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F0B104C5-885C-48D2-8D4B-776B57D8972E}"/>
                </a:ext>
              </a:extLst>
            </xdr:cNvPr>
            <xdr:cNvSpPr txBox="1"/>
          </xdr:nvSpPr>
          <xdr:spPr>
            <a:xfrm>
              <a:off x="632172" y="179293"/>
              <a:ext cx="6525185" cy="45995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2"/>
              <a:r>
                <a:rPr lang="en-ZA" sz="1100" b="1">
                  <a:solidFill>
                    <a:schemeClr val="dk1"/>
                  </a:solidFill>
                  <a:effectLst/>
                  <a:latin typeface="+mn-lt"/>
                  <a:ea typeface="+mn-ea"/>
                  <a:cs typeface="+mn-cs"/>
                </a:rPr>
                <a:t>PEG – citrate phase diagrams</a:t>
              </a:r>
            </a:p>
            <a:p>
              <a:r>
                <a:rPr lang="en-ZA" sz="1100">
                  <a:solidFill>
                    <a:schemeClr val="dk1"/>
                  </a:solidFill>
                  <a:effectLst/>
                  <a:latin typeface="+mn-lt"/>
                  <a:ea typeface="+mn-ea"/>
                  <a:cs typeface="+mn-cs"/>
                </a:rPr>
                <a:t>PEG and citrate salts at pH 6 were used to produce the phase diagrams for this ATPS. These phase diagrams were produced using the method adapted from Glyk, Scheper and Beutel (2014). The different molecular weight PEGs were used to produce standard solutions. A refractometer was used to produce standard curves for refractive index against PEG concentration in wt%. The same was done for mixtures of citrate salts (sodium citrate and citric acid) at pH 6 of different concentrations in wt%. </a:t>
              </a:r>
            </a:p>
            <a:p>
              <a:r>
                <a:rPr lang="en-ZA" sz="1100">
                  <a:solidFill>
                    <a:schemeClr val="dk1"/>
                  </a:solidFill>
                  <a:effectLst/>
                  <a:latin typeface="+mn-lt"/>
                  <a:ea typeface="+mn-ea"/>
                  <a:cs typeface="+mn-cs"/>
                </a:rPr>
                <a:t>For the two-phase systems, different PEG and sodium citrate concentrations were mixed in 15 mL Falcon tubes and then adjusted to pH 6 with a 50 wt% citric acid solution. These were allowed to fully dissolve and were then shaken to mix the phases that had started to settle and separate. Once fully dissolved, the tubes were centrifuged at 4000 g for 30 minutes, producing two clear phases with a sharp interface. The volumes of each phase were then read off the graduations on the tubes for the volume ratios. </a:t>
              </a:r>
            </a:p>
            <a:p>
              <a:r>
                <a:rPr lang="en-ZA" sz="1100">
                  <a:solidFill>
                    <a:schemeClr val="dk1"/>
                  </a:solidFill>
                  <a:effectLst/>
                  <a:latin typeface="+mn-lt"/>
                  <a:ea typeface="+mn-ea"/>
                  <a:cs typeface="+mn-cs"/>
                </a:rPr>
                <a:t>About 5 mL were drawn up from the top and bottom phases by a Pasteur pipette for measuring the densities of the phases, and 0.5 mL of these were diluted by adding 1.5 mL of deionised water before the refractive indices were measured. Some were also diluted with water and weighed before freeze-drying, to determine the water content. Based on the refractive indices of the top and bottom phases, and their respective water concentrations from freeze-drying, the composition of each of the three components in each phase could be determined. This was done using the formula below, due to the additive nature of refractive indices (Glyk, Scheper and Beutel, 2014).</a:t>
              </a:r>
            </a:p>
            <a:p>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𝑛</m:t>
                      </m:r>
                    </m:e>
                    <m:sub>
                      <m:r>
                        <a:rPr lang="en-ZA" sz="1100" i="1">
                          <a:solidFill>
                            <a:schemeClr val="dk1"/>
                          </a:solidFill>
                          <a:effectLst/>
                          <a:latin typeface="Cambria Math" panose="02040503050406030204" pitchFamily="18" charset="0"/>
                          <a:ea typeface="+mn-ea"/>
                          <a:cs typeface="+mn-cs"/>
                        </a:rPr>
                        <m:t>𝐷</m:t>
                      </m:r>
                    </m:sub>
                  </m:sSub>
                  <m:r>
                    <a:rPr lang="en-ZA" sz="1100">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𝑎</m:t>
                      </m:r>
                    </m:e>
                    <m:sub>
                      <m:r>
                        <a:rPr lang="en-ZA" sz="1100">
                          <a:solidFill>
                            <a:schemeClr val="dk1"/>
                          </a:solidFill>
                          <a:effectLst/>
                          <a:latin typeface="Cambria Math" panose="02040503050406030204" pitchFamily="18" charset="0"/>
                          <a:ea typeface="+mn-ea"/>
                          <a:cs typeface="+mn-cs"/>
                        </a:rPr>
                        <m:t>0</m:t>
                      </m:r>
                    </m:sub>
                  </m:sSub>
                  <m:r>
                    <a:rPr lang="en-ZA" sz="1100">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𝑎</m:t>
                      </m:r>
                    </m:e>
                    <m:sub>
                      <m:r>
                        <a:rPr lang="en-ZA" sz="1100">
                          <a:solidFill>
                            <a:schemeClr val="dk1"/>
                          </a:solidFill>
                          <a:effectLst/>
                          <a:latin typeface="Cambria Math" panose="02040503050406030204" pitchFamily="18" charset="0"/>
                          <a:ea typeface="+mn-ea"/>
                          <a:cs typeface="+mn-cs"/>
                        </a:rPr>
                        <m:t>1</m:t>
                      </m:r>
                    </m:sub>
                  </m:sSub>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𝑎</m:t>
                      </m:r>
                    </m:e>
                    <m:sub>
                      <m:r>
                        <a:rPr lang="en-ZA" sz="1100">
                          <a:solidFill>
                            <a:schemeClr val="dk1"/>
                          </a:solidFill>
                          <a:effectLst/>
                          <a:latin typeface="Cambria Math" panose="02040503050406030204" pitchFamily="18" charset="0"/>
                          <a:ea typeface="+mn-ea"/>
                          <a:cs typeface="+mn-cs"/>
                        </a:rPr>
                        <m:t>2</m:t>
                      </m:r>
                    </m:sub>
                  </m:sSub>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𝑐𝑖𝑡</m:t>
                      </m:r>
                    </m:sub>
                  </m:sSub>
                </m:oMath>
              </a14:m>
              <a:r>
                <a:rPr lang="en-ZA" sz="1100">
                  <a:solidFill>
                    <a:schemeClr val="dk1"/>
                  </a:solidFill>
                  <a:effectLst/>
                  <a:latin typeface="+mn-lt"/>
                  <a:ea typeface="+mn-ea"/>
                  <a:cs typeface="+mn-cs"/>
                </a:rPr>
                <a:t>								Equation 1</a:t>
              </a:r>
            </a:p>
            <a:p>
              <a:r>
                <a:rPr lang="en-ZA" sz="1100">
                  <a:solidFill>
                    <a:schemeClr val="dk1"/>
                  </a:solidFill>
                  <a:effectLst/>
                  <a:latin typeface="+mn-lt"/>
                  <a:ea typeface="+mn-ea"/>
                  <a:cs typeface="+mn-cs"/>
                </a:rPr>
                <a:t>Where </a:t>
              </a:r>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𝑎</m:t>
                      </m:r>
                    </m:e>
                    <m:sub>
                      <m:r>
                        <a:rPr lang="en-ZA" sz="1100" i="1">
                          <a:solidFill>
                            <a:schemeClr val="dk1"/>
                          </a:solidFill>
                          <a:effectLst/>
                          <a:latin typeface="Cambria Math" panose="02040503050406030204" pitchFamily="18" charset="0"/>
                          <a:ea typeface="+mn-ea"/>
                          <a:cs typeface="+mn-cs"/>
                        </a:rPr>
                        <m:t>0</m:t>
                      </m:r>
                    </m:sub>
                  </m:sSub>
                </m:oMath>
              </a14:m>
              <a:r>
                <a:rPr lang="en-ZA" sz="1100">
                  <a:solidFill>
                    <a:schemeClr val="dk1"/>
                  </a:solidFill>
                  <a:effectLst/>
                  <a:latin typeface="+mn-lt"/>
                  <a:ea typeface="+mn-ea"/>
                  <a:cs typeface="+mn-cs"/>
                </a:rPr>
                <a:t> is the RI for deionised water, and </a:t>
              </a:r>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𝑎</m:t>
                      </m:r>
                    </m:e>
                    <m:sub>
                      <m:r>
                        <a:rPr lang="en-ZA" sz="1100" i="1">
                          <a:solidFill>
                            <a:schemeClr val="dk1"/>
                          </a:solidFill>
                          <a:effectLst/>
                          <a:latin typeface="Cambria Math" panose="02040503050406030204" pitchFamily="18" charset="0"/>
                          <a:ea typeface="+mn-ea"/>
                          <a:cs typeface="+mn-cs"/>
                        </a:rPr>
                        <m:t>1</m:t>
                      </m:r>
                    </m:sub>
                  </m:sSub>
                  <m:r>
                    <a:rPr lang="en-ZA" sz="1100" i="1">
                      <a:solidFill>
                        <a:schemeClr val="dk1"/>
                      </a:solidFill>
                      <a:effectLst/>
                      <a:latin typeface="Cambria Math" panose="02040503050406030204" pitchFamily="18" charset="0"/>
                      <a:ea typeface="+mn-ea"/>
                      <a:cs typeface="+mn-cs"/>
                    </a:rPr>
                    <m:t> &amp; </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𝑎</m:t>
                      </m:r>
                    </m:e>
                    <m:sub>
                      <m:r>
                        <a:rPr lang="en-ZA" sz="1100" i="1">
                          <a:solidFill>
                            <a:schemeClr val="dk1"/>
                          </a:solidFill>
                          <a:effectLst/>
                          <a:latin typeface="Cambria Math" panose="02040503050406030204" pitchFamily="18" charset="0"/>
                          <a:ea typeface="+mn-ea"/>
                          <a:cs typeface="+mn-cs"/>
                        </a:rPr>
                        <m:t>2</m:t>
                      </m:r>
                    </m:sub>
                  </m:sSub>
                </m:oMath>
              </a14:m>
              <a:r>
                <a:rPr lang="en-ZA" sz="1100">
                  <a:solidFill>
                    <a:schemeClr val="dk1"/>
                  </a:solidFill>
                  <a:effectLst/>
                  <a:latin typeface="+mn-lt"/>
                  <a:ea typeface="+mn-ea"/>
                  <a:cs typeface="+mn-cs"/>
                </a:rPr>
                <a:t> were the gradients from standard curves produced for RI vs PEG and citrate concentrations, respectively. See appendix A.3 for raw data.</a:t>
              </a:r>
            </a:p>
            <a:p>
              <a:endParaRPr lang="en-ZA" sz="1100"/>
            </a:p>
          </xdr:txBody>
        </xdr:sp>
      </mc:Choice>
      <mc:Fallback xmlns="">
        <xdr:sp macro="" textlink="">
          <xdr:nvSpPr>
            <xdr:cNvPr id="2" name="TextBox 1">
              <a:extLst>
                <a:ext uri="{FF2B5EF4-FFF2-40B4-BE49-F238E27FC236}">
                  <a16:creationId xmlns:a16="http://schemas.microsoft.com/office/drawing/2014/main" id="{F0B104C5-885C-48D2-8D4B-776B57D8972E}"/>
                </a:ext>
              </a:extLst>
            </xdr:cNvPr>
            <xdr:cNvSpPr txBox="1"/>
          </xdr:nvSpPr>
          <xdr:spPr>
            <a:xfrm>
              <a:off x="632172" y="179293"/>
              <a:ext cx="6525185" cy="45995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2"/>
              <a:r>
                <a:rPr lang="en-ZA" sz="1100" b="1">
                  <a:solidFill>
                    <a:schemeClr val="dk1"/>
                  </a:solidFill>
                  <a:effectLst/>
                  <a:latin typeface="+mn-lt"/>
                  <a:ea typeface="+mn-ea"/>
                  <a:cs typeface="+mn-cs"/>
                </a:rPr>
                <a:t>PEG – citrate phase diagrams</a:t>
              </a:r>
            </a:p>
            <a:p>
              <a:r>
                <a:rPr lang="en-ZA" sz="1100">
                  <a:solidFill>
                    <a:schemeClr val="dk1"/>
                  </a:solidFill>
                  <a:effectLst/>
                  <a:latin typeface="+mn-lt"/>
                  <a:ea typeface="+mn-ea"/>
                  <a:cs typeface="+mn-cs"/>
                </a:rPr>
                <a:t>PEG and citrate salts at pH 6 were used to produce the phase diagrams for this ATPS. These phase diagrams were produced using the method adapted from Glyk, Scheper and Beutel (2014). The different molecular weight PEGs were used to produce standard solutions. A refractometer was used to produce standard curves for refractive index against PEG concentration in wt%. The same was done for mixtures of citrate salts (sodium citrate and citric acid) at pH 6 of different concentrations in wt%. </a:t>
              </a:r>
            </a:p>
            <a:p>
              <a:r>
                <a:rPr lang="en-ZA" sz="1100">
                  <a:solidFill>
                    <a:schemeClr val="dk1"/>
                  </a:solidFill>
                  <a:effectLst/>
                  <a:latin typeface="+mn-lt"/>
                  <a:ea typeface="+mn-ea"/>
                  <a:cs typeface="+mn-cs"/>
                </a:rPr>
                <a:t>For the two-phase systems, different PEG and sodium citrate concentrations were mixed in 15 mL Falcon tubes and then adjusted to pH 6 with a 50 wt% citric acid solution. These were allowed to fully dissolve and were then shaken to mix the phases that had started to settle and separate. Once fully dissolved, the tubes were centrifuged at 4000 g for 30 minutes, producing two clear phases with a sharp interface. The volumes of each phase were then read off the graduations on the tubes for the volume ratios. </a:t>
              </a:r>
            </a:p>
            <a:p>
              <a:r>
                <a:rPr lang="en-ZA" sz="1100">
                  <a:solidFill>
                    <a:schemeClr val="dk1"/>
                  </a:solidFill>
                  <a:effectLst/>
                  <a:latin typeface="+mn-lt"/>
                  <a:ea typeface="+mn-ea"/>
                  <a:cs typeface="+mn-cs"/>
                </a:rPr>
                <a:t>About 5 mL were drawn up from the top and bottom phases by a Pasteur pipette for measuring the densities of the phases, and 0.5 mL of these were diluted by adding 1.5 mL of deionised water before the refractive indices were measured. Some were also diluted with water and weighed before freeze-drying, to determine the water content. Based on the refractive indices of the top and bottom phases, and their respective water concentrations from freeze-drying, the composition of each of the three components in each phase could be determined. This was done using the formula below, due to the additive nature of refractive indices (Glyk, Scheper and Beutel, 2014).</a:t>
              </a:r>
            </a:p>
            <a:p>
              <a:r>
                <a:rPr lang="en-ZA" sz="1100" i="0">
                  <a:solidFill>
                    <a:schemeClr val="dk1"/>
                  </a:solidFill>
                  <a:effectLst/>
                  <a:latin typeface="Cambria Math" panose="02040503050406030204" pitchFamily="18" charset="0"/>
                  <a:ea typeface="+mn-ea"/>
                  <a:cs typeface="+mn-cs"/>
                </a:rPr>
                <a:t>𝑛_𝐷=𝑎_0+𝑎_1 𝑤_𝑃𝐸𝐺+𝑎_2 𝑤_𝑐𝑖𝑡</a:t>
              </a:r>
              <a:r>
                <a:rPr lang="en-ZA" sz="1100">
                  <a:solidFill>
                    <a:schemeClr val="dk1"/>
                  </a:solidFill>
                  <a:effectLst/>
                  <a:latin typeface="+mn-lt"/>
                  <a:ea typeface="+mn-ea"/>
                  <a:cs typeface="+mn-cs"/>
                </a:rPr>
                <a:t>								Equation 1</a:t>
              </a:r>
            </a:p>
            <a:p>
              <a:r>
                <a:rPr lang="en-ZA" sz="1100">
                  <a:solidFill>
                    <a:schemeClr val="dk1"/>
                  </a:solidFill>
                  <a:effectLst/>
                  <a:latin typeface="+mn-lt"/>
                  <a:ea typeface="+mn-ea"/>
                  <a:cs typeface="+mn-cs"/>
                </a:rPr>
                <a:t>Where </a:t>
              </a:r>
              <a:r>
                <a:rPr lang="en-ZA" sz="1100" i="0">
                  <a:solidFill>
                    <a:schemeClr val="dk1"/>
                  </a:solidFill>
                  <a:effectLst/>
                  <a:latin typeface="Cambria Math" panose="02040503050406030204" pitchFamily="18" charset="0"/>
                  <a:ea typeface="+mn-ea"/>
                  <a:cs typeface="+mn-cs"/>
                </a:rPr>
                <a:t>𝑎_0</a:t>
              </a:r>
              <a:r>
                <a:rPr lang="en-ZA" sz="1100">
                  <a:solidFill>
                    <a:schemeClr val="dk1"/>
                  </a:solidFill>
                  <a:effectLst/>
                  <a:latin typeface="+mn-lt"/>
                  <a:ea typeface="+mn-ea"/>
                  <a:cs typeface="+mn-cs"/>
                </a:rPr>
                <a:t> is the RI for deionised water, and </a:t>
              </a:r>
              <a:r>
                <a:rPr lang="en-ZA" sz="1100" i="0">
                  <a:solidFill>
                    <a:schemeClr val="dk1"/>
                  </a:solidFill>
                  <a:effectLst/>
                  <a:latin typeface="Cambria Math" panose="02040503050406030204" pitchFamily="18" charset="0"/>
                  <a:ea typeface="+mn-ea"/>
                  <a:cs typeface="+mn-cs"/>
                </a:rPr>
                <a:t>𝑎_1  &amp; 𝑎_2</a:t>
              </a:r>
              <a:r>
                <a:rPr lang="en-ZA" sz="1100">
                  <a:solidFill>
                    <a:schemeClr val="dk1"/>
                  </a:solidFill>
                  <a:effectLst/>
                  <a:latin typeface="+mn-lt"/>
                  <a:ea typeface="+mn-ea"/>
                  <a:cs typeface="+mn-cs"/>
                </a:rPr>
                <a:t> were the gradients from standard curves produced for RI vs PEG and citrate concentrations, respectively. See appendix A.3 for raw data.</a:t>
              </a:r>
            </a:p>
            <a:p>
              <a:endParaRPr lang="en-ZA" sz="1100"/>
            </a:p>
          </xdr:txBody>
        </xdr:sp>
      </mc:Fallback>
    </mc:AlternateContent>
    <xdr:clientData/>
  </xdr:twoCellAnchor>
  <xdr:twoCellAnchor>
    <xdr:from>
      <xdr:col>1</xdr:col>
      <xdr:colOff>35379</xdr:colOff>
      <xdr:row>26</xdr:row>
      <xdr:rowOff>163829</xdr:rowOff>
    </xdr:from>
    <xdr:to>
      <xdr:col>11</xdr:col>
      <xdr:colOff>454480</xdr:colOff>
      <xdr:row>73</xdr:row>
      <xdr:rowOff>48986</xdr:rowOff>
    </xdr:to>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03EC4FF9-CAD6-4D63-8673-3027F3472A43}"/>
                </a:ext>
              </a:extLst>
            </xdr:cNvPr>
            <xdr:cNvSpPr txBox="1"/>
          </xdr:nvSpPr>
          <xdr:spPr>
            <a:xfrm>
              <a:off x="644979" y="4975315"/>
              <a:ext cx="6515101" cy="85828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2"/>
              <a:r>
                <a:rPr lang="en-ZA" sz="1100" b="1">
                  <a:solidFill>
                    <a:schemeClr val="dk1"/>
                  </a:solidFill>
                  <a:effectLst/>
                  <a:latin typeface="+mn-lt"/>
                  <a:ea typeface="+mn-ea"/>
                  <a:cs typeface="+mn-cs"/>
                </a:rPr>
                <a:t>Phase diagram calculations</a:t>
              </a:r>
            </a:p>
            <a:p>
              <a:pPr lvl="3"/>
              <a:r>
                <a:rPr lang="en-ZA" sz="1100" b="1" i="1">
                  <a:solidFill>
                    <a:schemeClr val="dk1"/>
                  </a:solidFill>
                  <a:effectLst/>
                  <a:latin typeface="+mn-lt"/>
                  <a:ea typeface="+mn-ea"/>
                  <a:cs typeface="+mn-cs"/>
                </a:rPr>
                <a:t>Tie lines</a:t>
              </a:r>
            </a:p>
            <a:p>
              <a:r>
                <a:rPr lang="en-ZA" sz="1100">
                  <a:solidFill>
                    <a:schemeClr val="dk1"/>
                  </a:solidFill>
                  <a:effectLst/>
                  <a:latin typeface="+mn-lt"/>
                  <a:ea typeface="+mn-ea"/>
                  <a:cs typeface="+mn-cs"/>
                </a:rPr>
                <a:t>The tie-lines were produced by drawing straight lines from the top-phase composition, through the initial mixture composition, to the bottom-phase composition. The tie-line slope (TLS) is usually constant, since tie-lines are approximately parallel in most phase diagrams, and the average was found for each of the phase compositions to make assumptions for novel mixtures. TLS was calculated using the equations below for the different ATPS. </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𝑇𝐿𝑆</m:t>
                  </m:r>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𝑡𝑜𝑝</m:t>
                      </m:r>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𝑏𝑜𝑡𝑡𝑜𝑚</m:t>
                      </m:r>
                      <m:r>
                        <a:rPr lang="en-ZA" sz="1100">
                          <a:solidFill>
                            <a:schemeClr val="dk1"/>
                          </a:solidFill>
                          <a:effectLst/>
                          <a:latin typeface="Cambria Math" panose="02040503050406030204" pitchFamily="18" charset="0"/>
                          <a:ea typeface="+mn-ea"/>
                          <a:cs typeface="+mn-cs"/>
                        </a:rPr>
                        <m:t>) </m:t>
                      </m:r>
                    </m:num>
                    <m:den>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den>
                  </m:f>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Δw</m:t>
                          </m:r>
                        </m:e>
                        <m:sub>
                          <m:r>
                            <m:rPr>
                              <m:sty m:val="p"/>
                            </m:rPr>
                            <a:rPr lang="en-ZA" sz="1100">
                              <a:solidFill>
                                <a:schemeClr val="dk1"/>
                              </a:solidFill>
                              <a:effectLst/>
                              <a:latin typeface="Cambria Math" panose="02040503050406030204" pitchFamily="18" charset="0"/>
                              <a:ea typeface="+mn-ea"/>
                              <a:cs typeface="+mn-cs"/>
                            </a:rPr>
                            <m:t>PEG</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Δw</m:t>
                          </m:r>
                        </m:e>
                        <m:sub>
                          <m:r>
                            <m:rPr>
                              <m:sty m:val="p"/>
                            </m:rPr>
                            <a:rPr lang="en-ZA" sz="1100">
                              <a:solidFill>
                                <a:schemeClr val="dk1"/>
                              </a:solidFill>
                              <a:effectLst/>
                              <a:latin typeface="Cambria Math" panose="02040503050406030204" pitchFamily="18" charset="0"/>
                              <a:ea typeface="+mn-ea"/>
                              <a:cs typeface="+mn-cs"/>
                            </a:rPr>
                            <m:t>MDX</m:t>
                          </m:r>
                        </m:sub>
                      </m:sSub>
                    </m:den>
                  </m:f>
                  <m:r>
                    <a:rPr lang="en-ZA" sz="1100">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						Equation 5 </a:t>
              </a:r>
            </a:p>
            <a:p>
              <a:r>
                <a:rPr lang="en-ZA" sz="1100">
                  <a:solidFill>
                    <a:schemeClr val="dk1"/>
                  </a:solidFill>
                  <a:effectLst/>
                  <a:latin typeface="+mn-lt"/>
                  <a:ea typeface="+mn-ea"/>
                  <a:cs typeface="+mn-cs"/>
                </a:rPr>
                <a:t>And:</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𝑇𝐿𝑆</m:t>
                  </m:r>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𝑡𝑜𝑝</m:t>
                      </m:r>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𝑏𝑜𝑡𝑡𝑜𝑚</m:t>
                      </m:r>
                      <m:r>
                        <a:rPr lang="en-ZA" sz="1100">
                          <a:solidFill>
                            <a:schemeClr val="dk1"/>
                          </a:solidFill>
                          <a:effectLst/>
                          <a:latin typeface="Cambria Math" panose="02040503050406030204" pitchFamily="18" charset="0"/>
                          <a:ea typeface="+mn-ea"/>
                          <a:cs typeface="+mn-cs"/>
                        </a:rPr>
                        <m:t>) </m:t>
                      </m:r>
                    </m:num>
                    <m:den>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𝑐𝑖𝑡𝑟𝑎𝑡𝑒</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𝑐𝑖𝑡𝑟𝑎𝑡𝑒</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den>
                  </m:f>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Δw</m:t>
                          </m:r>
                        </m:e>
                        <m:sub>
                          <m:r>
                            <m:rPr>
                              <m:sty m:val="p"/>
                            </m:rPr>
                            <a:rPr lang="en-ZA" sz="1100">
                              <a:solidFill>
                                <a:schemeClr val="dk1"/>
                              </a:solidFill>
                              <a:effectLst/>
                              <a:latin typeface="Cambria Math" panose="02040503050406030204" pitchFamily="18" charset="0"/>
                              <a:ea typeface="+mn-ea"/>
                              <a:cs typeface="+mn-cs"/>
                            </a:rPr>
                            <m:t>PEG</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Δw</m:t>
                          </m:r>
                        </m:e>
                        <m:sub>
                          <m:r>
                            <m:rPr>
                              <m:sty m:val="p"/>
                            </m:rPr>
                            <a:rPr lang="en-ZA" sz="1100">
                              <a:solidFill>
                                <a:schemeClr val="dk1"/>
                              </a:solidFill>
                              <a:effectLst/>
                              <a:latin typeface="Cambria Math" panose="02040503050406030204" pitchFamily="18" charset="0"/>
                              <a:ea typeface="+mn-ea"/>
                              <a:cs typeface="+mn-cs"/>
                            </a:rPr>
                            <m:t>citrate</m:t>
                          </m:r>
                        </m:sub>
                      </m:sSub>
                    </m:den>
                  </m:f>
                  <m:r>
                    <a:rPr lang="en-ZA" sz="1100">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						Equation 6 </a:t>
              </a:r>
            </a:p>
            <a:p>
              <a:r>
                <a:rPr lang="en-ZA" sz="1100">
                  <a:solidFill>
                    <a:schemeClr val="dk1"/>
                  </a:solidFill>
                  <a:effectLst/>
                  <a:latin typeface="+mn-lt"/>
                  <a:ea typeface="+mn-ea"/>
                  <a:cs typeface="+mn-cs"/>
                </a:rPr>
                <a:t>The tie-line length (TLL) was calculated using the compositions of the top and bottom phases of each ATPS, with a greater length showing that the compositions are further apart on the phase equilibrium curve. The TLL was found using the equation below.</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𝑇𝐿𝐿</m:t>
                  </m:r>
                  <m:r>
                    <a:rPr lang="en-ZA" sz="1100">
                      <a:solidFill>
                        <a:schemeClr val="dk1"/>
                      </a:solidFill>
                      <a:effectLst/>
                      <a:latin typeface="Cambria Math" panose="02040503050406030204" pitchFamily="18" charset="0"/>
                      <a:ea typeface="+mn-ea"/>
                      <a:cs typeface="+mn-cs"/>
                    </a:rPr>
                    <m:t>=</m:t>
                  </m:r>
                  <m:rad>
                    <m:radPr>
                      <m:degHide m:val="on"/>
                      <m:ctrlPr>
                        <a:rPr lang="en-ZA" sz="1100" i="1">
                          <a:solidFill>
                            <a:schemeClr val="dk1"/>
                          </a:solidFill>
                          <a:effectLst/>
                          <a:latin typeface="Cambria Math" panose="02040503050406030204" pitchFamily="18" charset="0"/>
                          <a:ea typeface="+mn-ea"/>
                          <a:cs typeface="+mn-cs"/>
                        </a:rPr>
                      </m:ctrlPr>
                    </m:radPr>
                    <m:deg/>
                    <m:e>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r>
                        <a:rPr lang="en-ZA"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e>
                  </m:rad>
                  <m:r>
                    <a:rPr lang="en-ZA" sz="1100">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		Equation 7</a:t>
              </a:r>
            </a:p>
            <a:p>
              <a:r>
                <a:rPr lang="en-ZA" sz="1100">
                  <a:solidFill>
                    <a:schemeClr val="dk1"/>
                  </a:solidFill>
                  <a:effectLst/>
                  <a:latin typeface="+mn-lt"/>
                  <a:ea typeface="+mn-ea"/>
                  <a:cs typeface="+mn-cs"/>
                </a:rPr>
                <a:t>And:</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𝑇𝐿𝐿</m:t>
                  </m:r>
                  <m:r>
                    <a:rPr lang="en-ZA" sz="1100">
                      <a:solidFill>
                        <a:schemeClr val="dk1"/>
                      </a:solidFill>
                      <a:effectLst/>
                      <a:latin typeface="Cambria Math" panose="02040503050406030204" pitchFamily="18" charset="0"/>
                      <a:ea typeface="+mn-ea"/>
                      <a:cs typeface="+mn-cs"/>
                    </a:rPr>
                    <m:t>=</m:t>
                  </m:r>
                  <m:rad>
                    <m:radPr>
                      <m:degHide m:val="on"/>
                      <m:ctrlPr>
                        <a:rPr lang="en-ZA" sz="1100" i="1">
                          <a:solidFill>
                            <a:schemeClr val="dk1"/>
                          </a:solidFill>
                          <a:effectLst/>
                          <a:latin typeface="Cambria Math" panose="02040503050406030204" pitchFamily="18" charset="0"/>
                          <a:ea typeface="+mn-ea"/>
                          <a:cs typeface="+mn-cs"/>
                        </a:rPr>
                      </m:ctrlPr>
                    </m:radPr>
                    <m:deg/>
                    <m:e>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r>
                        <a:rPr lang="en-ZA"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𝑐𝑖𝑡𝑟𝑎𝑡𝑒</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𝑐𝑖𝑡𝑟𝑎𝑡𝑒</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e>
                  </m:rad>
                  <m:r>
                    <a:rPr lang="en-ZA" sz="1100">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	Equation 8</a:t>
              </a:r>
            </a:p>
            <a:p>
              <a:pPr lvl="3"/>
              <a:r>
                <a:rPr lang="en-ZA" sz="1100" b="1" i="1">
                  <a:solidFill>
                    <a:schemeClr val="dk1"/>
                  </a:solidFill>
                  <a:effectLst/>
                  <a:latin typeface="+mn-lt"/>
                  <a:ea typeface="+mn-ea"/>
                  <a:cs typeface="+mn-cs"/>
                </a:rPr>
                <a:t>Phase volume ratios</a:t>
              </a:r>
            </a:p>
            <a:p>
              <a:r>
                <a:rPr lang="en-ZA" sz="1100">
                  <a:solidFill>
                    <a:schemeClr val="dk1"/>
                  </a:solidFill>
                  <a:effectLst/>
                  <a:latin typeface="+mn-lt"/>
                  <a:ea typeface="+mn-ea"/>
                  <a:cs typeface="+mn-cs"/>
                </a:rPr>
                <a:t>The phase volume ratios (V</a:t>
              </a:r>
              <a:r>
                <a:rPr lang="en-ZA" sz="1100" baseline="-25000">
                  <a:solidFill>
                    <a:schemeClr val="dk1"/>
                  </a:solidFill>
                  <a:effectLst/>
                  <a:latin typeface="+mn-lt"/>
                  <a:ea typeface="+mn-ea"/>
                  <a:cs typeface="+mn-cs"/>
                </a:rPr>
                <a:t>R</a:t>
              </a:r>
              <a:r>
                <a:rPr lang="en-ZA" sz="1100">
                  <a:solidFill>
                    <a:schemeClr val="dk1"/>
                  </a:solidFill>
                  <a:effectLst/>
                  <a:latin typeface="+mn-lt"/>
                  <a:ea typeface="+mn-ea"/>
                  <a:cs typeface="+mn-cs"/>
                </a:rPr>
                <a:t>) were read off graduations in the falcon tubes used after centrifuging to separate the phases. The phase volume ratios could also be estimated by the inverse lever rule, using the tie-lines and phase equilibrium curves obtained, and then compared to the phase volume ratios observed visually. The volume ratio is defined as the ratio of the volume of the top phase to the volume of the bottom phase in a given ATPS.</a:t>
              </a:r>
            </a:p>
            <a:p>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𝑉</m:t>
                      </m:r>
                    </m:e>
                    <m:sub>
                      <m:r>
                        <a:rPr lang="en-ZA" sz="1100" i="1">
                          <a:solidFill>
                            <a:schemeClr val="dk1"/>
                          </a:solidFill>
                          <a:effectLst/>
                          <a:latin typeface="Cambria Math" panose="02040503050406030204" pitchFamily="18" charset="0"/>
                          <a:ea typeface="+mn-ea"/>
                          <a:cs typeface="+mn-cs"/>
                        </a:rPr>
                        <m:t>𝑅</m:t>
                      </m:r>
                    </m:sub>
                  </m:sSub>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V</m:t>
                          </m:r>
                        </m:e>
                        <m:sub>
                          <m:r>
                            <m:rPr>
                              <m:sty m:val="p"/>
                            </m:rPr>
                            <a:rPr lang="en-ZA" sz="1100">
                              <a:solidFill>
                                <a:schemeClr val="dk1"/>
                              </a:solidFill>
                              <a:effectLst/>
                              <a:latin typeface="Cambria Math" panose="02040503050406030204" pitchFamily="18" charset="0"/>
                              <a:ea typeface="+mn-ea"/>
                              <a:cs typeface="+mn-cs"/>
                            </a:rPr>
                            <m:t>top</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V</m:t>
                          </m:r>
                        </m:e>
                        <m:sub>
                          <m:r>
                            <m:rPr>
                              <m:sty m:val="p"/>
                            </m:rPr>
                            <a:rPr lang="en-ZA" sz="1100">
                              <a:solidFill>
                                <a:schemeClr val="dk1"/>
                              </a:solidFill>
                              <a:effectLst/>
                              <a:latin typeface="Cambria Math" panose="02040503050406030204" pitchFamily="18" charset="0"/>
                              <a:ea typeface="+mn-ea"/>
                              <a:cs typeface="+mn-cs"/>
                            </a:rPr>
                            <m:t>bottom</m:t>
                          </m:r>
                        </m:sub>
                      </m:sSub>
                    </m:den>
                  </m:f>
                </m:oMath>
              </a14:m>
              <a:r>
                <a:rPr lang="en-ZA" sz="1100">
                  <a:solidFill>
                    <a:schemeClr val="dk1"/>
                  </a:solidFill>
                  <a:effectLst/>
                  <a:latin typeface="+mn-lt"/>
                  <a:ea typeface="+mn-ea"/>
                  <a:cs typeface="+mn-cs"/>
                </a:rPr>
                <a:t>										Equation 9</a:t>
              </a:r>
            </a:p>
            <a:p>
              <a:r>
                <a:rPr lang="en-ZA" sz="1100">
                  <a:solidFill>
                    <a:schemeClr val="dk1"/>
                  </a:solidFill>
                  <a:effectLst/>
                  <a:latin typeface="+mn-lt"/>
                  <a:ea typeface="+mn-ea"/>
                  <a:cs typeface="+mn-cs"/>
                </a:rPr>
                <a:t>The inverse lever rule can be used to estimate the volume ratio, knowing the starting, top phase and bottom phase compositions in an ATPS. 𝑇𝐿𝐿=</a:t>
              </a:r>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 (</m:t>
                      </m:r>
                      <m:r>
                        <m:rPr>
                          <m:sty m:val="p"/>
                        </m:rPr>
                        <a:rPr lang="en-ZA" sz="1100">
                          <a:solidFill>
                            <a:schemeClr val="dk1"/>
                          </a:solidFill>
                          <a:effectLst/>
                          <a:latin typeface="Cambria Math" panose="02040503050406030204" pitchFamily="18" charset="0"/>
                          <a:ea typeface="+mn-ea"/>
                          <a:cs typeface="+mn-cs"/>
                        </a:rPr>
                        <m:t>w</m:t>
                      </m:r>
                    </m:e>
                    <m:sub>
                      <m:r>
                        <m:rPr>
                          <m:sty m:val="p"/>
                        </m:rPr>
                        <a:rPr lang="en-ZA" sz="1100">
                          <a:solidFill>
                            <a:schemeClr val="dk1"/>
                          </a:solidFill>
                          <a:effectLst/>
                          <a:latin typeface="Cambria Math" panose="02040503050406030204" pitchFamily="18" charset="0"/>
                          <a:ea typeface="+mn-ea"/>
                          <a:cs typeface="+mn-cs"/>
                        </a:rPr>
                        <m:t>PEG</m:t>
                      </m:r>
                    </m:sub>
                  </m:sSub>
                  <m:d>
                    <m:dPr>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top</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w</m:t>
                      </m:r>
                    </m:e>
                    <m:sub>
                      <m:r>
                        <m:rPr>
                          <m:sty m:val="p"/>
                        </m:rPr>
                        <a:rPr lang="en-ZA" sz="1100">
                          <a:solidFill>
                            <a:schemeClr val="dk1"/>
                          </a:solidFill>
                          <a:effectLst/>
                          <a:latin typeface="Cambria Math" panose="02040503050406030204" pitchFamily="18" charset="0"/>
                          <a:ea typeface="+mn-ea"/>
                          <a:cs typeface="+mn-cs"/>
                        </a:rPr>
                        <m:t>PEG</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bottom</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r>
                    <a:rPr lang="en-ZA"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w</m:t>
                      </m:r>
                    </m:e>
                    <m:sub>
                      <m:r>
                        <m:rPr>
                          <m:sty m:val="p"/>
                        </m:rPr>
                        <a:rPr lang="en-ZA" sz="1100">
                          <a:solidFill>
                            <a:schemeClr val="dk1"/>
                          </a:solidFill>
                          <a:effectLst/>
                          <a:latin typeface="Cambria Math" panose="02040503050406030204" pitchFamily="18" charset="0"/>
                          <a:ea typeface="+mn-ea"/>
                          <a:cs typeface="+mn-cs"/>
                        </a:rPr>
                        <m:t>MDX</m:t>
                      </m:r>
                    </m:sub>
                  </m:sSub>
                  <m:d>
                    <m:dPr>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top</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w</m:t>
                      </m:r>
                    </m:e>
                    <m:sub>
                      <m:r>
                        <m:rPr>
                          <m:sty m:val="p"/>
                        </m:rPr>
                        <a:rPr lang="en-ZA" sz="1100">
                          <a:solidFill>
                            <a:schemeClr val="dk1"/>
                          </a:solidFill>
                          <a:effectLst/>
                          <a:latin typeface="Cambria Math" panose="02040503050406030204" pitchFamily="18" charset="0"/>
                          <a:ea typeface="+mn-ea"/>
                          <a:cs typeface="+mn-cs"/>
                        </a:rPr>
                        <m:t>MDX</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bottom</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r>
                    <a:rPr lang="en-ZA" sz="1100">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Equation 7 was adapted as an example of the distance formula for calculated the required lengths in the equation below.</a:t>
              </a:r>
            </a:p>
            <a:p>
              <a14:m>
                <m:oMath xmlns:m="http://schemas.openxmlformats.org/officeDocument/2006/math">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V</m:t>
                          </m:r>
                        </m:e>
                        <m:sub>
                          <m:r>
                            <m:rPr>
                              <m:sty m:val="p"/>
                            </m:rPr>
                            <a:rPr lang="en-ZA" sz="1100">
                              <a:solidFill>
                                <a:schemeClr val="dk1"/>
                              </a:solidFill>
                              <a:effectLst/>
                              <a:latin typeface="Cambria Math" panose="02040503050406030204" pitchFamily="18" charset="0"/>
                              <a:ea typeface="+mn-ea"/>
                              <a:cs typeface="+mn-cs"/>
                            </a:rPr>
                            <m:t>top</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V</m:t>
                          </m:r>
                        </m:e>
                        <m:sub>
                          <m:r>
                            <m:rPr>
                              <m:sty m:val="p"/>
                            </m:rPr>
                            <a:rPr lang="en-ZA" sz="1100">
                              <a:solidFill>
                                <a:schemeClr val="dk1"/>
                              </a:solidFill>
                              <a:effectLst/>
                              <a:latin typeface="Cambria Math" panose="02040503050406030204" pitchFamily="18" charset="0"/>
                              <a:ea typeface="+mn-ea"/>
                              <a:cs typeface="+mn-cs"/>
                            </a:rPr>
                            <m:t>bottom</m:t>
                          </m:r>
                        </m:sub>
                      </m:sSub>
                    </m:den>
                  </m:f>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r>
                        <a:rPr lang="en-ZA" sz="1100" i="1">
                          <a:solidFill>
                            <a:schemeClr val="dk1"/>
                          </a:solidFill>
                          <a:effectLst/>
                          <a:latin typeface="Cambria Math" panose="02040503050406030204" pitchFamily="18" charset="0"/>
                          <a:ea typeface="+mn-ea"/>
                          <a:cs typeface="+mn-cs"/>
                        </a:rPr>
                        <m:t>𝐿𝑒𝑛𝑔𝑡h</m:t>
                      </m:r>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𝑠𝑡𝑎𝑟𝑡𝑖𝑛𝑔</m:t>
                          </m:r>
                          <m:r>
                            <a:rPr lang="en-ZA" sz="1100" i="1">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𝑏𝑜𝑡𝑡𝑜𝑚</m:t>
                          </m:r>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𝑝h𝑎𝑠𝑒</m:t>
                          </m:r>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𝑐𝑜𝑚𝑝𝑜𝑠𝑖𝑡𝑖𝑜𝑛</m:t>
                          </m:r>
                        </m:e>
                      </m:d>
                    </m:num>
                    <m:den>
                      <m:r>
                        <a:rPr lang="en-ZA" sz="1100" i="1">
                          <a:solidFill>
                            <a:schemeClr val="dk1"/>
                          </a:solidFill>
                          <a:effectLst/>
                          <a:latin typeface="Cambria Math" panose="02040503050406030204" pitchFamily="18" charset="0"/>
                          <a:ea typeface="+mn-ea"/>
                          <a:cs typeface="+mn-cs"/>
                        </a:rPr>
                        <m:t>𝐿𝑒𝑛𝑔𝑡h</m:t>
                      </m:r>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𝑠𝑡𝑎𝑟𝑡𝑖𝑛𝑔</m:t>
                      </m:r>
                      <m:r>
                        <a:rPr lang="en-ZA" sz="1100" i="1">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𝑡𝑜𝑝</m:t>
                      </m:r>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𝑝h𝑎𝑠𝑒</m:t>
                      </m:r>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𝑐𝑜𝑚𝑝𝑜𝑠𝑖𝑡𝑖𝑜𝑛</m:t>
                      </m:r>
                      <m:r>
                        <a:rPr lang="en-ZA" sz="1100">
                          <a:solidFill>
                            <a:schemeClr val="dk1"/>
                          </a:solidFill>
                          <a:effectLst/>
                          <a:latin typeface="Cambria Math" panose="02040503050406030204" pitchFamily="18" charset="0"/>
                          <a:ea typeface="+mn-ea"/>
                          <a:cs typeface="+mn-cs"/>
                        </a:rPr>
                        <m:t>)</m:t>
                      </m:r>
                    </m:den>
                  </m:f>
                </m:oMath>
              </a14:m>
              <a:r>
                <a:rPr lang="en-ZA" sz="1100">
                  <a:solidFill>
                    <a:schemeClr val="dk1"/>
                  </a:solidFill>
                  <a:effectLst/>
                  <a:latin typeface="+mn-lt"/>
                  <a:ea typeface="+mn-ea"/>
                  <a:cs typeface="+mn-cs"/>
                </a:rPr>
                <a:t>					Equation 10					</a:t>
              </a:r>
            </a:p>
            <a:p>
              <a:pPr lvl="3"/>
              <a:r>
                <a:rPr lang="en-ZA" sz="1100" b="1" i="1">
                  <a:solidFill>
                    <a:schemeClr val="dk1"/>
                  </a:solidFill>
                  <a:effectLst/>
                  <a:latin typeface="+mn-lt"/>
                  <a:ea typeface="+mn-ea"/>
                  <a:cs typeface="+mn-cs"/>
                </a:rPr>
                <a:t>Phase densities</a:t>
              </a:r>
            </a:p>
            <a:p>
              <a:r>
                <a:rPr lang="en-ZA" sz="1100">
                  <a:solidFill>
                    <a:schemeClr val="dk1"/>
                  </a:solidFill>
                  <a:effectLst/>
                  <a:latin typeface="+mn-lt"/>
                  <a:ea typeface="+mn-ea"/>
                  <a:cs typeface="+mn-cs"/>
                </a:rPr>
                <a:t>The phase densities were determined by pipetting out 0.5 mL of the phase solutions into Eppendorf microcentrifuge tubes and weighing the volumes on a fine balance (Ohaus Adventurer Analytical). Experiments were carried out in triplicate.</a:t>
              </a:r>
            </a:p>
            <a:p>
              <a:pPr lvl="3"/>
              <a:r>
                <a:rPr lang="en-ZA" sz="1100" b="1" i="1">
                  <a:solidFill>
                    <a:schemeClr val="dk1"/>
                  </a:solidFill>
                  <a:effectLst/>
                  <a:latin typeface="+mn-lt"/>
                  <a:ea typeface="+mn-ea"/>
                  <a:cs typeface="+mn-cs"/>
                </a:rPr>
                <a:t>Experimental data fitting</a:t>
              </a:r>
            </a:p>
            <a:p>
              <a:r>
                <a:rPr lang="en-ZA" sz="1100">
                  <a:solidFill>
                    <a:schemeClr val="dk1"/>
                  </a:solidFill>
                  <a:effectLst/>
                  <a:latin typeface="+mn-lt"/>
                  <a:ea typeface="+mn-ea"/>
                  <a:cs typeface="+mn-cs"/>
                </a:rPr>
                <a:t>Sigmoidal equations have been proposed for modelling the equilibrium curves for aqueous two-phase systems (Hu </a:t>
              </a:r>
              <a:r>
                <a:rPr lang="en-ZA" sz="1100" i="1">
                  <a:solidFill>
                    <a:schemeClr val="dk1"/>
                  </a:solidFill>
                  <a:effectLst/>
                  <a:latin typeface="+mn-lt"/>
                  <a:ea typeface="+mn-ea"/>
                  <a:cs typeface="+mn-cs"/>
                </a:rPr>
                <a:t>et al.</a:t>
              </a:r>
              <a:r>
                <a:rPr lang="en-ZA" sz="1100">
                  <a:solidFill>
                    <a:schemeClr val="dk1"/>
                  </a:solidFill>
                  <a:effectLst/>
                  <a:latin typeface="+mn-lt"/>
                  <a:ea typeface="+mn-ea"/>
                  <a:cs typeface="+mn-cs"/>
                </a:rPr>
                <a:t>, 2004; Glyk, Scheper and Beutel, 2014). The equation below was used to fit the data obtained, with the results being evaluated visually since it is a non-linear relationship:</a:t>
              </a:r>
            </a:p>
            <a:p>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 </m:t>
                  </m:r>
                  <m:r>
                    <m:rPr>
                      <m:sty m:val="p"/>
                    </m:rPr>
                    <a:rPr lang="en-ZA" sz="1100">
                      <a:solidFill>
                        <a:schemeClr val="dk1"/>
                      </a:solidFill>
                      <a:effectLst/>
                      <a:latin typeface="Cambria Math" panose="02040503050406030204" pitchFamily="18" charset="0"/>
                      <a:ea typeface="+mn-ea"/>
                      <a:cs typeface="+mn-cs"/>
                    </a:rPr>
                    <m:t>a</m:t>
                  </m:r>
                  <m:r>
                    <a:rPr lang="en-ZA" sz="1100">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b</m:t>
                  </m:r>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e>
                      </m:d>
                    </m:e>
                    <m:sup>
                      <m:r>
                        <a:rPr lang="en-ZA" sz="1100">
                          <a:solidFill>
                            <a:schemeClr val="dk1"/>
                          </a:solidFill>
                          <a:effectLst/>
                          <a:latin typeface="Cambria Math" panose="02040503050406030204" pitchFamily="18" charset="0"/>
                          <a:ea typeface="+mn-ea"/>
                          <a:cs typeface="+mn-cs"/>
                        </a:rPr>
                        <m:t>0.5</m:t>
                      </m:r>
                    </m:sup>
                  </m:sSup>
                  <m:r>
                    <a:rPr lang="en-ZA" sz="1100">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c</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r>
                    <a:rPr lang="en-ZA" sz="1100">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d</m:t>
                  </m:r>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e>
                      </m:d>
                    </m:e>
                    <m:sup>
                      <m:r>
                        <a:rPr lang="en-ZA" sz="1100" i="1">
                          <a:solidFill>
                            <a:schemeClr val="dk1"/>
                          </a:solidFill>
                          <a:effectLst/>
                          <a:latin typeface="Cambria Math" panose="02040503050406030204" pitchFamily="18" charset="0"/>
                          <a:ea typeface="+mn-ea"/>
                          <a:cs typeface="+mn-cs"/>
                        </a:rPr>
                        <m:t>2</m:t>
                      </m:r>
                    </m:sup>
                  </m:sSup>
                </m:oMath>
              </a14:m>
              <a:r>
                <a:rPr lang="en-ZA" sz="1100">
                  <a:solidFill>
                    <a:schemeClr val="dk1"/>
                  </a:solidFill>
                  <a:effectLst/>
                  <a:latin typeface="+mn-lt"/>
                  <a:ea typeface="+mn-ea"/>
                  <a:cs typeface="+mn-cs"/>
                </a:rPr>
                <a:t>					Equation 11</a:t>
              </a:r>
            </a:p>
            <a:p>
              <a:r>
                <a:rPr lang="en-ZA" sz="1100">
                  <a:solidFill>
                    <a:schemeClr val="dk1"/>
                  </a:solidFill>
                  <a:effectLst/>
                  <a:latin typeface="+mn-lt"/>
                  <a:ea typeface="+mn-ea"/>
                  <a:cs typeface="+mn-cs"/>
                </a:rPr>
                <a:t>And:</a:t>
              </a:r>
            </a:p>
            <a:p>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𝑐𝑖𝑡𝑟𝑎𝑡𝑒</m:t>
                      </m:r>
                    </m:sub>
                  </m:sSub>
                  <m:r>
                    <a:rPr lang="en-ZA" sz="1100">
                      <a:solidFill>
                        <a:schemeClr val="dk1"/>
                      </a:solidFill>
                      <a:effectLst/>
                      <a:latin typeface="Cambria Math" panose="02040503050406030204" pitchFamily="18" charset="0"/>
                      <a:ea typeface="+mn-ea"/>
                      <a:cs typeface="+mn-cs"/>
                    </a:rPr>
                    <m:t>= </m:t>
                  </m:r>
                  <m:r>
                    <m:rPr>
                      <m:sty m:val="p"/>
                    </m:rPr>
                    <a:rPr lang="en-ZA" sz="1100">
                      <a:solidFill>
                        <a:schemeClr val="dk1"/>
                      </a:solidFill>
                      <a:effectLst/>
                      <a:latin typeface="Cambria Math" panose="02040503050406030204" pitchFamily="18" charset="0"/>
                      <a:ea typeface="+mn-ea"/>
                      <a:cs typeface="+mn-cs"/>
                    </a:rPr>
                    <m:t>a</m:t>
                  </m:r>
                  <m:r>
                    <a:rPr lang="en-ZA" sz="1100">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b</m:t>
                  </m:r>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e>
                      </m:d>
                    </m:e>
                    <m:sup>
                      <m:r>
                        <a:rPr lang="en-ZA" sz="1100">
                          <a:solidFill>
                            <a:schemeClr val="dk1"/>
                          </a:solidFill>
                          <a:effectLst/>
                          <a:latin typeface="Cambria Math" panose="02040503050406030204" pitchFamily="18" charset="0"/>
                          <a:ea typeface="+mn-ea"/>
                          <a:cs typeface="+mn-cs"/>
                        </a:rPr>
                        <m:t>0.5</m:t>
                      </m:r>
                    </m:sup>
                  </m:sSup>
                  <m:r>
                    <a:rPr lang="en-ZA" sz="1100">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c</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d</m:t>
                  </m:r>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e>
                      </m:d>
                    </m:e>
                    <m:sup>
                      <m:r>
                        <a:rPr lang="en-ZA" sz="1100" i="1">
                          <a:solidFill>
                            <a:schemeClr val="dk1"/>
                          </a:solidFill>
                          <a:effectLst/>
                          <a:latin typeface="Cambria Math" panose="02040503050406030204" pitchFamily="18" charset="0"/>
                          <a:ea typeface="+mn-ea"/>
                          <a:cs typeface="+mn-cs"/>
                        </a:rPr>
                        <m:t>2</m:t>
                      </m:r>
                    </m:sup>
                  </m:sSup>
                </m:oMath>
              </a14:m>
              <a:r>
                <a:rPr lang="en-ZA" sz="1100">
                  <a:solidFill>
                    <a:schemeClr val="dk1"/>
                  </a:solidFill>
                  <a:effectLst/>
                  <a:latin typeface="+mn-lt"/>
                  <a:ea typeface="+mn-ea"/>
                  <a:cs typeface="+mn-cs"/>
                </a:rPr>
                <a:t>					Equation 12</a:t>
              </a:r>
            </a:p>
            <a:p>
              <a:r>
                <a:rPr lang="en-ZA" sz="1100">
                  <a:solidFill>
                    <a:schemeClr val="dk1"/>
                  </a:solidFill>
                  <a:effectLst/>
                  <a:latin typeface="+mn-lt"/>
                  <a:ea typeface="+mn-ea"/>
                  <a:cs typeface="+mn-cs"/>
                </a:rPr>
                <a:t>Where </a:t>
              </a:r>
              <a14:m>
                <m:oMath xmlns:m="http://schemas.openxmlformats.org/officeDocument/2006/math">
                  <m:r>
                    <a:rPr lang="en-ZA" sz="1100" i="1">
                      <a:solidFill>
                        <a:schemeClr val="dk1"/>
                      </a:solidFill>
                      <a:effectLst/>
                      <a:latin typeface="Cambria Math" panose="02040503050406030204" pitchFamily="18" charset="0"/>
                      <a:ea typeface="+mn-ea"/>
                      <a:cs typeface="+mn-cs"/>
                    </a:rPr>
                    <m:t>𝑎</m:t>
                  </m:r>
                  <m:r>
                    <a:rPr lang="en-ZA" sz="1100" i="1">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𝑏</m:t>
                  </m:r>
                  <m:r>
                    <a:rPr lang="en-ZA" sz="1100" i="1">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𝑐</m:t>
                  </m:r>
                </m:oMath>
              </a14:m>
              <a:r>
                <a:rPr lang="en-ZA" sz="1100">
                  <a:solidFill>
                    <a:schemeClr val="dk1"/>
                  </a:solidFill>
                  <a:effectLst/>
                  <a:latin typeface="+mn-lt"/>
                  <a:ea typeface="+mn-ea"/>
                  <a:cs typeface="+mn-cs"/>
                </a:rPr>
                <a:t> and </a:t>
              </a:r>
              <a14:m>
                <m:oMath xmlns:m="http://schemas.openxmlformats.org/officeDocument/2006/math">
                  <m:r>
                    <a:rPr lang="en-ZA" sz="1100" i="1">
                      <a:solidFill>
                        <a:schemeClr val="dk1"/>
                      </a:solidFill>
                      <a:effectLst/>
                      <a:latin typeface="Cambria Math" panose="02040503050406030204" pitchFamily="18" charset="0"/>
                      <a:ea typeface="+mn-ea"/>
                      <a:cs typeface="+mn-cs"/>
                    </a:rPr>
                    <m:t>𝑑</m:t>
                  </m:r>
                </m:oMath>
              </a14:m>
              <a:r>
                <a:rPr lang="en-ZA" sz="1100">
                  <a:solidFill>
                    <a:schemeClr val="dk1"/>
                  </a:solidFill>
                  <a:effectLst/>
                  <a:latin typeface="+mn-lt"/>
                  <a:ea typeface="+mn-ea"/>
                  <a:cs typeface="+mn-cs"/>
                </a:rPr>
                <a:t> are fit parameters. </a:t>
              </a:r>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oMath>
              </a14:m>
              <a:r>
                <a:rPr lang="en-ZA" sz="1100">
                  <a:solidFill>
                    <a:schemeClr val="dk1"/>
                  </a:solidFill>
                  <a:effectLst/>
                  <a:latin typeface="+mn-lt"/>
                  <a:ea typeface="+mn-ea"/>
                  <a:cs typeface="+mn-cs"/>
                </a:rPr>
                <a:t> is the concentration of MDX in wt % (where MDX is interchangeable with PEG and citrate).</a:t>
              </a:r>
            </a:p>
            <a:p>
              <a:endParaRPr lang="en-ZA" sz="1100"/>
            </a:p>
          </xdr:txBody>
        </xdr:sp>
      </mc:Choice>
      <mc:Fallback xmlns="">
        <xdr:sp macro="" textlink="">
          <xdr:nvSpPr>
            <xdr:cNvPr id="3" name="TextBox 2">
              <a:extLst>
                <a:ext uri="{FF2B5EF4-FFF2-40B4-BE49-F238E27FC236}">
                  <a16:creationId xmlns:a16="http://schemas.microsoft.com/office/drawing/2014/main" id="{03EC4FF9-CAD6-4D63-8673-3027F3472A43}"/>
                </a:ext>
              </a:extLst>
            </xdr:cNvPr>
            <xdr:cNvSpPr txBox="1"/>
          </xdr:nvSpPr>
          <xdr:spPr>
            <a:xfrm>
              <a:off x="644979" y="4975315"/>
              <a:ext cx="6515101" cy="85828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2"/>
              <a:r>
                <a:rPr lang="en-ZA" sz="1100" b="1">
                  <a:solidFill>
                    <a:schemeClr val="dk1"/>
                  </a:solidFill>
                  <a:effectLst/>
                  <a:latin typeface="+mn-lt"/>
                  <a:ea typeface="+mn-ea"/>
                  <a:cs typeface="+mn-cs"/>
                </a:rPr>
                <a:t>Phase diagram calculations</a:t>
              </a:r>
            </a:p>
            <a:p>
              <a:pPr lvl="3"/>
              <a:r>
                <a:rPr lang="en-ZA" sz="1100" b="1" i="1">
                  <a:solidFill>
                    <a:schemeClr val="dk1"/>
                  </a:solidFill>
                  <a:effectLst/>
                  <a:latin typeface="+mn-lt"/>
                  <a:ea typeface="+mn-ea"/>
                  <a:cs typeface="+mn-cs"/>
                </a:rPr>
                <a:t>Tie lines</a:t>
              </a:r>
            </a:p>
            <a:p>
              <a:r>
                <a:rPr lang="en-ZA" sz="1100">
                  <a:solidFill>
                    <a:schemeClr val="dk1"/>
                  </a:solidFill>
                  <a:effectLst/>
                  <a:latin typeface="+mn-lt"/>
                  <a:ea typeface="+mn-ea"/>
                  <a:cs typeface="+mn-cs"/>
                </a:rPr>
                <a:t>The tie-lines were produced by drawing straight lines from the top-phase composition, through the initial mixture composition, to the bottom-phase composition. The tie-line slope (TLS) is usually constant, since tie-lines are approximately parallel in most phase diagrams, and the average was found for each of the phase compositions to make assumptions for novel mixtures. TLS was calculated using the equations below for the different ATPS. </a:t>
              </a:r>
            </a:p>
            <a:p>
              <a:r>
                <a:rPr lang="en-ZA" sz="1100" i="0">
                  <a:solidFill>
                    <a:schemeClr val="dk1"/>
                  </a:solidFill>
                  <a:effectLst/>
                  <a:latin typeface="Cambria Math" panose="02040503050406030204" pitchFamily="18" charset="0"/>
                  <a:ea typeface="+mn-ea"/>
                  <a:cs typeface="+mn-cs"/>
                </a:rPr>
                <a:t>𝑇𝐿𝑆=(𝑤_𝑃𝐸𝐺 (𝑡𝑜𝑝)−𝑤_𝑃𝐸𝐺 (𝑏𝑜𝑡𝑡𝑜𝑚) )/(𝑤_𝑀𝐷𝑋 (𝑡𝑜𝑝)−𝑤_𝑀𝐷𝑋 (𝑏𝑜𝑡𝑡𝑜𝑚) )=〖Δw〗_PEG/〖Δw〗_MDX   </a:t>
              </a:r>
              <a:r>
                <a:rPr lang="en-ZA" sz="1100">
                  <a:solidFill>
                    <a:schemeClr val="dk1"/>
                  </a:solidFill>
                  <a:effectLst/>
                  <a:latin typeface="+mn-lt"/>
                  <a:ea typeface="+mn-ea"/>
                  <a:cs typeface="+mn-cs"/>
                </a:rPr>
                <a:t>						Equation 5 </a:t>
              </a:r>
            </a:p>
            <a:p>
              <a:r>
                <a:rPr lang="en-ZA" sz="1100">
                  <a:solidFill>
                    <a:schemeClr val="dk1"/>
                  </a:solidFill>
                  <a:effectLst/>
                  <a:latin typeface="+mn-lt"/>
                  <a:ea typeface="+mn-ea"/>
                  <a:cs typeface="+mn-cs"/>
                </a:rPr>
                <a:t>And:</a:t>
              </a:r>
            </a:p>
            <a:p>
              <a:r>
                <a:rPr lang="en-ZA" sz="1100" i="0">
                  <a:solidFill>
                    <a:schemeClr val="dk1"/>
                  </a:solidFill>
                  <a:effectLst/>
                  <a:latin typeface="Cambria Math" panose="02040503050406030204" pitchFamily="18" charset="0"/>
                  <a:ea typeface="+mn-ea"/>
                  <a:cs typeface="+mn-cs"/>
                </a:rPr>
                <a:t>𝑇𝐿𝑆=(𝑤_𝑃𝐸𝐺 (𝑡𝑜𝑝)−𝑤_𝑃𝐸𝐺 (𝑏𝑜𝑡𝑡𝑜𝑚) )/(𝑤_𝑐𝑖𝑡𝑟𝑎𝑡𝑒 (𝑡𝑜𝑝)−𝑤_𝑐𝑖𝑡𝑟𝑎𝑡𝑒 (𝑏𝑜𝑡𝑡𝑜𝑚) )=〖Δw〗_PEG/〖Δw〗_citrate   </a:t>
              </a:r>
              <a:r>
                <a:rPr lang="en-ZA" sz="1100">
                  <a:solidFill>
                    <a:schemeClr val="dk1"/>
                  </a:solidFill>
                  <a:effectLst/>
                  <a:latin typeface="+mn-lt"/>
                  <a:ea typeface="+mn-ea"/>
                  <a:cs typeface="+mn-cs"/>
                </a:rPr>
                <a:t>						Equation 6 </a:t>
              </a:r>
            </a:p>
            <a:p>
              <a:r>
                <a:rPr lang="en-ZA" sz="1100">
                  <a:solidFill>
                    <a:schemeClr val="dk1"/>
                  </a:solidFill>
                  <a:effectLst/>
                  <a:latin typeface="+mn-lt"/>
                  <a:ea typeface="+mn-ea"/>
                  <a:cs typeface="+mn-cs"/>
                </a:rPr>
                <a:t>The tie-line length (TLL) was calculated using the compositions of the top and bottom phases of each ATPS, with a greater length showing that the compositions are further apart on the phase equilibrium curve. The TLL was found using the equation below.</a:t>
              </a:r>
            </a:p>
            <a:p>
              <a:r>
                <a:rPr lang="en-ZA" sz="1100" i="0">
                  <a:solidFill>
                    <a:schemeClr val="dk1"/>
                  </a:solidFill>
                  <a:effectLst/>
                  <a:latin typeface="Cambria Math" panose="02040503050406030204" pitchFamily="18" charset="0"/>
                  <a:ea typeface="+mn-ea"/>
                  <a:cs typeface="+mn-cs"/>
                </a:rPr>
                <a:t>𝑇𝐿𝐿=√(〖 (𝑤〗_𝑃𝐸𝐺 (𝑡𝑜𝑝)−𝑤_𝑃𝐸𝐺 〖(𝑏𝑜𝑡𝑡𝑜𝑚))〗^2+ 〖(𝑤〗_𝑀𝐷𝑋 (𝑡𝑜𝑝)−𝑤_𝑀𝐷𝑋 〖(𝑏𝑜𝑡𝑡𝑜𝑚))〗^2 )  </a:t>
              </a:r>
              <a:r>
                <a:rPr lang="en-ZA" sz="1100">
                  <a:solidFill>
                    <a:schemeClr val="dk1"/>
                  </a:solidFill>
                  <a:effectLst/>
                  <a:latin typeface="+mn-lt"/>
                  <a:ea typeface="+mn-ea"/>
                  <a:cs typeface="+mn-cs"/>
                </a:rPr>
                <a:t>		Equation 7</a:t>
              </a:r>
            </a:p>
            <a:p>
              <a:r>
                <a:rPr lang="en-ZA" sz="1100">
                  <a:solidFill>
                    <a:schemeClr val="dk1"/>
                  </a:solidFill>
                  <a:effectLst/>
                  <a:latin typeface="+mn-lt"/>
                  <a:ea typeface="+mn-ea"/>
                  <a:cs typeface="+mn-cs"/>
                </a:rPr>
                <a:t>And:</a:t>
              </a:r>
            </a:p>
            <a:p>
              <a:r>
                <a:rPr lang="en-ZA" sz="1100" i="0">
                  <a:solidFill>
                    <a:schemeClr val="dk1"/>
                  </a:solidFill>
                  <a:effectLst/>
                  <a:latin typeface="Cambria Math" panose="02040503050406030204" pitchFamily="18" charset="0"/>
                  <a:ea typeface="+mn-ea"/>
                  <a:cs typeface="+mn-cs"/>
                </a:rPr>
                <a:t>𝑇𝐿𝐿=√(〖 (𝑤〗_𝑃𝐸𝐺 (𝑡𝑜𝑝)−𝑤_𝑃𝐸𝐺 〖(𝑏𝑜𝑡𝑡𝑜𝑚))〗^2+ 〖(𝑤〗_𝑐𝑖𝑡𝑟𝑎𝑡𝑒 (𝑡𝑜𝑝)−𝑤_𝑐𝑖𝑡𝑟𝑎𝑡𝑒 〖(𝑏𝑜𝑡𝑡𝑜𝑚))〗^2 )  </a:t>
              </a:r>
              <a:r>
                <a:rPr lang="en-ZA" sz="1100">
                  <a:solidFill>
                    <a:schemeClr val="dk1"/>
                  </a:solidFill>
                  <a:effectLst/>
                  <a:latin typeface="+mn-lt"/>
                  <a:ea typeface="+mn-ea"/>
                  <a:cs typeface="+mn-cs"/>
                </a:rPr>
                <a:t>	Equation 8</a:t>
              </a:r>
            </a:p>
            <a:p>
              <a:pPr lvl="3"/>
              <a:r>
                <a:rPr lang="en-ZA" sz="1100" b="1" i="1">
                  <a:solidFill>
                    <a:schemeClr val="dk1"/>
                  </a:solidFill>
                  <a:effectLst/>
                  <a:latin typeface="+mn-lt"/>
                  <a:ea typeface="+mn-ea"/>
                  <a:cs typeface="+mn-cs"/>
                </a:rPr>
                <a:t>Phase volume ratios</a:t>
              </a:r>
            </a:p>
            <a:p>
              <a:r>
                <a:rPr lang="en-ZA" sz="1100">
                  <a:solidFill>
                    <a:schemeClr val="dk1"/>
                  </a:solidFill>
                  <a:effectLst/>
                  <a:latin typeface="+mn-lt"/>
                  <a:ea typeface="+mn-ea"/>
                  <a:cs typeface="+mn-cs"/>
                </a:rPr>
                <a:t>The phase volume ratios (V</a:t>
              </a:r>
              <a:r>
                <a:rPr lang="en-ZA" sz="1100" baseline="-25000">
                  <a:solidFill>
                    <a:schemeClr val="dk1"/>
                  </a:solidFill>
                  <a:effectLst/>
                  <a:latin typeface="+mn-lt"/>
                  <a:ea typeface="+mn-ea"/>
                  <a:cs typeface="+mn-cs"/>
                </a:rPr>
                <a:t>R</a:t>
              </a:r>
              <a:r>
                <a:rPr lang="en-ZA" sz="1100">
                  <a:solidFill>
                    <a:schemeClr val="dk1"/>
                  </a:solidFill>
                  <a:effectLst/>
                  <a:latin typeface="+mn-lt"/>
                  <a:ea typeface="+mn-ea"/>
                  <a:cs typeface="+mn-cs"/>
                </a:rPr>
                <a:t>) were read off graduations in the falcon tubes used after centrifuging to separate the phases. The phase volume ratios could also be estimated by the inverse lever rule, using the tie-lines and phase equilibrium curves obtained, and then compared to the phase volume ratios observed visually. The volume ratio is defined as the ratio of the volume of the top phase to the volume of the bottom phase in a given ATPS.</a:t>
              </a:r>
            </a:p>
            <a:p>
              <a:r>
                <a:rPr lang="en-ZA" sz="1100" i="0">
                  <a:solidFill>
                    <a:schemeClr val="dk1"/>
                  </a:solidFill>
                  <a:effectLst/>
                  <a:latin typeface="Cambria Math" panose="02040503050406030204" pitchFamily="18" charset="0"/>
                  <a:ea typeface="+mn-ea"/>
                  <a:cs typeface="+mn-cs"/>
                </a:rPr>
                <a:t>𝑉_𝑅=V_top/V_bottom </a:t>
              </a:r>
              <a:r>
                <a:rPr lang="en-ZA" sz="1100">
                  <a:solidFill>
                    <a:schemeClr val="dk1"/>
                  </a:solidFill>
                  <a:effectLst/>
                  <a:latin typeface="+mn-lt"/>
                  <a:ea typeface="+mn-ea"/>
                  <a:cs typeface="+mn-cs"/>
                </a:rPr>
                <a:t>										Equation 9</a:t>
              </a:r>
            </a:p>
            <a:p>
              <a:r>
                <a:rPr lang="en-ZA" sz="1100">
                  <a:solidFill>
                    <a:schemeClr val="dk1"/>
                  </a:solidFill>
                  <a:effectLst/>
                  <a:latin typeface="+mn-lt"/>
                  <a:ea typeface="+mn-ea"/>
                  <a:cs typeface="+mn-cs"/>
                </a:rPr>
                <a:t>The inverse lever rule can be used to estimate the volume ratio, knowing the starting, top phase and bottom phase compositions in an ATPS. 𝑇𝐿𝐿=</a:t>
              </a:r>
              <a:r>
                <a:rPr lang="en-ZA" sz="1100" i="0">
                  <a:solidFill>
                    <a:schemeClr val="dk1"/>
                  </a:solidFill>
                  <a:effectLst/>
                  <a:latin typeface="Cambria Math" panose="02040503050406030204" pitchFamily="18" charset="0"/>
                  <a:ea typeface="+mn-ea"/>
                  <a:cs typeface="+mn-cs"/>
                </a:rPr>
                <a:t>〖 (w〗_PEG (top)−w_PEG 〖(bottom))〗^2+ 〖(w〗_MDX (top)−w_MDX 〖(bottom))〗^2  </a:t>
              </a:r>
              <a:r>
                <a:rPr lang="en-ZA" sz="1100">
                  <a:solidFill>
                    <a:schemeClr val="dk1"/>
                  </a:solidFill>
                  <a:effectLst/>
                  <a:latin typeface="+mn-lt"/>
                  <a:ea typeface="+mn-ea"/>
                  <a:cs typeface="+mn-cs"/>
                </a:rPr>
                <a:t>Equation 7 was adapted as an example of the distance formula for calculated the required lengths in the equation below.</a:t>
              </a:r>
            </a:p>
            <a:p>
              <a:r>
                <a:rPr lang="en-ZA" sz="1100" i="0">
                  <a:solidFill>
                    <a:schemeClr val="dk1"/>
                  </a:solidFill>
                  <a:effectLst/>
                  <a:latin typeface="Cambria Math" panose="02040503050406030204" pitchFamily="18" charset="0"/>
                  <a:ea typeface="+mn-ea"/>
                  <a:cs typeface="+mn-cs"/>
                </a:rPr>
                <a:t>V_top/V_bottom =𝐿𝑒𝑛𝑔𝑡ℎ(𝑠𝑡𝑎𝑟𝑡𝑖𝑛𝑔−𝑏𝑜𝑡𝑡𝑜𝑚 𝑝ℎ𝑎𝑠𝑒 𝑐𝑜𝑚𝑝𝑜𝑠𝑖𝑡𝑖𝑜𝑛)/(𝐿𝑒𝑛𝑔𝑡ℎ (𝑠𝑡𝑎𝑟𝑡𝑖𝑛𝑔−𝑡𝑜𝑝 𝑝ℎ𝑎𝑠𝑒 𝑐𝑜𝑚𝑝𝑜𝑠𝑖𝑡𝑖𝑜𝑛))</a:t>
              </a:r>
              <a:r>
                <a:rPr lang="en-ZA" sz="1100">
                  <a:solidFill>
                    <a:schemeClr val="dk1"/>
                  </a:solidFill>
                  <a:effectLst/>
                  <a:latin typeface="+mn-lt"/>
                  <a:ea typeface="+mn-ea"/>
                  <a:cs typeface="+mn-cs"/>
                </a:rPr>
                <a:t>					Equation 10					</a:t>
              </a:r>
            </a:p>
            <a:p>
              <a:pPr lvl="3"/>
              <a:r>
                <a:rPr lang="en-ZA" sz="1100" b="1" i="1">
                  <a:solidFill>
                    <a:schemeClr val="dk1"/>
                  </a:solidFill>
                  <a:effectLst/>
                  <a:latin typeface="+mn-lt"/>
                  <a:ea typeface="+mn-ea"/>
                  <a:cs typeface="+mn-cs"/>
                </a:rPr>
                <a:t>Phase densities</a:t>
              </a:r>
            </a:p>
            <a:p>
              <a:r>
                <a:rPr lang="en-ZA" sz="1100">
                  <a:solidFill>
                    <a:schemeClr val="dk1"/>
                  </a:solidFill>
                  <a:effectLst/>
                  <a:latin typeface="+mn-lt"/>
                  <a:ea typeface="+mn-ea"/>
                  <a:cs typeface="+mn-cs"/>
                </a:rPr>
                <a:t>The phase densities were determined by pipetting out 0.5 mL of the phase solutions into Eppendorf microcentrifuge tubes and weighing the volumes on a fine balance (Ohaus Adventurer Analytical). Experiments were carried out in triplicate.</a:t>
              </a:r>
            </a:p>
            <a:p>
              <a:pPr lvl="3"/>
              <a:r>
                <a:rPr lang="en-ZA" sz="1100" b="1" i="1">
                  <a:solidFill>
                    <a:schemeClr val="dk1"/>
                  </a:solidFill>
                  <a:effectLst/>
                  <a:latin typeface="+mn-lt"/>
                  <a:ea typeface="+mn-ea"/>
                  <a:cs typeface="+mn-cs"/>
                </a:rPr>
                <a:t>Experimental data fitting</a:t>
              </a:r>
            </a:p>
            <a:p>
              <a:r>
                <a:rPr lang="en-ZA" sz="1100">
                  <a:solidFill>
                    <a:schemeClr val="dk1"/>
                  </a:solidFill>
                  <a:effectLst/>
                  <a:latin typeface="+mn-lt"/>
                  <a:ea typeface="+mn-ea"/>
                  <a:cs typeface="+mn-cs"/>
                </a:rPr>
                <a:t>Sigmoidal equations have been proposed for modelling the equilibrium curves for aqueous two-phase systems (Hu </a:t>
              </a:r>
              <a:r>
                <a:rPr lang="en-ZA" sz="1100" i="1">
                  <a:solidFill>
                    <a:schemeClr val="dk1"/>
                  </a:solidFill>
                  <a:effectLst/>
                  <a:latin typeface="+mn-lt"/>
                  <a:ea typeface="+mn-ea"/>
                  <a:cs typeface="+mn-cs"/>
                </a:rPr>
                <a:t>et al.</a:t>
              </a:r>
              <a:r>
                <a:rPr lang="en-ZA" sz="1100">
                  <a:solidFill>
                    <a:schemeClr val="dk1"/>
                  </a:solidFill>
                  <a:effectLst/>
                  <a:latin typeface="+mn-lt"/>
                  <a:ea typeface="+mn-ea"/>
                  <a:cs typeface="+mn-cs"/>
                </a:rPr>
                <a:t>, 2004; Glyk, Scheper and Beutel, 2014). The equation below was used to fit the data obtained, with the results being evaluated visually since it is a non-linear relationship:</a:t>
              </a:r>
            </a:p>
            <a:p>
              <a:r>
                <a:rPr lang="en-ZA" sz="1100" i="0">
                  <a:solidFill>
                    <a:schemeClr val="dk1"/>
                  </a:solidFill>
                  <a:effectLst/>
                  <a:latin typeface="Cambria Math" panose="02040503050406030204" pitchFamily="18" charset="0"/>
                  <a:ea typeface="+mn-ea"/>
                  <a:cs typeface="+mn-cs"/>
                </a:rPr>
                <a:t>𝑤_𝑃𝐸𝐺= a+b(𝑤_𝑀𝐷𝑋 )^0.5+c𝑤_𝑀𝐷𝑋+d(𝑤_𝑀𝐷𝑋 )^2</a:t>
              </a:r>
              <a:r>
                <a:rPr lang="en-ZA" sz="1100">
                  <a:solidFill>
                    <a:schemeClr val="dk1"/>
                  </a:solidFill>
                  <a:effectLst/>
                  <a:latin typeface="+mn-lt"/>
                  <a:ea typeface="+mn-ea"/>
                  <a:cs typeface="+mn-cs"/>
                </a:rPr>
                <a:t>					Equation 11</a:t>
              </a:r>
            </a:p>
            <a:p>
              <a:r>
                <a:rPr lang="en-ZA" sz="1100">
                  <a:solidFill>
                    <a:schemeClr val="dk1"/>
                  </a:solidFill>
                  <a:effectLst/>
                  <a:latin typeface="+mn-lt"/>
                  <a:ea typeface="+mn-ea"/>
                  <a:cs typeface="+mn-cs"/>
                </a:rPr>
                <a:t>And:</a:t>
              </a:r>
            </a:p>
            <a:p>
              <a:r>
                <a:rPr lang="en-ZA" sz="1100" i="0">
                  <a:solidFill>
                    <a:schemeClr val="dk1"/>
                  </a:solidFill>
                  <a:effectLst/>
                  <a:latin typeface="Cambria Math" panose="02040503050406030204" pitchFamily="18" charset="0"/>
                  <a:ea typeface="+mn-ea"/>
                  <a:cs typeface="+mn-cs"/>
                </a:rPr>
                <a:t>𝑤_𝑐𝑖𝑡𝑟𝑎𝑡𝑒= a+b(𝑤_𝑃𝐸𝐺 )^0.5+c𝑤_𝑃𝐸𝐺+d(𝑤_𝑃𝐸𝐺 )^2</a:t>
              </a:r>
              <a:r>
                <a:rPr lang="en-ZA" sz="1100">
                  <a:solidFill>
                    <a:schemeClr val="dk1"/>
                  </a:solidFill>
                  <a:effectLst/>
                  <a:latin typeface="+mn-lt"/>
                  <a:ea typeface="+mn-ea"/>
                  <a:cs typeface="+mn-cs"/>
                </a:rPr>
                <a:t>					Equation 12</a:t>
              </a:r>
            </a:p>
            <a:p>
              <a:r>
                <a:rPr lang="en-ZA" sz="1100">
                  <a:solidFill>
                    <a:schemeClr val="dk1"/>
                  </a:solidFill>
                  <a:effectLst/>
                  <a:latin typeface="+mn-lt"/>
                  <a:ea typeface="+mn-ea"/>
                  <a:cs typeface="+mn-cs"/>
                </a:rPr>
                <a:t>Where </a:t>
              </a:r>
              <a:r>
                <a:rPr lang="en-ZA" sz="1100" i="0">
                  <a:solidFill>
                    <a:schemeClr val="dk1"/>
                  </a:solidFill>
                  <a:effectLst/>
                  <a:latin typeface="Cambria Math" panose="02040503050406030204" pitchFamily="18" charset="0"/>
                  <a:ea typeface="+mn-ea"/>
                  <a:cs typeface="+mn-cs"/>
                </a:rPr>
                <a:t>𝑎,𝑏,𝑐</a:t>
              </a:r>
              <a:r>
                <a:rPr lang="en-ZA" sz="1100">
                  <a:solidFill>
                    <a:schemeClr val="dk1"/>
                  </a:solidFill>
                  <a:effectLst/>
                  <a:latin typeface="+mn-lt"/>
                  <a:ea typeface="+mn-ea"/>
                  <a:cs typeface="+mn-cs"/>
                </a:rPr>
                <a:t> and </a:t>
              </a:r>
              <a:r>
                <a:rPr lang="en-ZA" sz="1100" i="0">
                  <a:solidFill>
                    <a:schemeClr val="dk1"/>
                  </a:solidFill>
                  <a:effectLst/>
                  <a:latin typeface="Cambria Math" panose="02040503050406030204" pitchFamily="18" charset="0"/>
                  <a:ea typeface="+mn-ea"/>
                  <a:cs typeface="+mn-cs"/>
                </a:rPr>
                <a:t>𝑑</a:t>
              </a:r>
              <a:r>
                <a:rPr lang="en-ZA" sz="1100">
                  <a:solidFill>
                    <a:schemeClr val="dk1"/>
                  </a:solidFill>
                  <a:effectLst/>
                  <a:latin typeface="+mn-lt"/>
                  <a:ea typeface="+mn-ea"/>
                  <a:cs typeface="+mn-cs"/>
                </a:rPr>
                <a:t> are fit parameters. </a:t>
              </a:r>
              <a:r>
                <a:rPr lang="en-ZA" sz="1100" i="0">
                  <a:solidFill>
                    <a:schemeClr val="dk1"/>
                  </a:solidFill>
                  <a:effectLst/>
                  <a:latin typeface="Cambria Math" panose="02040503050406030204" pitchFamily="18" charset="0"/>
                  <a:ea typeface="+mn-ea"/>
                  <a:cs typeface="+mn-cs"/>
                </a:rPr>
                <a:t>𝑤_𝑀𝐷𝑋</a:t>
              </a:r>
              <a:r>
                <a:rPr lang="en-ZA" sz="1100">
                  <a:solidFill>
                    <a:schemeClr val="dk1"/>
                  </a:solidFill>
                  <a:effectLst/>
                  <a:latin typeface="+mn-lt"/>
                  <a:ea typeface="+mn-ea"/>
                  <a:cs typeface="+mn-cs"/>
                </a:rPr>
                <a:t> is the concentration of MDX in wt % (where MDX is interchangeable with PEG and citrate).</a:t>
              </a:r>
            </a:p>
            <a:p>
              <a:endParaRPr lang="en-ZA" sz="1100"/>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08C34-61B3-432B-A0CD-8C5240A11424}">
  <dimension ref="B1:Y49"/>
  <sheetViews>
    <sheetView tabSelected="1" zoomScale="55" zoomScaleNormal="55" workbookViewId="0">
      <selection activeCell="Q23" sqref="Q23:U31"/>
    </sheetView>
  </sheetViews>
  <sheetFormatPr defaultRowHeight="14.4" x14ac:dyDescent="0.3"/>
  <cols>
    <col min="2" max="2" width="9.44140625" customWidth="1"/>
    <col min="3" max="3" width="12.6640625" bestFit="1" customWidth="1"/>
    <col min="12" max="12" width="12.33203125" customWidth="1"/>
    <col min="13" max="13" width="10.6640625" customWidth="1"/>
    <col min="17" max="18" width="11.6640625" bestFit="1" customWidth="1"/>
    <col min="19" max="19" width="14.88671875" bestFit="1" customWidth="1"/>
    <col min="20" max="20" width="10" bestFit="1" customWidth="1"/>
    <col min="21" max="21" width="14.88671875" bestFit="1" customWidth="1"/>
    <col min="25" max="25" width="10.88671875" bestFit="1" customWidth="1"/>
  </cols>
  <sheetData>
    <row r="1" spans="2:21" ht="15" thickBot="1" x14ac:dyDescent="0.35"/>
    <row r="2" spans="2:21" ht="29.4" thickBot="1" x14ac:dyDescent="0.35">
      <c r="B2" s="212" t="s">
        <v>84</v>
      </c>
      <c r="C2" s="468" t="s">
        <v>146</v>
      </c>
      <c r="D2" s="213" t="s">
        <v>85</v>
      </c>
      <c r="E2" s="213" t="s">
        <v>86</v>
      </c>
      <c r="F2" s="213" t="s">
        <v>10</v>
      </c>
      <c r="G2" s="213" t="s">
        <v>86</v>
      </c>
      <c r="H2" s="213" t="s">
        <v>20</v>
      </c>
      <c r="I2" s="218" t="s">
        <v>86</v>
      </c>
      <c r="J2" s="218" t="s">
        <v>87</v>
      </c>
      <c r="K2" s="213" t="s">
        <v>88</v>
      </c>
      <c r="L2" s="213" t="s">
        <v>89</v>
      </c>
      <c r="M2" s="213" t="s">
        <v>90</v>
      </c>
      <c r="N2" s="219" t="s">
        <v>23</v>
      </c>
      <c r="O2" s="219" t="s">
        <v>86</v>
      </c>
    </row>
    <row r="3" spans="2:21" ht="15" thickBot="1" x14ac:dyDescent="0.35">
      <c r="B3" s="387">
        <v>1</v>
      </c>
      <c r="C3" s="214" t="s">
        <v>6</v>
      </c>
      <c r="D3" s="223">
        <f>'PEG 4000 + CIT'!AT6</f>
        <v>0.10411718131433097</v>
      </c>
      <c r="E3" s="223">
        <f>'PEG 4000 + CIT'!AU6</f>
        <v>2.1433328582952352E-3</v>
      </c>
      <c r="F3" s="223">
        <f>'PEG 4000 + CIT'!AV6</f>
        <v>0.14845605700712591</v>
      </c>
      <c r="G3" s="223">
        <f>'PEG 4000 + CIT'!AW6</f>
        <v>3.0560829728544232E-3</v>
      </c>
      <c r="H3" s="223">
        <f>1-D3-F3</f>
        <v>0.74742676167854305</v>
      </c>
      <c r="I3" s="224">
        <f>H3*'PEG 4000 + CIT'!$AH$8</f>
        <v>1.5386359073997732E-2</v>
      </c>
      <c r="J3" s="390">
        <f>(F4-F5)/(D4-D5)</f>
        <v>-1.9478926037535078</v>
      </c>
      <c r="K3" s="390">
        <f>SQRT(((D4-D5)^2)+((F4-F5)^2))</f>
        <v>0.17410751964078561</v>
      </c>
      <c r="L3" s="392">
        <f>'PEG 4000 + CIT'!BA6</f>
        <v>2.375</v>
      </c>
      <c r="M3" s="392">
        <f>(SQRT(((D3-D5)^2)+((F3-F5)^2)))/(SQRT(((D3-D4)^2)+((F3-F4)^2)))</f>
        <v>2.3275923878172882</v>
      </c>
      <c r="N3" s="225"/>
      <c r="O3" s="226"/>
      <c r="Q3" s="220" t="s">
        <v>27</v>
      </c>
      <c r="R3" s="221" t="s">
        <v>95</v>
      </c>
      <c r="S3" s="221" t="s">
        <v>104</v>
      </c>
      <c r="T3" s="221" t="s">
        <v>105</v>
      </c>
      <c r="U3" s="222" t="s">
        <v>104</v>
      </c>
    </row>
    <row r="4" spans="2:21" ht="15" thickBot="1" x14ac:dyDescent="0.35">
      <c r="B4" s="388"/>
      <c r="C4" s="215" t="s">
        <v>4</v>
      </c>
      <c r="D4" s="223">
        <f>'PEG 4000 + CIT'!AT7</f>
        <v>8.0000000000000016E-2</v>
      </c>
      <c r="E4" s="223">
        <f>'PEG 4000 + CIT'!AU7</f>
        <v>1.6468619924117917E-3</v>
      </c>
      <c r="F4" s="223">
        <f>'PEG 4000 + CIT'!AV7</f>
        <v>0.19488900375569856</v>
      </c>
      <c r="G4" s="223">
        <f>'PEG 4000 + CIT'!AW7</f>
        <v>4.0119411628032351E-3</v>
      </c>
      <c r="H4" s="223">
        <f t="shared" ref="H4:H14" si="0">1-D4-F4</f>
        <v>0.72511099624430142</v>
      </c>
      <c r="I4" s="224">
        <f>H4*'PEG 4000 + CIT'!$AH$8</f>
        <v>1.4926971749932365E-2</v>
      </c>
      <c r="J4" s="391"/>
      <c r="K4" s="391"/>
      <c r="L4" s="393"/>
      <c r="M4" s="393"/>
      <c r="N4" s="227">
        <f>'PEG 4000 + CIT'!S19</f>
        <v>1.0963333333333332</v>
      </c>
      <c r="O4" s="228">
        <f>'PEG 4000 + CIT'!S20</f>
        <v>7.2727803028368775E-3</v>
      </c>
      <c r="Q4" s="473" t="s">
        <v>4</v>
      </c>
      <c r="R4" s="244">
        <v>8.0000000000000016E-2</v>
      </c>
      <c r="S4" s="244">
        <v>1.6468619924117917E-3</v>
      </c>
      <c r="T4" s="244">
        <v>0.19488900375569856</v>
      </c>
      <c r="U4" s="245">
        <v>4.0119411628032351E-3</v>
      </c>
    </row>
    <row r="5" spans="2:21" ht="15" thickBot="1" x14ac:dyDescent="0.35">
      <c r="B5" s="394"/>
      <c r="C5" s="216" t="s">
        <v>5</v>
      </c>
      <c r="D5" s="229">
        <f>'PEG 4000 + CIT'!AT8</f>
        <v>0.15951619275992626</v>
      </c>
      <c r="E5" s="229">
        <f>'PEG 4000 + CIT'!AU8</f>
        <v>3.283764437881944E-3</v>
      </c>
      <c r="F5" s="229">
        <f>'PEG 4000 + CIT'!AV8</f>
        <v>4.0000000000000008E-2</v>
      </c>
      <c r="G5" s="229">
        <f>'PEG 4000 + CIT'!AW8</f>
        <v>8.2343099620589587E-4</v>
      </c>
      <c r="H5" s="223">
        <f t="shared" si="0"/>
        <v>0.80048380724007373</v>
      </c>
      <c r="I5" s="224">
        <f>H5*'PEG 4000 + CIT'!$AH$8</f>
        <v>1.6478579471059553E-2</v>
      </c>
      <c r="J5" s="404"/>
      <c r="K5" s="404"/>
      <c r="L5" s="405"/>
      <c r="M5" s="405"/>
      <c r="N5" s="230">
        <f>'PEG 4000 + CIT'!S21</f>
        <v>1.1098666666666668</v>
      </c>
      <c r="O5" s="231">
        <f>'PEG 4000 + CIT'!S22</f>
        <v>7.8417685080174257E-3</v>
      </c>
      <c r="Q5" s="474" t="s">
        <v>5</v>
      </c>
      <c r="R5" s="240">
        <v>0.15951619275992626</v>
      </c>
      <c r="S5" s="240">
        <v>3.283764437881944E-3</v>
      </c>
      <c r="T5" s="240">
        <v>4.0000000000000008E-2</v>
      </c>
      <c r="U5" s="246">
        <v>8.2343099620589587E-4</v>
      </c>
    </row>
    <row r="6" spans="2:21" ht="15" thickBot="1" x14ac:dyDescent="0.35">
      <c r="B6" s="387">
        <v>2</v>
      </c>
      <c r="C6" s="214" t="s">
        <v>6</v>
      </c>
      <c r="D6" s="223">
        <f>'PEG 4000 + CIT'!AT9</f>
        <v>0.12412702595862432</v>
      </c>
      <c r="E6" s="223">
        <f>'PEG 4000 + CIT'!AU9</f>
        <v>3.9295120238005774E-3</v>
      </c>
      <c r="F6" s="223">
        <f>'PEG 4000 + CIT'!AV9</f>
        <v>0.16800632494399786</v>
      </c>
      <c r="G6" s="223">
        <f>'PEG 4000 + CIT'!AW9</f>
        <v>5.3186070385835829E-3</v>
      </c>
      <c r="H6" s="223">
        <f t="shared" si="0"/>
        <v>0.70786664909737773</v>
      </c>
      <c r="I6" s="224">
        <f>H6*'PEG 4000 + CIT'!$AH$32</f>
        <v>2.2409064322565498E-2</v>
      </c>
      <c r="J6" s="390">
        <f>(F7-F8)/(D7-D8)</f>
        <v>-1.9104957046989268</v>
      </c>
      <c r="K6" s="390">
        <f t="shared" ref="K6" si="1">SQRT(((D7-D8)^2)+((F7-F8)^2))</f>
        <v>0.33496997796360889</v>
      </c>
      <c r="L6" s="392">
        <f>'PEG 4000 + CIT'!BA9</f>
        <v>1.3043478260869565</v>
      </c>
      <c r="M6" s="392">
        <f t="shared" ref="M6" si="2">(SQRT(((D6-D8)^2)+((F6-F8)^2)))/(SQRT(((D6-D7)^2)+((F6-F7)^2)))</f>
        <v>1.1482168175098899</v>
      </c>
      <c r="N6" s="225"/>
      <c r="O6" s="226"/>
      <c r="Q6" s="473" t="s">
        <v>4</v>
      </c>
      <c r="R6" s="240">
        <v>5.2999999999999992E-2</v>
      </c>
      <c r="S6" s="240">
        <v>1.6778307194023317E-3</v>
      </c>
      <c r="T6" s="240">
        <v>0.30677393941980041</v>
      </c>
      <c r="U6" s="246">
        <v>9.7115988579360591E-3</v>
      </c>
    </row>
    <row r="7" spans="2:21" ht="15" thickBot="1" x14ac:dyDescent="0.35">
      <c r="B7" s="388"/>
      <c r="C7" s="215" t="s">
        <v>4</v>
      </c>
      <c r="D7" s="223">
        <f>'PEG 4000 + CIT'!AT10</f>
        <v>5.2999999999999992E-2</v>
      </c>
      <c r="E7" s="223">
        <f>'PEG 4000 + CIT'!AU10</f>
        <v>1.6778307194023317E-3</v>
      </c>
      <c r="F7" s="223">
        <f>'PEG 4000 + CIT'!AV10</f>
        <v>0.30677393941980041</v>
      </c>
      <c r="G7" s="223">
        <f>'PEG 4000 + CIT'!AW10</f>
        <v>9.7115988579360591E-3</v>
      </c>
      <c r="H7" s="223">
        <f t="shared" si="0"/>
        <v>0.64022606058019971</v>
      </c>
      <c r="I7" s="224">
        <f>H7*'PEG 4000 + CIT'!$AH$32</f>
        <v>2.0267753807611272E-2</v>
      </c>
      <c r="J7" s="391"/>
      <c r="K7" s="391"/>
      <c r="L7" s="393"/>
      <c r="M7" s="393"/>
      <c r="N7" s="232">
        <f>'PEG 4000 + CIT'!S43</f>
        <v>1.0776666666666666</v>
      </c>
      <c r="O7" s="233">
        <f>'PEG 4000 + CIT'!S44</f>
        <v>7.0237691685688783E-4</v>
      </c>
      <c r="Q7" s="474" t="s">
        <v>5</v>
      </c>
      <c r="R7" s="240">
        <v>0.20833871062357018</v>
      </c>
      <c r="S7" s="240">
        <v>6.595416768394321E-3</v>
      </c>
      <c r="T7" s="240">
        <v>9.9999999999999985E-3</v>
      </c>
      <c r="U7" s="246">
        <v>3.1657183384949659E-4</v>
      </c>
    </row>
    <row r="8" spans="2:21" ht="15" thickBot="1" x14ac:dyDescent="0.35">
      <c r="B8" s="394"/>
      <c r="C8" s="216" t="s">
        <v>5</v>
      </c>
      <c r="D8" s="229">
        <f>'PEG 4000 + CIT'!AT11</f>
        <v>0.20833871062357018</v>
      </c>
      <c r="E8" s="229">
        <f>'PEG 4000 + CIT'!AU11</f>
        <v>6.595416768394321E-3</v>
      </c>
      <c r="F8" s="229">
        <f>'PEG 4000 + CIT'!AV11</f>
        <v>9.9999999999999985E-3</v>
      </c>
      <c r="G8" s="229">
        <f>'PEG 4000 + CIT'!AW11</f>
        <v>3.1657183384949659E-4</v>
      </c>
      <c r="H8" s="223">
        <f t="shared" si="0"/>
        <v>0.78166128937642987</v>
      </c>
      <c r="I8" s="224">
        <f>H8*'PEG 4000 + CIT'!$AH$32</f>
        <v>2.4745194782705846E-2</v>
      </c>
      <c r="J8" s="404"/>
      <c r="K8" s="404"/>
      <c r="L8" s="405"/>
      <c r="M8" s="405"/>
      <c r="N8" s="234">
        <f>'PEG 4000 + CIT'!S45</f>
        <v>1.1364666666666665</v>
      </c>
      <c r="O8" s="235">
        <f>'PEG 4000 + CIT'!S46</f>
        <v>5.0332229568476417E-4</v>
      </c>
      <c r="Q8" s="473" t="s">
        <v>4</v>
      </c>
      <c r="R8" s="240">
        <v>4.3102685945517825E-2</v>
      </c>
      <c r="S8" s="240">
        <v>3.1991471547409092E-4</v>
      </c>
      <c r="T8" s="240">
        <v>0.35453903054859848</v>
      </c>
      <c r="U8" s="246">
        <v>2.6314428113779647E-3</v>
      </c>
    </row>
    <row r="9" spans="2:21" ht="15" thickBot="1" x14ac:dyDescent="0.35">
      <c r="B9" s="387">
        <v>3</v>
      </c>
      <c r="C9" s="214" t="s">
        <v>6</v>
      </c>
      <c r="D9" s="223">
        <f>'PEG 4000 + CIT'!AT12</f>
        <v>0.14421938708404577</v>
      </c>
      <c r="E9" s="223">
        <f>'PEG 4000 + CIT'!AU12</f>
        <v>1.0704183085749924E-3</v>
      </c>
      <c r="F9" s="223">
        <f>'PEG 4000 + CIT'!AV12</f>
        <v>0.18742601604629752</v>
      </c>
      <c r="G9" s="223">
        <f>'PEG 4000 + CIT'!AW12</f>
        <v>1.3911045049880204E-3</v>
      </c>
      <c r="H9" s="223">
        <f t="shared" si="0"/>
        <v>0.6683545968696567</v>
      </c>
      <c r="I9" s="224">
        <f>H9*'PEG 4000 + CIT'!$AH$56</f>
        <v>4.9606298541028946E-3</v>
      </c>
      <c r="J9" s="390">
        <f t="shared" ref="J9" si="3">(F10-F11)/(D10-D11)</f>
        <v>-1.6505948234243804</v>
      </c>
      <c r="K9" s="390">
        <f t="shared" ref="K9" si="4">SQRT(((D10-D11)^2)+((F10-F11)^2))</f>
        <v>0.40634503208052175</v>
      </c>
      <c r="L9" s="392">
        <f>'PEG 4000 + CIT'!BA12</f>
        <v>1.1599999999999999</v>
      </c>
      <c r="M9" s="392">
        <f t="shared" ref="M9" si="5">(SQRT(((D9-D11)^2)+((F9-F11)^2)))/(SQRT(((D9-D10)^2)+((F9-F10)^2)))</f>
        <v>1.0803675923615412</v>
      </c>
      <c r="N9" s="225"/>
      <c r="O9" s="226"/>
      <c r="Q9" s="474" t="s">
        <v>5</v>
      </c>
      <c r="R9" s="240">
        <v>0.25365649698170062</v>
      </c>
      <c r="S9" s="240">
        <v>1.8826772457435183E-3</v>
      </c>
      <c r="T9" s="240">
        <v>6.9999999999999993E-3</v>
      </c>
      <c r="U9" s="246">
        <v>5.1955068673661348E-5</v>
      </c>
    </row>
    <row r="10" spans="2:21" ht="15" thickBot="1" x14ac:dyDescent="0.35">
      <c r="B10" s="388"/>
      <c r="C10" s="215" t="s">
        <v>4</v>
      </c>
      <c r="D10" s="223">
        <f>'PEG 4000 + CIT'!AT13</f>
        <v>4.3102685945517825E-2</v>
      </c>
      <c r="E10" s="223">
        <f>'PEG 4000 + CIT'!AU13</f>
        <v>3.1991471547409092E-4</v>
      </c>
      <c r="F10" s="223">
        <f>'PEG 4000 + CIT'!AV13</f>
        <v>0.35453903054859848</v>
      </c>
      <c r="G10" s="223">
        <f>'PEG 4000 + CIT'!AW13</f>
        <v>2.6314428113779647E-3</v>
      </c>
      <c r="H10" s="223">
        <f t="shared" si="0"/>
        <v>0.60235828350588372</v>
      </c>
      <c r="I10" s="224">
        <f>H10*'PEG 4000 + CIT'!$AH$56</f>
        <v>4.4707951408138515E-3</v>
      </c>
      <c r="J10" s="391"/>
      <c r="K10" s="391"/>
      <c r="L10" s="393"/>
      <c r="M10" s="393"/>
      <c r="N10" s="133">
        <f>'PEG 4000 + CIT'!S67</f>
        <v>1.0810666666666668</v>
      </c>
      <c r="O10" s="236">
        <f>'PEG 4000 + CIT'!S68</f>
        <v>1.0263202878893864E-3</v>
      </c>
      <c r="Q10" s="473" t="s">
        <v>4</v>
      </c>
      <c r="R10" s="240">
        <v>3.911024713541434E-2</v>
      </c>
      <c r="S10" s="240">
        <v>8.1262319649647464E-4</v>
      </c>
      <c r="T10" s="240">
        <v>0.45273802842798339</v>
      </c>
      <c r="U10" s="246">
        <v>9.4068805692491056E-3</v>
      </c>
    </row>
    <row r="11" spans="2:21" ht="15" thickBot="1" x14ac:dyDescent="0.35">
      <c r="B11" s="389"/>
      <c r="C11" s="217" t="s">
        <v>5</v>
      </c>
      <c r="D11" s="237">
        <f>'PEG 4000 + CIT'!AT14</f>
        <v>0.25365649698170062</v>
      </c>
      <c r="E11" s="237">
        <f>'PEG 4000 + CIT'!AU14</f>
        <v>1.8826772457435183E-3</v>
      </c>
      <c r="F11" s="237">
        <f>'PEG 4000 + CIT'!AV14</f>
        <v>6.9999999999999993E-3</v>
      </c>
      <c r="G11" s="237">
        <f>'PEG 4000 + CIT'!AW14</f>
        <v>5.1955068673661348E-5</v>
      </c>
      <c r="H11" s="223">
        <f t="shared" si="0"/>
        <v>0.73934350301829943</v>
      </c>
      <c r="I11" s="224">
        <f>H11*'PEG 4000 + CIT'!$AH$56</f>
        <v>5.4875203532487281E-3</v>
      </c>
      <c r="J11" s="391"/>
      <c r="K11" s="391"/>
      <c r="L11" s="393"/>
      <c r="M11" s="393"/>
      <c r="N11" s="238">
        <f>'PEG 4000 + CIT'!S69</f>
        <v>1.1602666666666668</v>
      </c>
      <c r="O11" s="239">
        <f>'PEG 4000 + CIT'!S70</f>
        <v>6.110100926608325E-4</v>
      </c>
      <c r="Q11" s="474" t="s">
        <v>5</v>
      </c>
      <c r="R11" s="241">
        <v>0.32728060946952009</v>
      </c>
      <c r="S11" s="241">
        <v>6.80015685141536E-3</v>
      </c>
      <c r="T11" s="241">
        <v>4.9999999999999992E-3</v>
      </c>
      <c r="U11" s="247">
        <v>1.0388878312157787E-4</v>
      </c>
    </row>
    <row r="12" spans="2:21" ht="15" thickBot="1" x14ac:dyDescent="0.35">
      <c r="B12" s="387">
        <v>4</v>
      </c>
      <c r="C12" s="214" t="s">
        <v>6</v>
      </c>
      <c r="D12" s="223">
        <f>'PEG 4000 + CIT'!AT15</f>
        <v>0.18466692944422547</v>
      </c>
      <c r="E12" s="223">
        <f>'PEG 4000 + CIT'!AU15</f>
        <v>3.8369645165517727E-3</v>
      </c>
      <c r="F12" s="223">
        <f>'PEG 4000 + CIT'!AV15</f>
        <v>0.22664564446196295</v>
      </c>
      <c r="G12" s="223">
        <f>'PEG 4000 + CIT'!AW15</f>
        <v>4.7091880405918237E-3</v>
      </c>
      <c r="H12" s="223">
        <f t="shared" si="0"/>
        <v>0.58868742609381153</v>
      </c>
      <c r="I12" s="224">
        <f>H12*'PEG 4000 + CIT'!$AH$80</f>
        <v>6.9084939903974905E-3</v>
      </c>
      <c r="J12" s="395">
        <f t="shared" ref="J12" si="6">(F13-F14)/(D13-D14)</f>
        <v>-1.5537268468603802</v>
      </c>
      <c r="K12" s="395">
        <f t="shared" ref="K12" si="7">SQRT(((D13-D14)^2)+((F13-F14)^2))</f>
        <v>0.53245797940151807</v>
      </c>
      <c r="L12" s="398">
        <f>'PEG 4000 + CIT'!BA15</f>
        <v>1.08</v>
      </c>
      <c r="M12" s="401">
        <f t="shared" ref="M12" si="8">(SQRT(((D12-D14)^2)+((F12-F14)^2)))/(SQRT(((D12-D13)^2)+((F12-F13)^2)))</f>
        <v>0.9801707364256188</v>
      </c>
      <c r="N12" s="225"/>
      <c r="O12" s="226"/>
    </row>
    <row r="13" spans="2:21" ht="15" thickBot="1" x14ac:dyDescent="0.35">
      <c r="B13" s="388"/>
      <c r="C13" s="215" t="s">
        <v>4</v>
      </c>
      <c r="D13" s="240">
        <f>'PEG 4000 + CIT'!AT16</f>
        <v>3.911024713541434E-2</v>
      </c>
      <c r="E13" s="240">
        <f>'PEG 4000 + CIT'!AU16</f>
        <v>8.1262319649647464E-4</v>
      </c>
      <c r="F13" s="240">
        <f>'PEG 4000 + CIT'!AV16</f>
        <v>0.45273802842798339</v>
      </c>
      <c r="G13" s="240">
        <f>'PEG 4000 + CIT'!AW16</f>
        <v>9.4068805692491056E-3</v>
      </c>
      <c r="H13" s="223">
        <f t="shared" si="0"/>
        <v>0.50815172443660228</v>
      </c>
      <c r="I13" s="224">
        <f>H13*'PEG 4000 + CIT'!$AH$80</f>
        <v>5.9633737342997973E-3</v>
      </c>
      <c r="J13" s="396"/>
      <c r="K13" s="396"/>
      <c r="L13" s="399"/>
      <c r="M13" s="402"/>
      <c r="N13" s="227">
        <f>'PEG 4000 + CIT'!S91</f>
        <v>1.1032666666666666</v>
      </c>
      <c r="O13" s="228">
        <f>'PEG 4000 + CIT'!S92</f>
        <v>2.081665999466117E-3</v>
      </c>
      <c r="Q13" s="255" t="s">
        <v>102</v>
      </c>
      <c r="R13" s="256" t="s">
        <v>95</v>
      </c>
      <c r="S13" s="256" t="s">
        <v>104</v>
      </c>
      <c r="T13" s="256" t="s">
        <v>105</v>
      </c>
      <c r="U13" s="257" t="s">
        <v>104</v>
      </c>
    </row>
    <row r="14" spans="2:21" ht="15" thickBot="1" x14ac:dyDescent="0.35">
      <c r="B14" s="394"/>
      <c r="C14" s="216" t="s">
        <v>5</v>
      </c>
      <c r="D14" s="241">
        <f>'PEG 4000 + CIT'!AT17</f>
        <v>0.32728060946952009</v>
      </c>
      <c r="E14" s="241">
        <f>'PEG 4000 + CIT'!AU17</f>
        <v>6.80015685141536E-3</v>
      </c>
      <c r="F14" s="241">
        <f>'PEG 4000 + CIT'!AV17</f>
        <v>4.9999999999999992E-3</v>
      </c>
      <c r="G14" s="241">
        <f>'PEG 4000 + CIT'!AW17</f>
        <v>1.0388878312157787E-4</v>
      </c>
      <c r="H14" s="223">
        <f t="shared" si="0"/>
        <v>0.66771939053047991</v>
      </c>
      <c r="I14" s="224">
        <f>H14*'PEG 4000 + CIT'!$AH$80</f>
        <v>7.8359672591624061E-3</v>
      </c>
      <c r="J14" s="397"/>
      <c r="K14" s="397"/>
      <c r="L14" s="400"/>
      <c r="M14" s="403"/>
      <c r="N14" s="230">
        <f>'PEG 4000 + CIT'!S93</f>
        <v>1.2155333333333331</v>
      </c>
      <c r="O14" s="231">
        <f>'PEG 4000 + CIT'!S94</f>
        <v>3.9310727967481795E-3</v>
      </c>
      <c r="Q14" s="471" t="s">
        <v>4</v>
      </c>
      <c r="R14" s="271">
        <v>6.9568149406453186E-2</v>
      </c>
      <c r="S14" s="271">
        <v>1.1721450469965077E-3</v>
      </c>
      <c r="T14" s="271">
        <v>0.21225936603875753</v>
      </c>
      <c r="U14" s="272">
        <v>3.5763315066401581E-3</v>
      </c>
    </row>
    <row r="15" spans="2:21" ht="15" thickBot="1" x14ac:dyDescent="0.35">
      <c r="B15" s="386"/>
      <c r="C15" s="29"/>
      <c r="D15" s="37"/>
      <c r="E15" s="37"/>
      <c r="F15" s="37"/>
      <c r="G15" s="37"/>
      <c r="H15" s="37"/>
      <c r="I15" s="242" t="s">
        <v>91</v>
      </c>
      <c r="J15" s="243">
        <f>AVERAGE(J3:J14)</f>
        <v>-1.7656774946842988</v>
      </c>
      <c r="K15" s="40"/>
      <c r="L15" s="41"/>
      <c r="M15" s="41"/>
      <c r="N15" s="38"/>
      <c r="O15" s="38"/>
      <c r="Q15" s="472" t="s">
        <v>5</v>
      </c>
      <c r="R15" s="270">
        <v>0.16816081230567989</v>
      </c>
      <c r="S15" s="270">
        <v>2.8333204911259015E-3</v>
      </c>
      <c r="T15" s="270">
        <v>2.0999978000000006E-2</v>
      </c>
      <c r="U15" s="273">
        <v>3.5382600241271229E-4</v>
      </c>
    </row>
    <row r="16" spans="2:21" x14ac:dyDescent="0.3">
      <c r="B16" s="386"/>
      <c r="C16" s="29"/>
      <c r="D16" s="37"/>
      <c r="E16" s="37"/>
      <c r="F16" s="37"/>
      <c r="G16" s="37"/>
      <c r="H16" s="37"/>
      <c r="I16" s="133" t="s">
        <v>86</v>
      </c>
      <c r="J16" s="240">
        <f>_xlfn.STDEV.S(J3:J14)</f>
        <v>0.1935129265813543</v>
      </c>
      <c r="K16" s="40"/>
      <c r="L16" s="41"/>
      <c r="M16" s="41"/>
      <c r="N16" s="38"/>
      <c r="O16" s="38"/>
      <c r="Q16" s="471" t="s">
        <v>4</v>
      </c>
      <c r="R16" s="270">
        <v>5.0873491921776981E-2</v>
      </c>
      <c r="S16" s="270">
        <v>1.0943036402746369E-3</v>
      </c>
      <c r="T16" s="270">
        <v>0.3023539538318788</v>
      </c>
      <c r="U16" s="273">
        <v>6.5037216796204047E-3</v>
      </c>
    </row>
    <row r="17" spans="2:21" ht="15" thickBot="1" x14ac:dyDescent="0.35">
      <c r="B17" s="386"/>
      <c r="C17" s="29"/>
      <c r="D17" s="37"/>
      <c r="E17" s="37"/>
      <c r="F17" s="37"/>
      <c r="G17" s="37"/>
      <c r="H17" s="37"/>
      <c r="I17" s="39"/>
      <c r="J17" s="40"/>
      <c r="K17" s="40"/>
      <c r="O17" s="38"/>
      <c r="Q17" s="472" t="s">
        <v>5</v>
      </c>
      <c r="R17" s="270">
        <v>0.21031715026342326</v>
      </c>
      <c r="S17" s="270">
        <v>4.5239832071942597E-3</v>
      </c>
      <c r="T17" s="270">
        <v>0.01</v>
      </c>
      <c r="U17" s="273">
        <v>2.1510291488487497E-4</v>
      </c>
    </row>
    <row r="18" spans="2:21" ht="29.4" thickBot="1" x14ac:dyDescent="0.35">
      <c r="B18" s="248" t="s">
        <v>84</v>
      </c>
      <c r="C18" s="469" t="s">
        <v>146</v>
      </c>
      <c r="D18" s="249" t="s">
        <v>85</v>
      </c>
      <c r="E18" s="249" t="s">
        <v>86</v>
      </c>
      <c r="F18" s="249" t="s">
        <v>10</v>
      </c>
      <c r="G18" s="249" t="s">
        <v>86</v>
      </c>
      <c r="H18" s="249" t="s">
        <v>20</v>
      </c>
      <c r="I18" s="253" t="s">
        <v>86</v>
      </c>
      <c r="J18" s="253" t="s">
        <v>87</v>
      </c>
      <c r="K18" s="249" t="s">
        <v>88</v>
      </c>
      <c r="L18" s="249" t="s">
        <v>89</v>
      </c>
      <c r="M18" s="249" t="s">
        <v>90</v>
      </c>
      <c r="N18" s="254" t="s">
        <v>23</v>
      </c>
      <c r="O18" s="254" t="s">
        <v>86</v>
      </c>
      <c r="Q18" s="471" t="s">
        <v>4</v>
      </c>
      <c r="R18" s="270">
        <v>0.04</v>
      </c>
      <c r="S18" s="270">
        <v>4.6797687137444476E-4</v>
      </c>
      <c r="T18" s="270">
        <v>0.3699229417994121</v>
      </c>
      <c r="U18" s="273">
        <v>4.3278845238229925E-3</v>
      </c>
    </row>
    <row r="19" spans="2:21" ht="15" thickBot="1" x14ac:dyDescent="0.35">
      <c r="B19" s="406">
        <v>1</v>
      </c>
      <c r="C19" s="250" t="s">
        <v>6</v>
      </c>
      <c r="D19" s="258">
        <f>'PEG 6000 + CIT'!AS7</f>
        <v>0.10443037974683546</v>
      </c>
      <c r="E19" s="258">
        <f>'PEG 6000 + CIT'!AT7</f>
        <v>1.7595344050486267E-3</v>
      </c>
      <c r="F19" s="258">
        <f>'PEG 6000 + CIT'!AU7</f>
        <v>0.14833860759493672</v>
      </c>
      <c r="G19" s="258">
        <f>'PEG 6000 + CIT'!AV7</f>
        <v>2.4993386435349812E-3</v>
      </c>
      <c r="H19" s="258">
        <f>1-D19-F19</f>
        <v>0.74723101265822778</v>
      </c>
      <c r="I19" s="259">
        <f>H19*'PEG 6000 + CIT'!$AG$9</f>
        <v>1.2590001860366875E-2</v>
      </c>
      <c r="J19" s="409">
        <f>(F20-F21)/(D20-D21)</f>
        <v>-1.9398947387621239</v>
      </c>
      <c r="K19" s="409">
        <f>SQRT(((D20-D21)^2)+((F20-F21)^2))</f>
        <v>0.21517589709472706</v>
      </c>
      <c r="L19" s="412">
        <f>'PEG 6000 + CIT'!AZ7</f>
        <v>2.0555555555555554</v>
      </c>
      <c r="M19" s="412">
        <f>(SQRT(((D19-D21)^2)+((F19-F21)^2)))/(SQRT(((D19-D20)^2)+((F19-F20)^2)))</f>
        <v>1.9557345588061235</v>
      </c>
      <c r="N19" s="260"/>
      <c r="O19" s="261"/>
      <c r="Q19" s="472" t="s">
        <v>5</v>
      </c>
      <c r="R19" s="270">
        <v>0.25188862785235172</v>
      </c>
      <c r="S19" s="270">
        <v>2.9469512999286346E-3</v>
      </c>
      <c r="T19" s="270">
        <v>9.0444594968596261E-4</v>
      </c>
      <c r="U19" s="273">
        <v>1.0581494646533132E-5</v>
      </c>
    </row>
    <row r="20" spans="2:21" ht="15" thickBot="1" x14ac:dyDescent="0.35">
      <c r="B20" s="407"/>
      <c r="C20" s="251" t="s">
        <v>4</v>
      </c>
      <c r="D20" s="258">
        <f>'PEG 6000 + CIT'!AS8</f>
        <v>6.9568149406453186E-2</v>
      </c>
      <c r="E20" s="258">
        <f>'PEG 6000 + CIT'!AT8</f>
        <v>1.1721450469965077E-3</v>
      </c>
      <c r="F20" s="258">
        <f>'PEG 6000 + CIT'!AU8</f>
        <v>0.21225936603875753</v>
      </c>
      <c r="G20" s="258">
        <f>'PEG 6000 + CIT'!AV8</f>
        <v>3.5763315066401581E-3</v>
      </c>
      <c r="H20" s="258">
        <f t="shared" ref="H20:H30" si="9">1-D20-F20</f>
        <v>0.71817248455478933</v>
      </c>
      <c r="I20" s="259">
        <f>H20*'PEG 6000 + CIT'!$AG$9</f>
        <v>1.2100398355313818E-2</v>
      </c>
      <c r="J20" s="410"/>
      <c r="K20" s="410"/>
      <c r="L20" s="413"/>
      <c r="M20" s="413"/>
      <c r="N20" s="262">
        <f>'PEG 6000 + CIT'!S20</f>
        <v>1.0793999999999999</v>
      </c>
      <c r="O20" s="263">
        <f>'PEG 6000 + CIT'!S21</f>
        <v>2.9461839725312619E-3</v>
      </c>
      <c r="Q20" s="471" t="s">
        <v>4</v>
      </c>
      <c r="R20" s="270">
        <v>2.9999999999999995E-2</v>
      </c>
      <c r="S20" s="270">
        <v>8.5765783294300274E-5</v>
      </c>
      <c r="T20" s="270">
        <v>0.47169718162146251</v>
      </c>
      <c r="U20" s="273">
        <v>1.3485159419826186E-3</v>
      </c>
    </row>
    <row r="21" spans="2:21" ht="15" thickBot="1" x14ac:dyDescent="0.35">
      <c r="B21" s="408"/>
      <c r="C21" s="252" t="s">
        <v>5</v>
      </c>
      <c r="D21" s="264">
        <f>'PEG 6000 + CIT'!AS9</f>
        <v>0.16816081230567989</v>
      </c>
      <c r="E21" s="264">
        <f>'PEG 6000 + CIT'!AT9</f>
        <v>2.8333204911259015E-3</v>
      </c>
      <c r="F21" s="264">
        <f>'PEG 6000 + CIT'!AU9</f>
        <v>2.0999978000000006E-2</v>
      </c>
      <c r="G21" s="264">
        <f>'PEG 6000 + CIT'!AV9</f>
        <v>3.5382600241271229E-4</v>
      </c>
      <c r="H21" s="264">
        <f t="shared" si="9"/>
        <v>0.81083920969432011</v>
      </c>
      <c r="I21" s="265">
        <f>H21*'PEG 6000 + CIT'!$AG$9</f>
        <v>1.366172841541187E-2</v>
      </c>
      <c r="J21" s="411"/>
      <c r="K21" s="411"/>
      <c r="L21" s="414"/>
      <c r="M21" s="414"/>
      <c r="N21" s="266">
        <f>'PEG 6000 + CIT'!S22</f>
        <v>1.1125333333333332</v>
      </c>
      <c r="O21" s="267">
        <f>'PEG 6000 + CIT'!S23</f>
        <v>1.8583146486354366E-3</v>
      </c>
      <c r="Q21" s="472" t="s">
        <v>5</v>
      </c>
      <c r="R21" s="274">
        <v>0.32832040858000844</v>
      </c>
      <c r="S21" s="274">
        <v>9.386219004456377E-4</v>
      </c>
      <c r="T21" s="274">
        <v>9.044459496859625E-4</v>
      </c>
      <c r="U21" s="275">
        <v>2.5856838440724627E-6</v>
      </c>
    </row>
    <row r="22" spans="2:21" ht="15" thickBot="1" x14ac:dyDescent="0.35">
      <c r="B22" s="406">
        <v>2</v>
      </c>
      <c r="C22" s="250" t="s">
        <v>6</v>
      </c>
      <c r="D22" s="258">
        <f>'PEG 6000 + CIT'!AS10</f>
        <v>0.12391132224861443</v>
      </c>
      <c r="E22" s="258">
        <f>'PEG 6000 + CIT'!AT10</f>
        <v>2.6653686602916022E-3</v>
      </c>
      <c r="F22" s="258">
        <f>'PEG 6000 + CIT'!AU10</f>
        <v>0.16825019794140936</v>
      </c>
      <c r="G22" s="258">
        <f>'PEG 6000 + CIT'!AV10</f>
        <v>3.6191108007154345E-3</v>
      </c>
      <c r="H22" s="258">
        <f t="shared" si="9"/>
        <v>0.70783847980997616</v>
      </c>
      <c r="I22" s="259">
        <f>H22*'PEG 6000 + CIT'!$AG$33</f>
        <v>1.5225812027480461E-2</v>
      </c>
      <c r="J22" s="409">
        <f>(F23-F24)/(D23-D24)</f>
        <v>-1.833587844587963</v>
      </c>
      <c r="K22" s="409">
        <f t="shared" ref="K22" si="10">SQRT(((D23-D24)^2)+((F23-F24)^2))</f>
        <v>0.333006177880381</v>
      </c>
      <c r="L22" s="412">
        <f>'PEG 6000 + CIT'!AZ10</f>
        <v>1.24</v>
      </c>
      <c r="M22" s="412">
        <f t="shared" ref="M22" si="11">(SQRT(((D22-D24)^2)+((F22-F24)^2)))/(SQRT(((D22-D23)^2)+((F22-F23)^2)))</f>
        <v>1.18073812836757</v>
      </c>
      <c r="N22" s="260"/>
      <c r="O22" s="261"/>
    </row>
    <row r="23" spans="2:21" ht="15" thickBot="1" x14ac:dyDescent="0.35">
      <c r="B23" s="407"/>
      <c r="C23" s="251" t="s">
        <v>4</v>
      </c>
      <c r="D23" s="258">
        <f>'PEG 6000 + CIT'!AS11</f>
        <v>5.0873491921776981E-2</v>
      </c>
      <c r="E23" s="258">
        <f>'PEG 6000 + CIT'!AT11</f>
        <v>1.0943036402746369E-3</v>
      </c>
      <c r="F23" s="258">
        <f>'PEG 6000 + CIT'!AU11</f>
        <v>0.3023539538318788</v>
      </c>
      <c r="G23" s="258">
        <f>'PEG 6000 + CIT'!AV11</f>
        <v>6.5037216796204047E-3</v>
      </c>
      <c r="H23" s="258">
        <f t="shared" si="9"/>
        <v>0.64677255424634417</v>
      </c>
      <c r="I23" s="259">
        <f>H23*'PEG 6000 + CIT'!$AG$33</f>
        <v>1.3912266168592455E-2</v>
      </c>
      <c r="J23" s="410"/>
      <c r="K23" s="410"/>
      <c r="L23" s="413"/>
      <c r="M23" s="413"/>
      <c r="N23" s="262">
        <f>'PEG 6000 + CIT'!S44</f>
        <v>1.0815999999999999</v>
      </c>
      <c r="O23" s="263">
        <f>'PEG 6000 + CIT'!S45</f>
        <v>6.9282032302760274E-4</v>
      </c>
      <c r="Q23" s="44" t="s">
        <v>103</v>
      </c>
      <c r="R23" s="45" t="s">
        <v>95</v>
      </c>
      <c r="S23" s="45" t="s">
        <v>104</v>
      </c>
      <c r="T23" s="45" t="s">
        <v>105</v>
      </c>
      <c r="U23" s="43" t="s">
        <v>104</v>
      </c>
    </row>
    <row r="24" spans="2:21" ht="15" thickBot="1" x14ac:dyDescent="0.35">
      <c r="B24" s="408"/>
      <c r="C24" s="252" t="s">
        <v>5</v>
      </c>
      <c r="D24" s="264">
        <f>'PEG 6000 + CIT'!AS12</f>
        <v>0.21031715026342326</v>
      </c>
      <c r="E24" s="264">
        <f>'PEG 6000 + CIT'!AT12</f>
        <v>4.5239832071942597E-3</v>
      </c>
      <c r="F24" s="264">
        <f>'PEG 6000 + CIT'!AU12</f>
        <v>0.01</v>
      </c>
      <c r="G24" s="264">
        <f>'PEG 6000 + CIT'!AV12</f>
        <v>2.1510291488487497E-4</v>
      </c>
      <c r="H24" s="264">
        <f t="shared" si="9"/>
        <v>0.77968284973657676</v>
      </c>
      <c r="I24" s="265">
        <f>H24*'PEG 6000 + CIT'!$AG$33</f>
        <v>1.6771205366408363E-2</v>
      </c>
      <c r="J24" s="411"/>
      <c r="K24" s="411"/>
      <c r="L24" s="414"/>
      <c r="M24" s="414"/>
      <c r="N24" s="266">
        <f>'PEG 6000 + CIT'!S46</f>
        <v>1.1353333333333333</v>
      </c>
      <c r="O24" s="267">
        <f>'PEG 6000 + CIT'!S47</f>
        <v>2.3437861108328763E-3</v>
      </c>
      <c r="Q24" s="130" t="s">
        <v>4</v>
      </c>
      <c r="R24" s="288">
        <v>6.4721825513311099E-2</v>
      </c>
      <c r="S24" s="288">
        <v>4.9815229242798045E-4</v>
      </c>
      <c r="T24" s="288">
        <v>0.23410490045675805</v>
      </c>
      <c r="U24" s="292">
        <v>1.8018634657820862E-3</v>
      </c>
    </row>
    <row r="25" spans="2:21" ht="15" thickBot="1" x14ac:dyDescent="0.35">
      <c r="B25" s="406">
        <v>3</v>
      </c>
      <c r="C25" s="250" t="s">
        <v>6</v>
      </c>
      <c r="D25" s="258">
        <f>'PEG 6000 + CIT'!AS13</f>
        <v>0.14426682455101639</v>
      </c>
      <c r="E25" s="258">
        <f>'PEG 6000 + CIT'!AT13</f>
        <v>1.6878384299127646E-3</v>
      </c>
      <c r="F25" s="258">
        <f>'PEG 6000 + CIT'!AU13</f>
        <v>0.1874876652851786</v>
      </c>
      <c r="G25" s="258">
        <f>'PEG 6000 + CIT'!AV13</f>
        <v>2.1934972755364244E-3</v>
      </c>
      <c r="H25" s="258">
        <f t="shared" si="9"/>
        <v>0.66824551016380507</v>
      </c>
      <c r="I25" s="259">
        <f>H25*'PEG 6000 + CIT'!$AG$57</f>
        <v>7.8180860789119309E-3</v>
      </c>
      <c r="J25" s="409">
        <f t="shared" ref="J25" si="12">(F26-F27)/(D26-D27)</f>
        <v>-1.7415681983030524</v>
      </c>
      <c r="K25" s="409">
        <f t="shared" ref="K25" si="13">SQRT(((D26-D27)^2)+((F26-F27)^2))</f>
        <v>0.42552490043750285</v>
      </c>
      <c r="L25" s="412">
        <f>'PEG 6000 + CIT'!AZ13</f>
        <v>1.09375</v>
      </c>
      <c r="M25" s="412">
        <f t="shared" ref="M25" si="14">(SQRT(((D25-D27)^2)+((F25-F27)^2)))/(SQRT(((D25-D26)^2)+((F25-F26)^2)))</f>
        <v>1.0250689693586341</v>
      </c>
      <c r="N25" s="260"/>
      <c r="O25" s="261"/>
      <c r="Q25" s="475" t="s">
        <v>5</v>
      </c>
      <c r="R25" s="79">
        <v>0.16560465018135884</v>
      </c>
      <c r="S25" s="79">
        <v>1.2746293150771983E-3</v>
      </c>
      <c r="T25" s="79">
        <v>1.2999999999999999E-2</v>
      </c>
      <c r="U25" s="183">
        <v>1.0005867032029024E-4</v>
      </c>
    </row>
    <row r="26" spans="2:21" ht="15" thickBot="1" x14ac:dyDescent="0.35">
      <c r="B26" s="407"/>
      <c r="C26" s="251" t="s">
        <v>4</v>
      </c>
      <c r="D26" s="258">
        <f>'PEG 6000 + CIT'!AS14</f>
        <v>0.04</v>
      </c>
      <c r="E26" s="258">
        <f>'PEG 6000 + CIT'!AT14</f>
        <v>4.6797687137444476E-4</v>
      </c>
      <c r="F26" s="258">
        <f>'PEG 6000 + CIT'!AU14</f>
        <v>0.3699229417994121</v>
      </c>
      <c r="G26" s="258">
        <f>'PEG 6000 + CIT'!AV14</f>
        <v>4.3278845238229925E-3</v>
      </c>
      <c r="H26" s="258">
        <f t="shared" si="9"/>
        <v>0.59007705820058787</v>
      </c>
      <c r="I26" s="259">
        <f>H26*'PEG 6000 + CIT'!$AG$57</f>
        <v>6.9035603891636817E-3</v>
      </c>
      <c r="J26" s="410"/>
      <c r="K26" s="410"/>
      <c r="L26" s="413"/>
      <c r="M26" s="413"/>
      <c r="N26" s="262">
        <f>'PEG 6000 + CIT'!S68</f>
        <v>1.0862000000000001</v>
      </c>
      <c r="O26" s="263">
        <f>'PEG 6000 + CIT'!S69</f>
        <v>5.1730068625511338E-3</v>
      </c>
      <c r="Q26" s="130" t="s">
        <v>4</v>
      </c>
      <c r="R26" s="79">
        <v>0.05</v>
      </c>
      <c r="S26" s="79">
        <v>4.721205271932195E-4</v>
      </c>
      <c r="T26" s="79">
        <v>0.32082533813724157</v>
      </c>
      <c r="U26" s="183">
        <v>3.0293645555659479E-3</v>
      </c>
    </row>
    <row r="27" spans="2:21" ht="15" thickBot="1" x14ac:dyDescent="0.35">
      <c r="B27" s="408"/>
      <c r="C27" s="252" t="s">
        <v>5</v>
      </c>
      <c r="D27" s="264">
        <f>'PEG 6000 + CIT'!AS15</f>
        <v>0.25188862785235172</v>
      </c>
      <c r="E27" s="264">
        <f>'PEG 6000 + CIT'!AT15</f>
        <v>2.9469512999286346E-3</v>
      </c>
      <c r="F27" s="264">
        <f>'PEG 6000 + CIT'!AU15</f>
        <v>9.0444594968596261E-4</v>
      </c>
      <c r="G27" s="264">
        <f>'PEG 6000 + CIT'!AV15</f>
        <v>1.0581494646533132E-5</v>
      </c>
      <c r="H27" s="264">
        <f t="shared" si="9"/>
        <v>0.74720692619796225</v>
      </c>
      <c r="I27" s="265">
        <f>H27*'PEG 6000 + CIT'!$AG$57</f>
        <v>8.7418889897859509E-3</v>
      </c>
      <c r="J27" s="411"/>
      <c r="K27" s="411"/>
      <c r="L27" s="414"/>
      <c r="M27" s="414"/>
      <c r="N27" s="266">
        <f>'PEG 6000 + CIT'!S70</f>
        <v>1.1570666666666667</v>
      </c>
      <c r="O27" s="267">
        <f>'PEG 6000 + CIT'!S71</f>
        <v>4.4467216388405064E-3</v>
      </c>
      <c r="Q27" s="475" t="s">
        <v>5</v>
      </c>
      <c r="R27" s="79">
        <v>0.20779486317221901</v>
      </c>
      <c r="S27" s="79">
        <v>1.9620844069782187E-3</v>
      </c>
      <c r="T27" s="79">
        <v>1.0000000000000005E-3</v>
      </c>
      <c r="U27" s="183">
        <v>9.442410543864394E-6</v>
      </c>
    </row>
    <row r="28" spans="2:21" ht="15" thickBot="1" x14ac:dyDescent="0.35">
      <c r="B28" s="406">
        <v>4</v>
      </c>
      <c r="C28" s="250" t="s">
        <v>6</v>
      </c>
      <c r="D28" s="258">
        <f>'PEG 6000 + CIT'!AS16</f>
        <v>0.18516577119643562</v>
      </c>
      <c r="E28" s="258">
        <f>'PEG 6000 + CIT'!AT16</f>
        <v>5.2936291353184958E-4</v>
      </c>
      <c r="F28" s="258">
        <f>'PEG 6000 + CIT'!AU16</f>
        <v>0.22605163150307958</v>
      </c>
      <c r="G28" s="258">
        <f>'PEG 6000 + CIT'!AV16</f>
        <v>6.462498413605382E-4</v>
      </c>
      <c r="H28" s="258">
        <f t="shared" si="9"/>
        <v>0.58878259730048477</v>
      </c>
      <c r="I28" s="259">
        <f>H28*'PEG 6000 + CIT'!$AG$81</f>
        <v>2.7194642917164759E-2</v>
      </c>
      <c r="J28" s="409">
        <f t="shared" ref="J28" si="15">(F29-F30)/(D29-D30)</f>
        <v>-1.5781445792218121</v>
      </c>
      <c r="K28" s="409">
        <f t="shared" ref="K28" si="16">SQRT(((D29-D30)^2)+((F29-F30)^2))</f>
        <v>0.55735165392834207</v>
      </c>
      <c r="L28" s="412">
        <f>'PEG 6000 + CIT'!AZ16</f>
        <v>1</v>
      </c>
      <c r="M28" s="412">
        <f t="shared" ref="M28" si="17">(SQRT(((D28-D30)^2)+((F28-F30)^2)))/(SQRT(((D28-D29)^2)+((F28-F29)^2)))</f>
        <v>0.91827933969737563</v>
      </c>
      <c r="N28" s="260"/>
      <c r="O28" s="261"/>
      <c r="Q28" s="130" t="s">
        <v>4</v>
      </c>
      <c r="R28" s="79">
        <v>3.8999999999999993E-2</v>
      </c>
      <c r="S28" s="79">
        <v>9.888240599849195E-4</v>
      </c>
      <c r="T28" s="79">
        <v>0.36666943106097999</v>
      </c>
      <c r="U28" s="183">
        <v>9.2967065511302266E-3</v>
      </c>
    </row>
    <row r="29" spans="2:21" ht="15" thickBot="1" x14ac:dyDescent="0.35">
      <c r="B29" s="407"/>
      <c r="C29" s="251" t="s">
        <v>4</v>
      </c>
      <c r="D29" s="258">
        <f>'PEG 6000 + CIT'!AS17</f>
        <v>2.9999999999999995E-2</v>
      </c>
      <c r="E29" s="258">
        <f>'PEG 6000 + CIT'!AT17</f>
        <v>8.5765783294300274E-5</v>
      </c>
      <c r="F29" s="258">
        <f>'PEG 6000 + CIT'!AU17</f>
        <v>0.47169718162146251</v>
      </c>
      <c r="G29" s="258">
        <f>'PEG 6000 + CIT'!AV17</f>
        <v>1.3485159419826186E-3</v>
      </c>
      <c r="H29" s="258">
        <f t="shared" si="9"/>
        <v>0.49830281837853746</v>
      </c>
      <c r="I29" s="259">
        <f>H29*'PEG 6000 + CIT'!$AG$81</f>
        <v>2.301557021649759E-2</v>
      </c>
      <c r="J29" s="410"/>
      <c r="K29" s="410"/>
      <c r="L29" s="413"/>
      <c r="M29" s="413"/>
      <c r="N29" s="262">
        <f>'PEG 6000 + CIT'!S92</f>
        <v>1.1109333333333333</v>
      </c>
      <c r="O29" s="263">
        <f>'PEG 6000 + CIT'!S93</f>
        <v>9.0737717258774341E-3</v>
      </c>
      <c r="Q29" s="475" t="s">
        <v>5</v>
      </c>
      <c r="R29" s="79">
        <v>0.25381870757243263</v>
      </c>
      <c r="S29" s="79">
        <v>6.4354370492794334E-3</v>
      </c>
      <c r="T29" s="79">
        <v>0</v>
      </c>
      <c r="U29" s="183">
        <v>0</v>
      </c>
    </row>
    <row r="30" spans="2:21" ht="15" thickBot="1" x14ac:dyDescent="0.35">
      <c r="B30" s="408"/>
      <c r="C30" s="252" t="s">
        <v>5</v>
      </c>
      <c r="D30" s="264">
        <f>'PEG 6000 + CIT'!AS18</f>
        <v>0.32832040858000844</v>
      </c>
      <c r="E30" s="264">
        <f>'PEG 6000 + CIT'!AT18</f>
        <v>9.386219004456377E-4</v>
      </c>
      <c r="F30" s="264">
        <f>'PEG 6000 + CIT'!AU18</f>
        <v>9.044459496859625E-4</v>
      </c>
      <c r="G30" s="264">
        <f>'PEG 6000 + CIT'!AV18</f>
        <v>2.5856838440724627E-6</v>
      </c>
      <c r="H30" s="264">
        <f t="shared" si="9"/>
        <v>0.67077514547030559</v>
      </c>
      <c r="I30" s="265">
        <f>H30*'PEG 6000 + CIT'!$AG$81</f>
        <v>3.0981708091254397E-2</v>
      </c>
      <c r="J30" s="411"/>
      <c r="K30" s="411"/>
      <c r="L30" s="414"/>
      <c r="M30" s="414"/>
      <c r="N30" s="266">
        <f>'PEG 6000 + CIT'!S94</f>
        <v>1.2169333333333332</v>
      </c>
      <c r="O30" s="267">
        <f>'PEG 6000 + CIT'!S95</f>
        <v>3.743438704364437E-3</v>
      </c>
      <c r="Q30" s="130" t="s">
        <v>4</v>
      </c>
      <c r="R30" s="79">
        <v>2.8376517219081163E-2</v>
      </c>
      <c r="S30" s="79">
        <v>3.2227236539327745E-5</v>
      </c>
      <c r="T30" s="79">
        <v>0.46573049098997177</v>
      </c>
      <c r="U30" s="183">
        <v>5.2893054425362887E-4</v>
      </c>
    </row>
    <row r="31" spans="2:21" ht="15" thickBot="1" x14ac:dyDescent="0.35">
      <c r="B31" s="386"/>
      <c r="C31" s="29"/>
      <c r="D31" s="37"/>
      <c r="E31" s="37"/>
      <c r="F31" s="37"/>
      <c r="G31" s="37"/>
      <c r="H31" s="37"/>
      <c r="I31" s="268" t="s">
        <v>91</v>
      </c>
      <c r="J31" s="269">
        <f>AVERAGE(J19:J30)</f>
        <v>-1.7732988402187377</v>
      </c>
      <c r="K31" s="40"/>
      <c r="L31" s="41"/>
      <c r="M31" s="41"/>
      <c r="N31" s="38"/>
      <c r="O31" s="38"/>
      <c r="Q31" s="128" t="s">
        <v>5</v>
      </c>
      <c r="R31" s="293">
        <v>0.3341404588406135</v>
      </c>
      <c r="S31" s="293">
        <v>3.7948362447999675E-4</v>
      </c>
      <c r="T31" s="293">
        <v>0</v>
      </c>
      <c r="U31" s="199">
        <v>0</v>
      </c>
    </row>
    <row r="32" spans="2:21" x14ac:dyDescent="0.3">
      <c r="B32" s="386"/>
      <c r="C32" s="29"/>
      <c r="D32" s="37"/>
      <c r="E32" s="37"/>
      <c r="F32" s="37"/>
      <c r="G32" s="37"/>
      <c r="H32" s="37"/>
      <c r="I32" s="262" t="s">
        <v>86</v>
      </c>
      <c r="J32" s="270">
        <f>_xlfn.STDEV.S(J19:J30)</f>
        <v>0.15327641336373132</v>
      </c>
      <c r="K32" s="40"/>
      <c r="L32" s="41"/>
      <c r="M32" s="41"/>
      <c r="N32" s="38"/>
      <c r="O32" s="38"/>
    </row>
    <row r="33" spans="2:25" ht="15" thickBot="1" x14ac:dyDescent="0.35">
      <c r="B33" s="386"/>
      <c r="C33" s="29"/>
      <c r="D33" s="37"/>
      <c r="E33" s="37"/>
      <c r="F33" s="37"/>
      <c r="G33" s="37"/>
      <c r="H33" s="37"/>
      <c r="I33" s="39"/>
      <c r="J33" s="40"/>
      <c r="K33" s="40"/>
      <c r="O33" s="38"/>
    </row>
    <row r="34" spans="2:25" ht="29.4" thickBot="1" x14ac:dyDescent="0.35">
      <c r="B34" s="30" t="s">
        <v>84</v>
      </c>
      <c r="C34" s="470" t="s">
        <v>146</v>
      </c>
      <c r="D34" s="31" t="s">
        <v>85</v>
      </c>
      <c r="E34" s="31" t="s">
        <v>86</v>
      </c>
      <c r="F34" s="31" t="s">
        <v>10</v>
      </c>
      <c r="G34" s="31" t="s">
        <v>86</v>
      </c>
      <c r="H34" s="31" t="s">
        <v>20</v>
      </c>
      <c r="I34" s="32" t="s">
        <v>86</v>
      </c>
      <c r="J34" s="32" t="s">
        <v>87</v>
      </c>
      <c r="K34" s="31" t="s">
        <v>88</v>
      </c>
      <c r="L34" s="31" t="s">
        <v>89</v>
      </c>
      <c r="M34" s="32" t="s">
        <v>90</v>
      </c>
      <c r="N34" s="42" t="s">
        <v>23</v>
      </c>
      <c r="O34" s="43" t="s">
        <v>86</v>
      </c>
      <c r="R34" s="7"/>
      <c r="S34" s="7"/>
      <c r="T34" s="7"/>
    </row>
    <row r="35" spans="2:25" ht="15" thickBot="1" x14ac:dyDescent="0.35">
      <c r="B35" s="415">
        <v>1</v>
      </c>
      <c r="C35" s="33" t="s">
        <v>6</v>
      </c>
      <c r="D35" s="276">
        <f>'PEG 10000 + CIT'!AS6</f>
        <v>0.10376922569146478</v>
      </c>
      <c r="E35" s="276">
        <f>'PEG 10000 + CIT'!AT6</f>
        <v>7.9869313406569751E-4</v>
      </c>
      <c r="F35" s="276">
        <f>'PEG 10000 + CIT'!AU6</f>
        <v>0.1485246550927454</v>
      </c>
      <c r="G35" s="276">
        <f>'PEG 10000 + CIT'!AV6</f>
        <v>1.1431676537199868E-3</v>
      </c>
      <c r="H35" s="276">
        <f>1-D35-F35</f>
        <v>0.74770611921578989</v>
      </c>
      <c r="I35" s="277">
        <f>H35*'PEG 10000 + CIT'!$AG$8</f>
        <v>5.7549600060827965E-3</v>
      </c>
      <c r="J35" s="418">
        <f>(F36-F37)/(D36-D37)</f>
        <v>-2.1917001351250609</v>
      </c>
      <c r="K35" s="418">
        <f>SQRT(((D36-D37)^2)+((F36-F37)^2))</f>
        <v>0.24303234624015985</v>
      </c>
      <c r="L35" s="420">
        <f>'PEG 10000 + CIT'!AZ6</f>
        <v>1.6190476190476191</v>
      </c>
      <c r="M35" s="420">
        <f>(SQRT(((D35-D37)^2)+((F35-F37)^2)))/(SQRT(((D35-D36)^2)+((F35-F36)^2)))</f>
        <v>1.583597688494558</v>
      </c>
      <c r="N35" s="278"/>
      <c r="O35" s="279"/>
      <c r="R35" s="7"/>
      <c r="S35" s="7"/>
      <c r="T35" s="7"/>
    </row>
    <row r="36" spans="2:25" ht="15" thickBot="1" x14ac:dyDescent="0.35">
      <c r="B36" s="416"/>
      <c r="C36" s="9" t="s">
        <v>4</v>
      </c>
      <c r="D36" s="276">
        <f>'PEG 10000 + CIT'!AS7</f>
        <v>6.4721825513311099E-2</v>
      </c>
      <c r="E36" s="276">
        <f>'PEG 10000 + CIT'!AT7</f>
        <v>4.9815229242798045E-4</v>
      </c>
      <c r="F36" s="276">
        <f>'PEG 10000 + CIT'!AU7</f>
        <v>0.23410490045675805</v>
      </c>
      <c r="G36" s="276">
        <f>'PEG 10000 + CIT'!AV7</f>
        <v>1.8018634657820862E-3</v>
      </c>
      <c r="H36" s="276">
        <f t="shared" ref="H36:H46" si="18">1-D36-F36</f>
        <v>0.7011732740299309</v>
      </c>
      <c r="I36" s="277">
        <f>H36*'PEG 10000 + CIT'!$AG$8</f>
        <v>5.3968050356584148E-3</v>
      </c>
      <c r="J36" s="419"/>
      <c r="K36" s="419"/>
      <c r="L36" s="421"/>
      <c r="M36" s="421"/>
      <c r="N36" s="60">
        <f>'PEG 10000 + CIT'!S19</f>
        <v>1.0839999999999999</v>
      </c>
      <c r="O36" s="84">
        <f>'PEG 10000 + CIT'!S20</f>
        <v>1.2165525060596379E-3</v>
      </c>
    </row>
    <row r="37" spans="2:25" ht="15" thickBot="1" x14ac:dyDescent="0.35">
      <c r="B37" s="417"/>
      <c r="C37" s="36" t="s">
        <v>5</v>
      </c>
      <c r="D37" s="280">
        <f>'PEG 10000 + CIT'!AS8</f>
        <v>0.16560465018135884</v>
      </c>
      <c r="E37" s="280">
        <f>'PEG 10000 + CIT'!AT8</f>
        <v>1.2746293150771983E-3</v>
      </c>
      <c r="F37" s="280">
        <f>'PEG 10000 + CIT'!AU8</f>
        <v>1.2999999999999999E-2</v>
      </c>
      <c r="G37" s="280">
        <f>'PEG 10000 + CIT'!AV8</f>
        <v>1.0005867032029024E-4</v>
      </c>
      <c r="H37" s="280">
        <f t="shared" si="18"/>
        <v>0.82139534981864115</v>
      </c>
      <c r="I37" s="281">
        <f>H37*'PEG 10000 + CIT'!$AG$8</f>
        <v>6.3221328084709918E-3</v>
      </c>
      <c r="J37" s="419"/>
      <c r="K37" s="419"/>
      <c r="L37" s="421"/>
      <c r="M37" s="421"/>
      <c r="N37" s="93">
        <f>'PEG 10000 + CIT'!S21</f>
        <v>1.1082666666666667</v>
      </c>
      <c r="O37" s="282">
        <f>'PEG 10000 + CIT'!S22</f>
        <v>4.7003545965526557E-3</v>
      </c>
    </row>
    <row r="38" spans="2:25" ht="15" thickBot="1" x14ac:dyDescent="0.35">
      <c r="B38" s="415">
        <v>2</v>
      </c>
      <c r="C38" s="33" t="s">
        <v>6</v>
      </c>
      <c r="D38" s="276">
        <f>'PEG 10000 + CIT'!AS9</f>
        <v>0.12387045709385927</v>
      </c>
      <c r="E38" s="276">
        <f>'PEG 10000 + CIT'!AT9</f>
        <v>1.1696357101363582E-3</v>
      </c>
      <c r="F38" s="276">
        <f>'PEG 10000 + CIT'!AU9</f>
        <v>0.16819471011147022</v>
      </c>
      <c r="G38" s="276">
        <f>'PEG 10000 + CIT'!AV9</f>
        <v>1.5881635041787609E-3</v>
      </c>
      <c r="H38" s="276">
        <f t="shared" si="18"/>
        <v>0.70793483279467051</v>
      </c>
      <c r="I38" s="277">
        <f>H38*'PEG 10000 + CIT'!$AG$32</f>
        <v>6.6846113295492707E-3</v>
      </c>
      <c r="J38" s="418">
        <f>(F39-F40)/(D39-D40)</f>
        <v>-2.0268425201407267</v>
      </c>
      <c r="K38" s="418">
        <f t="shared" ref="K38" si="19">SQRT(((D39-D40)^2)+((F39-F40)^2))</f>
        <v>0.35663351743511185</v>
      </c>
      <c r="L38" s="420">
        <f>'PEG 10000 + CIT'!AZ9</f>
        <v>1.2</v>
      </c>
      <c r="M38" s="420">
        <f t="shared" ref="M38" si="20">(SQRT(((D38-D40)^2)+((F38-F40)^2)))/(SQRT(((D38-D39)^2)+((F38-F39)^2)))</f>
        <v>1.1032565652940649</v>
      </c>
      <c r="N38" s="283"/>
      <c r="O38" s="284"/>
      <c r="V38" s="26"/>
      <c r="W38" s="26"/>
      <c r="X38" s="26"/>
      <c r="Y38" s="28"/>
    </row>
    <row r="39" spans="2:25" ht="15" thickBot="1" x14ac:dyDescent="0.35">
      <c r="B39" s="416"/>
      <c r="C39" s="9" t="s">
        <v>4</v>
      </c>
      <c r="D39" s="276">
        <f>'PEG 10000 + CIT'!AS10</f>
        <v>0.05</v>
      </c>
      <c r="E39" s="276">
        <f>'PEG 10000 + CIT'!AT10</f>
        <v>4.721205271932195E-4</v>
      </c>
      <c r="F39" s="276">
        <f>'PEG 10000 + CIT'!AU10</f>
        <v>0.32082533813724157</v>
      </c>
      <c r="G39" s="276">
        <f>'PEG 10000 + CIT'!AV10</f>
        <v>3.0293645555659479E-3</v>
      </c>
      <c r="H39" s="276">
        <f t="shared" si="18"/>
        <v>0.62917466186275839</v>
      </c>
      <c r="I39" s="277">
        <f>H39*'PEG 10000 + CIT'!$AG$32</f>
        <v>5.9409254611052214E-3</v>
      </c>
      <c r="J39" s="419"/>
      <c r="K39" s="419"/>
      <c r="L39" s="421"/>
      <c r="M39" s="421"/>
      <c r="N39" s="60">
        <f>'PEG 10000 + CIT'!S43</f>
        <v>1.0762666666666667</v>
      </c>
      <c r="O39" s="84">
        <f>'PEG 10000 + CIT'!S44</f>
        <v>1.4189197769195804E-3</v>
      </c>
      <c r="V39" s="26"/>
      <c r="W39" s="26"/>
      <c r="X39" s="26"/>
      <c r="Y39" s="28"/>
    </row>
    <row r="40" spans="2:25" ht="15" thickBot="1" x14ac:dyDescent="0.35">
      <c r="B40" s="422"/>
      <c r="C40" s="34" t="s">
        <v>5</v>
      </c>
      <c r="D40" s="285">
        <f>'PEG 10000 + CIT'!AS11</f>
        <v>0.20779486317221901</v>
      </c>
      <c r="E40" s="285">
        <f>'PEG 10000 + CIT'!AT11</f>
        <v>1.9620844069782187E-3</v>
      </c>
      <c r="F40" s="285">
        <f>'PEG 10000 + CIT'!AU11</f>
        <v>1.0000000000000005E-3</v>
      </c>
      <c r="G40" s="285">
        <f>'PEG 10000 + CIT'!AV11</f>
        <v>9.442410543864394E-6</v>
      </c>
      <c r="H40" s="285">
        <f t="shared" si="18"/>
        <v>0.79120513682778093</v>
      </c>
      <c r="I40" s="286">
        <f>H40*'PEG 10000 + CIT'!$AG$32</f>
        <v>7.4708837263423051E-3</v>
      </c>
      <c r="J40" s="423"/>
      <c r="K40" s="423"/>
      <c r="L40" s="424"/>
      <c r="M40" s="424"/>
      <c r="N40" s="287">
        <f>'PEG 10000 + CIT'!S45</f>
        <v>1.1298666666666666</v>
      </c>
      <c r="O40" s="97">
        <f>'PEG 10000 + CIT'!S46</f>
        <v>3.1770006819849344E-3</v>
      </c>
      <c r="V40" s="26"/>
      <c r="W40" s="26"/>
      <c r="X40" s="26"/>
      <c r="Y40" s="28"/>
    </row>
    <row r="41" spans="2:25" ht="15" thickBot="1" x14ac:dyDescent="0.35">
      <c r="B41" s="428">
        <v>3</v>
      </c>
      <c r="C41" s="35" t="s">
        <v>6</v>
      </c>
      <c r="D41" s="288">
        <f>'PEG 10000 + CIT'!AS12</f>
        <v>0.14436179316700679</v>
      </c>
      <c r="E41" s="288">
        <f>'PEG 10000 + CIT'!AT12</f>
        <v>3.6602157545154584E-3</v>
      </c>
      <c r="F41" s="288">
        <f>'PEG 10000 + CIT'!AU12</f>
        <v>0.18761108551115793</v>
      </c>
      <c r="G41" s="288">
        <f>'PEG 10000 + CIT'!AV12</f>
        <v>4.7567783403415671E-3</v>
      </c>
      <c r="H41" s="288">
        <f t="shared" si="18"/>
        <v>0.66802712132183528</v>
      </c>
      <c r="I41" s="289">
        <f>H41*'PEG 10000 + CIT'!$AG$56</f>
        <v>1.6937468981679374E-2</v>
      </c>
      <c r="J41" s="419">
        <f t="shared" ref="J41" si="21">(F42-F43)/(D42-D43)</f>
        <v>-1.706878489329642</v>
      </c>
      <c r="K41" s="419">
        <f t="shared" ref="K41" si="22">SQRT(((D42-D43)^2)+((F42-F43)^2))</f>
        <v>0.42496299697464612</v>
      </c>
      <c r="L41" s="421">
        <f>'PEG 10000 + CIT'!AZ12</f>
        <v>1.1200000000000001</v>
      </c>
      <c r="M41" s="421">
        <f t="shared" ref="M41" si="23">(SQRT(((D41-D43)^2)+((F41-F43)^2)))/(SQRT(((D41-D42)^2)+((F41-F42)^2)))</f>
        <v>1.0454838884236111</v>
      </c>
      <c r="N41" s="278"/>
      <c r="O41" s="279"/>
    </row>
    <row r="42" spans="2:25" ht="15" thickBot="1" x14ac:dyDescent="0.35">
      <c r="B42" s="416"/>
      <c r="C42" s="9" t="s">
        <v>4</v>
      </c>
      <c r="D42" s="276">
        <f>'PEG 10000 + CIT'!AS13</f>
        <v>3.8999999999999993E-2</v>
      </c>
      <c r="E42" s="276">
        <f>'PEG 10000 + CIT'!AT13</f>
        <v>9.888240599849195E-4</v>
      </c>
      <c r="F42" s="276">
        <f>'PEG 10000 + CIT'!AU13</f>
        <v>0.36666943106097999</v>
      </c>
      <c r="G42" s="276">
        <f>'PEG 10000 + CIT'!AV13</f>
        <v>9.2967065511302266E-3</v>
      </c>
      <c r="H42" s="276">
        <f t="shared" si="18"/>
        <v>0.59433056893901992</v>
      </c>
      <c r="I42" s="277">
        <f>H42*'PEG 10000 + CIT'!$AG$56</f>
        <v>1.5068932465421252E-2</v>
      </c>
      <c r="J42" s="419"/>
      <c r="K42" s="419"/>
      <c r="L42" s="421"/>
      <c r="M42" s="421"/>
      <c r="N42" s="60">
        <f>'PEG 10000 + CIT'!S67</f>
        <v>1.0843333333333334</v>
      </c>
      <c r="O42" s="84">
        <f>'PEG 10000 + CIT'!S68</f>
        <v>3.7806525010021324E-3</v>
      </c>
    </row>
    <row r="43" spans="2:25" ht="15" thickBot="1" x14ac:dyDescent="0.35">
      <c r="B43" s="417"/>
      <c r="C43" s="36" t="s">
        <v>5</v>
      </c>
      <c r="D43" s="280">
        <f>'PEG 10000 + CIT'!AS14</f>
        <v>0.25381870757243263</v>
      </c>
      <c r="E43" s="280">
        <f>'PEG 10000 + CIT'!AT14</f>
        <v>6.4354370492794334E-3</v>
      </c>
      <c r="F43" s="280">
        <f>'PEG 10000 + CIT'!AU14</f>
        <v>0</v>
      </c>
      <c r="G43" s="280">
        <f>'PEG 10000 + CIT'!AV14</f>
        <v>0</v>
      </c>
      <c r="H43" s="280">
        <f t="shared" si="18"/>
        <v>0.74618129242756737</v>
      </c>
      <c r="I43" s="281">
        <f>H43*'PEG 10000 + CIT'!$AG$56</f>
        <v>1.8919026027256966E-2</v>
      </c>
      <c r="J43" s="419"/>
      <c r="K43" s="419"/>
      <c r="L43" s="421"/>
      <c r="M43" s="421"/>
      <c r="N43" s="93">
        <f>'PEG 10000 + CIT'!S69</f>
        <v>1.1563333333333332</v>
      </c>
      <c r="O43" s="282">
        <f>'PEG 10000 + CIT'!S70</f>
        <v>1.9425069712444918E-3</v>
      </c>
    </row>
    <row r="44" spans="2:25" ht="15" thickBot="1" x14ac:dyDescent="0.35">
      <c r="B44" s="415">
        <v>4</v>
      </c>
      <c r="C44" s="33" t="s">
        <v>6</v>
      </c>
      <c r="D44" s="276">
        <f>'PEG 10000 + CIT'!AS15</f>
        <v>0.18602825745682891</v>
      </c>
      <c r="E44" s="276">
        <f>'PEG 10000 + CIT'!AT15</f>
        <v>2.11272462007031E-4</v>
      </c>
      <c r="F44" s="276">
        <f>'PEG 10000 + CIT'!AU15</f>
        <v>0.22566718995290425</v>
      </c>
      <c r="G44" s="276">
        <f>'PEG 10000 + CIT'!AV15</f>
        <v>2.5629043386928864E-4</v>
      </c>
      <c r="H44" s="276">
        <f t="shared" si="18"/>
        <v>0.58830455259026682</v>
      </c>
      <c r="I44" s="277">
        <f>H44*'PEG 10000 + CIT'!$AG$80</f>
        <v>1.376747174713845E-3</v>
      </c>
      <c r="J44" s="429">
        <f t="shared" ref="J44" si="24">(F45-F46)/(D45-D46)</f>
        <v>-1.523170091673012</v>
      </c>
      <c r="K44" s="429">
        <f t="shared" ref="K44" si="25">SQRT(((D45-D46)^2)+((F45-F46)^2))</f>
        <v>0.55713237047733555</v>
      </c>
      <c r="L44" s="432">
        <f>'PEG 10000 + CIT'!AZ15</f>
        <v>1.0384615384615385</v>
      </c>
      <c r="M44" s="425">
        <f t="shared" ref="M44" si="26">(SQRT(((D44-D46)^2)+((F44-F46)^2)))/(SQRT(((D44-D45)^2)+((F44-F45)^2)))</f>
        <v>0.93986867160120247</v>
      </c>
      <c r="N44" s="283"/>
      <c r="O44" s="284"/>
    </row>
    <row r="45" spans="2:25" ht="15" thickBot="1" x14ac:dyDescent="0.35">
      <c r="B45" s="416"/>
      <c r="C45" s="9" t="s">
        <v>4</v>
      </c>
      <c r="D45" s="276">
        <f>'PEG 10000 + CIT'!AS16</f>
        <v>2.8376517219081177E-2</v>
      </c>
      <c r="E45" s="276">
        <f>'PEG 10000 + CIT'!AT16</f>
        <v>3.2227236539327765E-5</v>
      </c>
      <c r="F45" s="276">
        <f>'PEG 10000 + CIT'!AU16</f>
        <v>0.46573049098997077</v>
      </c>
      <c r="G45" s="276">
        <f>'PEG 10000 + CIT'!AV16</f>
        <v>5.2893054425362767E-4</v>
      </c>
      <c r="H45" s="276">
        <f t="shared" si="18"/>
        <v>0.50589299179094804</v>
      </c>
      <c r="I45" s="277">
        <f>H45*'PEG 10000 + CIT'!$AG$80</f>
        <v>1.1838880798884458E-3</v>
      </c>
      <c r="J45" s="430"/>
      <c r="K45" s="430"/>
      <c r="L45" s="433"/>
      <c r="M45" s="426"/>
      <c r="N45" s="60">
        <f>'PEG 10000 + CIT'!S91</f>
        <v>1.0999333333333332</v>
      </c>
      <c r="O45" s="84">
        <f>'PEG 10000 + CIT'!S92</f>
        <v>6.1849279165834123E-3</v>
      </c>
    </row>
    <row r="46" spans="2:25" ht="15" thickBot="1" x14ac:dyDescent="0.35">
      <c r="B46" s="422"/>
      <c r="C46" s="34" t="s">
        <v>5</v>
      </c>
      <c r="D46" s="285">
        <f>'PEG 10000 + CIT'!AS17</f>
        <v>0.33414045884061344</v>
      </c>
      <c r="E46" s="285">
        <f>'PEG 10000 + CIT'!AT17</f>
        <v>3.794836244799967E-4</v>
      </c>
      <c r="F46" s="285">
        <f>'PEG 10000 + CIT'!AU17</f>
        <v>0</v>
      </c>
      <c r="G46" s="285">
        <f>'PEG 10000 + CIT'!AV17</f>
        <v>0</v>
      </c>
      <c r="H46" s="285">
        <f t="shared" si="18"/>
        <v>0.66585954115938661</v>
      </c>
      <c r="I46" s="286">
        <f>H46*'PEG 10000 + CIT'!$AG$80</f>
        <v>1.5582409451213371E-3</v>
      </c>
      <c r="J46" s="431"/>
      <c r="K46" s="431"/>
      <c r="L46" s="434"/>
      <c r="M46" s="427"/>
      <c r="N46" s="287">
        <f>'PEG 10000 + CIT'!S93</f>
        <v>1.2154</v>
      </c>
      <c r="O46" s="97">
        <f>'PEG 10000 + CIT'!S94</f>
        <v>6.9282032302747459E-4</v>
      </c>
    </row>
    <row r="47" spans="2:25" x14ac:dyDescent="0.3">
      <c r="B47" s="386"/>
      <c r="C47" s="29"/>
      <c r="D47" s="37"/>
      <c r="E47" s="37"/>
      <c r="F47" s="37"/>
      <c r="G47" s="37"/>
      <c r="H47" s="37"/>
      <c r="I47" s="290" t="s">
        <v>91</v>
      </c>
      <c r="J47" s="291">
        <f>AVERAGE(J35:J46)</f>
        <v>-1.8621478090671104</v>
      </c>
      <c r="K47" s="40"/>
      <c r="L47" s="41"/>
      <c r="M47" s="41"/>
      <c r="N47" s="38"/>
      <c r="O47" s="38"/>
    </row>
    <row r="48" spans="2:25" x14ac:dyDescent="0.3">
      <c r="B48" s="386"/>
      <c r="C48" s="29"/>
      <c r="D48" s="37"/>
      <c r="E48" s="37"/>
      <c r="F48" s="37"/>
      <c r="G48" s="37"/>
      <c r="H48" s="37"/>
      <c r="I48" s="60" t="s">
        <v>86</v>
      </c>
      <c r="J48" s="79">
        <f>_xlfn.STDEV.S(J35:J46)</f>
        <v>0.30262382479864069</v>
      </c>
      <c r="K48" s="40"/>
      <c r="L48" s="41"/>
      <c r="M48" s="41"/>
      <c r="N48" s="38"/>
      <c r="O48" s="38"/>
    </row>
    <row r="49" spans="2:15" x14ac:dyDescent="0.3">
      <c r="B49" s="386"/>
      <c r="C49" s="29"/>
      <c r="D49" s="37"/>
      <c r="E49" s="37"/>
      <c r="F49" s="37"/>
      <c r="G49" s="37"/>
      <c r="H49" s="37"/>
      <c r="I49" s="39"/>
      <c r="J49" s="40"/>
      <c r="K49" s="40"/>
      <c r="O49" s="38"/>
    </row>
  </sheetData>
  <mergeCells count="63">
    <mergeCell ref="B47:B49"/>
    <mergeCell ref="B44:B46"/>
    <mergeCell ref="J44:J46"/>
    <mergeCell ref="K44:K46"/>
    <mergeCell ref="L44:L46"/>
    <mergeCell ref="M44:M46"/>
    <mergeCell ref="B41:B43"/>
    <mergeCell ref="J41:J43"/>
    <mergeCell ref="K41:K43"/>
    <mergeCell ref="L41:L43"/>
    <mergeCell ref="M41:M43"/>
    <mergeCell ref="M35:M37"/>
    <mergeCell ref="B38:B40"/>
    <mergeCell ref="J38:J40"/>
    <mergeCell ref="K38:K40"/>
    <mergeCell ref="L38:L40"/>
    <mergeCell ref="M38:M40"/>
    <mergeCell ref="B31:B33"/>
    <mergeCell ref="B35:B37"/>
    <mergeCell ref="J35:J37"/>
    <mergeCell ref="K35:K37"/>
    <mergeCell ref="L35:L37"/>
    <mergeCell ref="B28:B30"/>
    <mergeCell ref="J28:J30"/>
    <mergeCell ref="K28:K30"/>
    <mergeCell ref="L28:L30"/>
    <mergeCell ref="M28:M30"/>
    <mergeCell ref="B25:B27"/>
    <mergeCell ref="J25:J27"/>
    <mergeCell ref="K25:K27"/>
    <mergeCell ref="L25:L27"/>
    <mergeCell ref="M25:M27"/>
    <mergeCell ref="B22:B24"/>
    <mergeCell ref="J22:J24"/>
    <mergeCell ref="K22:K24"/>
    <mergeCell ref="L22:L24"/>
    <mergeCell ref="M22:M24"/>
    <mergeCell ref="B19:B21"/>
    <mergeCell ref="J19:J21"/>
    <mergeCell ref="K19:K21"/>
    <mergeCell ref="L19:L21"/>
    <mergeCell ref="M19:M21"/>
    <mergeCell ref="B6:B8"/>
    <mergeCell ref="J6:J8"/>
    <mergeCell ref="K6:K8"/>
    <mergeCell ref="L6:L8"/>
    <mergeCell ref="M6:M8"/>
    <mergeCell ref="B3:B5"/>
    <mergeCell ref="J3:J5"/>
    <mergeCell ref="K3:K5"/>
    <mergeCell ref="L3:L5"/>
    <mergeCell ref="M3:M5"/>
    <mergeCell ref="M9:M11"/>
    <mergeCell ref="B12:B14"/>
    <mergeCell ref="J12:J14"/>
    <mergeCell ref="K12:K14"/>
    <mergeCell ref="L12:L14"/>
    <mergeCell ref="M12:M14"/>
    <mergeCell ref="B15:B17"/>
    <mergeCell ref="B9:B11"/>
    <mergeCell ref="J9:J11"/>
    <mergeCell ref="K9:K11"/>
    <mergeCell ref="L9:L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0FBF-2A3B-4A7E-83CE-FDF7A23D291C}">
  <dimension ref="B1:X83"/>
  <sheetViews>
    <sheetView zoomScale="55" zoomScaleNormal="55" workbookViewId="0">
      <selection activeCell="I63" sqref="I63"/>
    </sheetView>
  </sheetViews>
  <sheetFormatPr defaultRowHeight="14.4" x14ac:dyDescent="0.3"/>
  <cols>
    <col min="2" max="2" width="23" bestFit="1" customWidth="1"/>
    <col min="3" max="3" width="30.88671875" bestFit="1" customWidth="1"/>
    <col min="4" max="4" width="22.44140625" bestFit="1" customWidth="1"/>
    <col min="5" max="5" width="23.6640625" bestFit="1" customWidth="1"/>
    <col min="7" max="7" width="12.33203125" bestFit="1" customWidth="1"/>
    <col min="13" max="13" width="14.44140625" bestFit="1" customWidth="1"/>
    <col min="14" max="15" width="20" bestFit="1" customWidth="1"/>
    <col min="16" max="16" width="21" bestFit="1" customWidth="1"/>
  </cols>
  <sheetData>
    <row r="1" spans="2:23" ht="15" customHeight="1" x14ac:dyDescent="0.3"/>
    <row r="2" spans="2:23" ht="15" customHeight="1" x14ac:dyDescent="0.3">
      <c r="B2" s="435" t="s">
        <v>100</v>
      </c>
      <c r="C2" s="294" t="s">
        <v>81</v>
      </c>
      <c r="D2" s="294">
        <v>3.1665551173505402</v>
      </c>
    </row>
    <row r="3" spans="2:23" ht="15" customHeight="1" x14ac:dyDescent="0.3">
      <c r="B3" s="435"/>
      <c r="C3" s="294" t="s">
        <v>82</v>
      </c>
      <c r="D3" s="294">
        <v>10.045191491019033</v>
      </c>
    </row>
    <row r="4" spans="2:23" x14ac:dyDescent="0.3">
      <c r="B4" s="435"/>
      <c r="C4" s="294" t="s">
        <v>83</v>
      </c>
      <c r="D4" s="294">
        <v>84.226059438907711</v>
      </c>
    </row>
    <row r="5" spans="2:23" x14ac:dyDescent="0.3">
      <c r="F5" s="25"/>
      <c r="W5" s="7"/>
    </row>
    <row r="6" spans="2:23" x14ac:dyDescent="0.3">
      <c r="B6" s="295" t="s">
        <v>95</v>
      </c>
      <c r="C6" s="295" t="s">
        <v>92</v>
      </c>
      <c r="D6" s="295" t="s">
        <v>93</v>
      </c>
      <c r="E6" s="295" t="s">
        <v>94</v>
      </c>
      <c r="W6" s="7"/>
    </row>
    <row r="7" spans="2:23" x14ac:dyDescent="0.3">
      <c r="B7" s="134">
        <v>8.0000000000000016E-2</v>
      </c>
      <c r="C7" s="134">
        <v>0.19488900375569856</v>
      </c>
      <c r="D7" s="138">
        <f t="shared" ref="D7:D14" si="0">$D$2*EXP(-$D$3*B7^(0.5)-$D$4*B7^3)</f>
        <v>0.17698528811424705</v>
      </c>
      <c r="E7" s="307">
        <f t="shared" ref="E7:E14" si="1">(C7-D7)^2</f>
        <v>3.205430337699557E-4</v>
      </c>
      <c r="W7" s="7"/>
    </row>
    <row r="8" spans="2:23" x14ac:dyDescent="0.3">
      <c r="B8" s="134">
        <v>0.15951619275992626</v>
      </c>
      <c r="C8" s="134">
        <v>4.0000000000000008E-2</v>
      </c>
      <c r="D8" s="138">
        <f t="shared" si="0"/>
        <v>4.0712396539839699E-2</v>
      </c>
      <c r="E8" s="307">
        <f t="shared" si="1"/>
        <v>5.0750882997556422E-7</v>
      </c>
      <c r="W8" s="7"/>
    </row>
    <row r="9" spans="2:23" x14ac:dyDescent="0.3">
      <c r="B9" s="134">
        <v>5.2999999999999992E-2</v>
      </c>
      <c r="C9" s="134">
        <v>0.30677393941980041</v>
      </c>
      <c r="D9" s="138">
        <f t="shared" si="0"/>
        <v>0.30960072702097596</v>
      </c>
      <c r="E9" s="307">
        <f t="shared" si="1"/>
        <v>7.990728142159826E-6</v>
      </c>
      <c r="W9" s="7"/>
    </row>
    <row r="10" spans="2:23" x14ac:dyDescent="0.3">
      <c r="B10" s="134">
        <v>0.20833871062357018</v>
      </c>
      <c r="C10" s="134">
        <v>9.9999999999999985E-3</v>
      </c>
      <c r="D10" s="138">
        <f t="shared" si="0"/>
        <v>1.508509357995765E-2</v>
      </c>
      <c r="E10" s="307">
        <f t="shared" si="1"/>
        <v>2.5858176716926529E-5</v>
      </c>
      <c r="W10" s="7"/>
    </row>
    <row r="11" spans="2:23" x14ac:dyDescent="0.3">
      <c r="B11" s="134">
        <v>4.3102685945517825E-2</v>
      </c>
      <c r="C11" s="134">
        <v>0.35453903054859848</v>
      </c>
      <c r="D11" s="138">
        <f t="shared" si="0"/>
        <v>0.3907836119118841</v>
      </c>
      <c r="E11" s="307">
        <f t="shared" si="1"/>
        <v>1.3136696781998313E-3</v>
      </c>
      <c r="W11" s="7"/>
    </row>
    <row r="12" spans="2:23" x14ac:dyDescent="0.3">
      <c r="B12" s="134">
        <v>0.25365649698170062</v>
      </c>
      <c r="C12" s="134">
        <v>6.9999999999999993E-3</v>
      </c>
      <c r="D12" s="138">
        <f t="shared" si="0"/>
        <v>5.0864556468926923E-3</v>
      </c>
      <c r="E12" s="307">
        <f t="shared" si="1"/>
        <v>3.6616519913088617E-6</v>
      </c>
      <c r="W12" s="7"/>
    </row>
    <row r="13" spans="2:23" x14ac:dyDescent="0.3">
      <c r="B13" s="134">
        <v>3.911024713541434E-2</v>
      </c>
      <c r="C13" s="134">
        <v>0.45273802842798339</v>
      </c>
      <c r="D13" s="138">
        <f t="shared" si="0"/>
        <v>0.43215856524154983</v>
      </c>
      <c r="E13" s="307">
        <f t="shared" si="1"/>
        <v>4.2351430504177396E-4</v>
      </c>
      <c r="W13" s="7"/>
    </row>
    <row r="14" spans="2:23" x14ac:dyDescent="0.3">
      <c r="B14" s="134">
        <v>0.32728060946952009</v>
      </c>
      <c r="C14" s="134">
        <v>4.9999999999999992E-3</v>
      </c>
      <c r="D14" s="138">
        <f t="shared" si="0"/>
        <v>5.2786404443320523E-4</v>
      </c>
      <c r="E14" s="307">
        <f t="shared" si="1"/>
        <v>2.0000000005073326E-5</v>
      </c>
      <c r="W14" s="7"/>
    </row>
    <row r="15" spans="2:23" x14ac:dyDescent="0.3">
      <c r="D15" s="301" t="s">
        <v>74</v>
      </c>
      <c r="E15" s="307">
        <f>SUM(E7:E14)</f>
        <v>2.1157450826970051E-3</v>
      </c>
      <c r="W15" s="7"/>
    </row>
    <row r="16" spans="2:23" x14ac:dyDescent="0.3">
      <c r="D16" s="3"/>
      <c r="E16" s="23"/>
      <c r="W16" s="7"/>
    </row>
    <row r="17" spans="2:23" x14ac:dyDescent="0.3">
      <c r="B17" s="436" t="s">
        <v>101</v>
      </c>
      <c r="C17" s="296" t="s">
        <v>81</v>
      </c>
      <c r="D17" s="302">
        <v>2.0324459986905259</v>
      </c>
      <c r="E17" s="23"/>
      <c r="W17" s="7"/>
    </row>
    <row r="18" spans="2:23" x14ac:dyDescent="0.3">
      <c r="B18" s="436"/>
      <c r="C18" s="296" t="s">
        <v>82</v>
      </c>
      <c r="D18" s="302">
        <v>8.383538918696825</v>
      </c>
      <c r="E18" s="23"/>
      <c r="W18" s="7"/>
    </row>
    <row r="19" spans="2:23" x14ac:dyDescent="0.3">
      <c r="B19" s="436"/>
      <c r="C19" s="296" t="s">
        <v>83</v>
      </c>
      <c r="D19" s="302">
        <v>198.84076692560922</v>
      </c>
      <c r="E19" s="23"/>
      <c r="W19" s="7"/>
    </row>
    <row r="20" spans="2:23" x14ac:dyDescent="0.3">
      <c r="D20" s="3"/>
      <c r="E20" s="23"/>
      <c r="F20" s="25"/>
      <c r="W20" s="7"/>
    </row>
    <row r="21" spans="2:23" x14ac:dyDescent="0.3">
      <c r="B21" s="297" t="s">
        <v>95</v>
      </c>
      <c r="C21" s="297" t="s">
        <v>92</v>
      </c>
      <c r="D21" s="303" t="s">
        <v>93</v>
      </c>
      <c r="E21" s="308" t="s">
        <v>94</v>
      </c>
      <c r="W21" s="7"/>
    </row>
    <row r="22" spans="2:23" x14ac:dyDescent="0.3">
      <c r="B22" s="298">
        <v>6.95681494064532E-2</v>
      </c>
      <c r="C22" s="298">
        <v>0.21225936603875753</v>
      </c>
      <c r="D22" s="304">
        <f t="shared" ref="D22:D29" si="2">$D$17*EXP(-$D$18*B22^(0.5)-$D$19*B22^3)</f>
        <v>0.20826765544791612</v>
      </c>
      <c r="E22" s="309">
        <f t="shared" ref="E22:E29" si="3">(C22-D22)^2</f>
        <v>1.5933753441035501E-5</v>
      </c>
      <c r="W22" s="7"/>
    </row>
    <row r="23" spans="2:23" x14ac:dyDescent="0.3">
      <c r="B23" s="298">
        <v>0.16816081230567989</v>
      </c>
      <c r="C23" s="298">
        <v>2.0999978000000006E-2</v>
      </c>
      <c r="D23" s="304">
        <f t="shared" si="2"/>
        <v>2.5370392027424343E-2</v>
      </c>
      <c r="E23" s="309">
        <f t="shared" si="3"/>
        <v>1.9100518771107411E-5</v>
      </c>
      <c r="W23" s="7"/>
    </row>
    <row r="24" spans="2:23" x14ac:dyDescent="0.3">
      <c r="B24" s="298">
        <v>5.0873491921776981E-2</v>
      </c>
      <c r="C24" s="298">
        <v>0.3023539538318788</v>
      </c>
      <c r="D24" s="304">
        <f t="shared" si="2"/>
        <v>0.29883591023231493</v>
      </c>
      <c r="E24" s="309">
        <f t="shared" si="3"/>
        <v>1.2376630768432306E-5</v>
      </c>
      <c r="W24" s="7"/>
    </row>
    <row r="25" spans="2:23" x14ac:dyDescent="0.3">
      <c r="B25" s="298">
        <v>0.21031715026342326</v>
      </c>
      <c r="C25" s="298">
        <v>0.01</v>
      </c>
      <c r="D25" s="304">
        <f t="shared" si="2"/>
        <v>6.8377248994136441E-3</v>
      </c>
      <c r="E25" s="309">
        <f t="shared" si="3"/>
        <v>9.9999838117884477E-6</v>
      </c>
      <c r="W25" s="7"/>
    </row>
    <row r="26" spans="2:23" x14ac:dyDescent="0.3">
      <c r="B26" s="298">
        <v>0.04</v>
      </c>
      <c r="C26" s="298">
        <v>0.3699229417994121</v>
      </c>
      <c r="D26" s="304">
        <f t="shared" si="2"/>
        <v>0.37523844578867055</v>
      </c>
      <c r="E26" s="309">
        <f t="shared" si="3"/>
        <v>2.8254582659822518E-5</v>
      </c>
      <c r="W26" s="7"/>
    </row>
    <row r="27" spans="2:23" x14ac:dyDescent="0.3">
      <c r="B27" s="298">
        <v>0.25188862785235172</v>
      </c>
      <c r="C27" s="298">
        <v>9.0444594968596261E-4</v>
      </c>
      <c r="D27" s="304">
        <f t="shared" si="2"/>
        <v>1.2606014147024576E-3</v>
      </c>
      <c r="E27" s="309">
        <f t="shared" si="3"/>
        <v>1.2684671526111577E-7</v>
      </c>
      <c r="W27" s="7"/>
    </row>
    <row r="28" spans="2:23" x14ac:dyDescent="0.3">
      <c r="B28" s="298">
        <v>2.9999999999999995E-2</v>
      </c>
      <c r="C28" s="298">
        <v>0.47169718162146251</v>
      </c>
      <c r="D28" s="304">
        <f t="shared" si="2"/>
        <v>0.47321746325075548</v>
      </c>
      <c r="E28" s="309">
        <f t="shared" si="3"/>
        <v>2.3112562323656669E-6</v>
      </c>
      <c r="W28" s="7"/>
    </row>
    <row r="29" spans="2:23" x14ac:dyDescent="0.3">
      <c r="B29" s="298">
        <v>0.32832040858000844</v>
      </c>
      <c r="C29" s="298">
        <v>9.044459496859625E-4</v>
      </c>
      <c r="D29" s="304">
        <f t="shared" si="2"/>
        <v>1.4641485659123942E-5</v>
      </c>
      <c r="E29" s="309">
        <f t="shared" si="3"/>
        <v>7.9175198420208944E-7</v>
      </c>
      <c r="W29" s="7"/>
    </row>
    <row r="30" spans="2:23" x14ac:dyDescent="0.3">
      <c r="D30" s="305" t="s">
        <v>74</v>
      </c>
      <c r="E30" s="309">
        <f>SUM(E22:E29)</f>
        <v>8.8895324384015073E-5</v>
      </c>
      <c r="W30" s="7"/>
    </row>
    <row r="31" spans="2:23" x14ac:dyDescent="0.3">
      <c r="D31" s="3"/>
      <c r="E31" s="23"/>
      <c r="W31" s="7"/>
    </row>
    <row r="32" spans="2:23" x14ac:dyDescent="0.3">
      <c r="B32" s="437" t="s">
        <v>99</v>
      </c>
      <c r="C32" s="9" t="s">
        <v>81</v>
      </c>
      <c r="D32" s="106">
        <v>1.3688572956136598</v>
      </c>
      <c r="E32" s="23"/>
      <c r="W32" s="7"/>
    </row>
    <row r="33" spans="2:24" x14ac:dyDescent="0.3">
      <c r="B33" s="437"/>
      <c r="C33" s="9" t="s">
        <v>82</v>
      </c>
      <c r="D33" s="106">
        <v>6.3834959960655571</v>
      </c>
      <c r="E33" s="23"/>
      <c r="W33" s="7"/>
    </row>
    <row r="34" spans="2:24" x14ac:dyDescent="0.3">
      <c r="B34" s="437"/>
      <c r="C34" s="9" t="s">
        <v>83</v>
      </c>
      <c r="D34" s="106">
        <v>462.55594457877521</v>
      </c>
      <c r="E34" s="23"/>
      <c r="W34" s="7"/>
    </row>
    <row r="35" spans="2:24" x14ac:dyDescent="0.3">
      <c r="D35" s="3"/>
      <c r="E35" s="23"/>
      <c r="F35" s="25"/>
      <c r="W35" s="7"/>
    </row>
    <row r="36" spans="2:24" x14ac:dyDescent="0.3">
      <c r="B36" s="299" t="s">
        <v>95</v>
      </c>
      <c r="C36" s="299" t="s">
        <v>92</v>
      </c>
      <c r="D36" s="306" t="s">
        <v>93</v>
      </c>
      <c r="E36" s="310" t="s">
        <v>94</v>
      </c>
      <c r="W36" s="7"/>
    </row>
    <row r="37" spans="2:24" x14ac:dyDescent="0.3">
      <c r="B37" s="81">
        <v>6.4721825513311099E-2</v>
      </c>
      <c r="C37" s="81">
        <v>0.23410490045675805</v>
      </c>
      <c r="D37" s="59">
        <f t="shared" ref="D37:D44" si="4">$D$32*EXP(-$D$33*B37^(0.5)-$D$34*B37^3)</f>
        <v>0.23801501939611255</v>
      </c>
      <c r="E37" s="80">
        <f t="shared" ref="E37:E44" si="5">(C37-D37)^2</f>
        <v>1.5289030119898768E-5</v>
      </c>
      <c r="W37" s="7"/>
      <c r="X37" s="7"/>
    </row>
    <row r="38" spans="2:24" x14ac:dyDescent="0.3">
      <c r="B38" s="81">
        <v>0.16560465018135884</v>
      </c>
      <c r="C38" s="81">
        <v>1.2999999999999999E-2</v>
      </c>
      <c r="D38" s="59">
        <f t="shared" si="4"/>
        <v>1.2468561057318361E-2</v>
      </c>
      <c r="E38" s="80">
        <f t="shared" si="5"/>
        <v>2.824273497985773E-7</v>
      </c>
      <c r="W38" s="7"/>
      <c r="X38" s="7"/>
    </row>
    <row r="39" spans="2:24" x14ac:dyDescent="0.3">
      <c r="B39" s="81">
        <v>0.05</v>
      </c>
      <c r="C39" s="81">
        <v>0.32082533813724157</v>
      </c>
      <c r="D39" s="59">
        <f t="shared" si="4"/>
        <v>0.30998347474359067</v>
      </c>
      <c r="E39" s="80">
        <f t="shared" si="5"/>
        <v>1.1754600184658734E-4</v>
      </c>
    </row>
    <row r="40" spans="2:24" x14ac:dyDescent="0.3">
      <c r="B40" s="81">
        <v>0.20779486317221901</v>
      </c>
      <c r="C40" s="81">
        <v>1.0000000000000005E-3</v>
      </c>
      <c r="D40" s="59">
        <f t="shared" si="4"/>
        <v>1.1754472082742802E-3</v>
      </c>
      <c r="E40" s="80">
        <f t="shared" si="5"/>
        <v>3.0781722891238506E-8</v>
      </c>
    </row>
    <row r="41" spans="2:24" x14ac:dyDescent="0.3">
      <c r="B41" s="81">
        <v>3.8999999999999993E-2</v>
      </c>
      <c r="C41" s="81">
        <v>0.36666943106097999</v>
      </c>
      <c r="D41" s="59">
        <f t="shared" si="4"/>
        <v>0.37753141108979255</v>
      </c>
      <c r="E41" s="80">
        <f t="shared" si="5"/>
        <v>1.1798261014632283E-4</v>
      </c>
    </row>
    <row r="42" spans="2:24" x14ac:dyDescent="0.3">
      <c r="B42" s="81">
        <v>0.25381870757243263</v>
      </c>
      <c r="C42" s="81">
        <v>0</v>
      </c>
      <c r="D42" s="59">
        <f t="shared" si="4"/>
        <v>2.849531299528591E-5</v>
      </c>
      <c r="E42" s="80">
        <f t="shared" si="5"/>
        <v>8.1198286269931E-10</v>
      </c>
    </row>
    <row r="43" spans="2:24" x14ac:dyDescent="0.3">
      <c r="B43" s="81">
        <v>2.8376517219081163E-2</v>
      </c>
      <c r="C43" s="81">
        <v>0.46573049098997177</v>
      </c>
      <c r="D43" s="59">
        <f t="shared" si="4"/>
        <v>0.46212775195162525</v>
      </c>
      <c r="E43" s="80">
        <f t="shared" si="5"/>
        <v>1.2979728578425966E-5</v>
      </c>
    </row>
    <row r="44" spans="2:24" x14ac:dyDescent="0.3">
      <c r="B44" s="81">
        <v>0.3341404588406135</v>
      </c>
      <c r="C44" s="81">
        <v>0</v>
      </c>
      <c r="D44" s="59">
        <f t="shared" si="4"/>
        <v>1.0950714025977496E-9</v>
      </c>
      <c r="E44" s="80">
        <f t="shared" si="5"/>
        <v>1.1991813767874026E-18</v>
      </c>
    </row>
    <row r="45" spans="2:24" x14ac:dyDescent="0.3">
      <c r="D45" s="178" t="s">
        <v>74</v>
      </c>
      <c r="E45" s="80">
        <f>SUM(E37:E44)</f>
        <v>2.6411139174678858E-4</v>
      </c>
    </row>
    <row r="49" spans="2:5" x14ac:dyDescent="0.3">
      <c r="B49" s="300" t="s">
        <v>95</v>
      </c>
      <c r="C49" s="295" t="s">
        <v>96</v>
      </c>
      <c r="D49" s="297" t="s">
        <v>98</v>
      </c>
      <c r="E49" s="300" t="s">
        <v>97</v>
      </c>
    </row>
    <row r="50" spans="2:5" x14ac:dyDescent="0.3">
      <c r="B50" s="46">
        <v>2.5000000000000001E-2</v>
      </c>
      <c r="C50" s="240">
        <f t="shared" ref="C50:C83" si="6">$D$2*EXP(-$D$3*B50^(0.5)-$D$4*B50^3)</f>
        <v>0.6459998669438819</v>
      </c>
      <c r="D50" s="270">
        <f t="shared" ref="D50:D83" si="7">$D$17*EXP(-$D$18*B50^(0.5)-$D$19*B50^3)</f>
        <v>0.53825611301747844</v>
      </c>
      <c r="E50" s="79">
        <f t="shared" ref="E50:E83" si="8">$D$32*EXP(-$D$33*B50^(0.5)-$D$34*B50^3)</f>
        <v>0.49531048296063801</v>
      </c>
    </row>
    <row r="51" spans="2:5" x14ac:dyDescent="0.3">
      <c r="B51" s="46">
        <v>0.03</v>
      </c>
      <c r="C51" s="240">
        <f t="shared" si="6"/>
        <v>0.55460006765752057</v>
      </c>
      <c r="D51" s="270">
        <f t="shared" si="7"/>
        <v>0.47321746325075537</v>
      </c>
      <c r="E51" s="79">
        <f t="shared" si="8"/>
        <v>0.44746066301252696</v>
      </c>
    </row>
    <row r="52" spans="2:5" x14ac:dyDescent="0.3">
      <c r="B52" s="46">
        <v>3.5000000000000003E-2</v>
      </c>
      <c r="C52" s="240">
        <f t="shared" si="6"/>
        <v>0.48178845260869518</v>
      </c>
      <c r="D52" s="270">
        <f t="shared" si="7"/>
        <v>0.4199154821934733</v>
      </c>
      <c r="E52" s="79">
        <f t="shared" si="8"/>
        <v>0.4065296013972749</v>
      </c>
    </row>
    <row r="53" spans="2:5" x14ac:dyDescent="0.3">
      <c r="B53" s="46">
        <v>0.04</v>
      </c>
      <c r="C53" s="240">
        <f t="shared" si="6"/>
        <v>0.42240763021815825</v>
      </c>
      <c r="D53" s="270">
        <f t="shared" si="7"/>
        <v>0.37523844578867055</v>
      </c>
      <c r="E53" s="79">
        <f t="shared" si="8"/>
        <v>0.37071323057808042</v>
      </c>
    </row>
    <row r="54" spans="2:5" x14ac:dyDescent="0.3">
      <c r="B54" s="46">
        <v>0.05</v>
      </c>
      <c r="C54" s="240">
        <f t="shared" si="6"/>
        <v>0.33152333611819673</v>
      </c>
      <c r="D54" s="270">
        <f t="shared" si="7"/>
        <v>0.30415087720165523</v>
      </c>
      <c r="E54" s="79">
        <f t="shared" si="8"/>
        <v>0.30998347474359067</v>
      </c>
    </row>
    <row r="55" spans="2:5" x14ac:dyDescent="0.3">
      <c r="B55" s="46">
        <v>0.06</v>
      </c>
      <c r="C55" s="240">
        <f t="shared" si="6"/>
        <v>0.26550863964996768</v>
      </c>
      <c r="D55" s="270">
        <f t="shared" si="7"/>
        <v>0.24976148627094957</v>
      </c>
      <c r="E55" s="79">
        <f t="shared" si="8"/>
        <v>0.2593526450228657</v>
      </c>
    </row>
    <row r="56" spans="2:5" x14ac:dyDescent="0.3">
      <c r="B56" s="46">
        <v>7.0000000000000007E-2</v>
      </c>
      <c r="C56" s="240">
        <f t="shared" si="6"/>
        <v>0.2156813674938064</v>
      </c>
      <c r="D56" s="270">
        <f t="shared" si="7"/>
        <v>0.20658603924278293</v>
      </c>
      <c r="E56" s="79">
        <f t="shared" si="8"/>
        <v>0.21575868863268913</v>
      </c>
    </row>
    <row r="57" spans="2:5" x14ac:dyDescent="0.3">
      <c r="B57" s="46">
        <v>0.08</v>
      </c>
      <c r="C57" s="240">
        <f t="shared" si="6"/>
        <v>0.17698528811424713</v>
      </c>
      <c r="D57" s="270">
        <f t="shared" si="7"/>
        <v>0.17139415629010252</v>
      </c>
      <c r="E57" s="79">
        <f t="shared" si="8"/>
        <v>0.17757225806351976</v>
      </c>
    </row>
    <row r="58" spans="2:5" x14ac:dyDescent="0.3">
      <c r="B58" s="46">
        <v>0.09</v>
      </c>
      <c r="C58" s="240">
        <f t="shared" si="6"/>
        <v>0.14626811147115823</v>
      </c>
      <c r="D58" s="270">
        <f t="shared" si="7"/>
        <v>0.14216362421848305</v>
      </c>
      <c r="E58" s="79">
        <f t="shared" si="8"/>
        <v>0.1439519405319426</v>
      </c>
    </row>
    <row r="59" spans="2:5" x14ac:dyDescent="0.3">
      <c r="B59" s="46">
        <v>0.1</v>
      </c>
      <c r="C59" s="240">
        <f t="shared" si="6"/>
        <v>0.12146243503937952</v>
      </c>
      <c r="D59" s="270">
        <f t="shared" si="7"/>
        <v>0.11757150734865938</v>
      </c>
      <c r="E59" s="79">
        <f t="shared" si="8"/>
        <v>0.11449566444748553</v>
      </c>
    </row>
    <row r="60" spans="2:5" x14ac:dyDescent="0.3">
      <c r="B60" s="46">
        <v>0.11</v>
      </c>
      <c r="C60" s="240">
        <f t="shared" si="6"/>
        <v>0.10115778896874894</v>
      </c>
      <c r="D60" s="270">
        <f t="shared" si="7"/>
        <v>9.6721228758862271E-2</v>
      </c>
      <c r="E60" s="79">
        <f t="shared" si="8"/>
        <v>8.9023778729171027E-2</v>
      </c>
    </row>
    <row r="61" spans="2:5" x14ac:dyDescent="0.3">
      <c r="B61" s="46">
        <v>0.12</v>
      </c>
      <c r="C61" s="240">
        <f t="shared" si="6"/>
        <v>8.4360604782257986E-2</v>
      </c>
      <c r="D61" s="270">
        <f t="shared" si="7"/>
        <v>7.8984794244955331E-2</v>
      </c>
      <c r="E61" s="79">
        <f t="shared" si="8"/>
        <v>6.7432495359653885E-2</v>
      </c>
    </row>
    <row r="62" spans="2:5" x14ac:dyDescent="0.3">
      <c r="B62" s="46">
        <v>0.13</v>
      </c>
      <c r="C62" s="240">
        <f t="shared" si="6"/>
        <v>7.035188728930139E-2</v>
      </c>
      <c r="D62" s="270">
        <f t="shared" si="7"/>
        <v>6.3906058117003978E-2</v>
      </c>
      <c r="E62" s="79">
        <f t="shared" si="8"/>
        <v>4.9595195131468837E-2</v>
      </c>
    </row>
    <row r="63" spans="2:5" x14ac:dyDescent="0.3">
      <c r="B63" s="46">
        <v>0.14000000000000001</v>
      </c>
      <c r="C63" s="240">
        <f t="shared" si="6"/>
        <v>5.8598948967086097E-2</v>
      </c>
      <c r="D63" s="270">
        <f t="shared" si="7"/>
        <v>5.1138783169232378E-2</v>
      </c>
      <c r="E63" s="79">
        <f t="shared" si="8"/>
        <v>3.5303869424107487E-2</v>
      </c>
    </row>
    <row r="64" spans="2:5" x14ac:dyDescent="0.3">
      <c r="B64" s="46">
        <v>0.15</v>
      </c>
      <c r="C64" s="240">
        <f t="shared" si="6"/>
        <v>4.8698619184025682E-2</v>
      </c>
      <c r="D64" s="270">
        <f t="shared" si="7"/>
        <v>4.0405948828028247E-2</v>
      </c>
      <c r="E64" s="79">
        <f t="shared" si="8"/>
        <v>2.4246878772669549E-2</v>
      </c>
    </row>
    <row r="65" spans="2:5" x14ac:dyDescent="0.3">
      <c r="B65" s="46">
        <v>0.16</v>
      </c>
      <c r="C65" s="240">
        <f t="shared" si="6"/>
        <v>4.0339576182311779E-2</v>
      </c>
      <c r="D65" s="270">
        <f t="shared" si="7"/>
        <v>3.1472933527066434E-2</v>
      </c>
      <c r="E65" s="79">
        <f t="shared" si="8"/>
        <v>1.6017854920178008E-2</v>
      </c>
    </row>
    <row r="66" spans="2:5" x14ac:dyDescent="0.3">
      <c r="B66" s="46">
        <v>0.17</v>
      </c>
      <c r="C66" s="240">
        <f t="shared" si="6"/>
        <v>3.3276730784008057E-2</v>
      </c>
      <c r="D66" s="270">
        <f t="shared" si="7"/>
        <v>2.4130315062405563E-2</v>
      </c>
      <c r="E66" s="79">
        <f t="shared" si="8"/>
        <v>1.0147337938483309E-2</v>
      </c>
    </row>
    <row r="67" spans="2:5" x14ac:dyDescent="0.3">
      <c r="B67" s="46">
        <v>0.18</v>
      </c>
      <c r="C67" s="240">
        <f t="shared" si="6"/>
        <v>2.7313453160787666E-2</v>
      </c>
      <c r="D67" s="270">
        <f t="shared" si="7"/>
        <v>1.8183627250869035E-2</v>
      </c>
      <c r="E67" s="79">
        <f t="shared" si="8"/>
        <v>6.1460974984168968E-3</v>
      </c>
    </row>
    <row r="68" spans="2:5" x14ac:dyDescent="0.3">
      <c r="B68" s="46">
        <v>0.19</v>
      </c>
      <c r="C68" s="240">
        <f t="shared" si="6"/>
        <v>2.2289050807790031E-2</v>
      </c>
      <c r="D68" s="270">
        <f t="shared" si="7"/>
        <v>1.3448217350027091E-2</v>
      </c>
      <c r="E68" s="79">
        <f t="shared" si="8"/>
        <v>3.5486205864611931E-3</v>
      </c>
    </row>
    <row r="69" spans="2:5" x14ac:dyDescent="0.3">
      <c r="B69" s="46">
        <v>0.2</v>
      </c>
      <c r="C69" s="240">
        <f t="shared" si="6"/>
        <v>1.8069851427275276E-2</v>
      </c>
      <c r="D69" s="270">
        <f t="shared" si="7"/>
        <v>9.7477506312864774E-3</v>
      </c>
      <c r="E69" s="79">
        <f t="shared" si="8"/>
        <v>1.9474052142272732E-3</v>
      </c>
    </row>
    <row r="70" spans="2:5" x14ac:dyDescent="0.3">
      <c r="B70" s="46">
        <v>0.21</v>
      </c>
      <c r="C70" s="240">
        <f t="shared" si="6"/>
        <v>1.4542813992566909E-2</v>
      </c>
      <c r="D70" s="270">
        <f t="shared" si="7"/>
        <v>6.915123059678641E-3</v>
      </c>
      <c r="E70" s="79">
        <f t="shared" si="8"/>
        <v>1.0127968044066741E-3</v>
      </c>
    </row>
    <row r="71" spans="2:5" x14ac:dyDescent="0.3">
      <c r="B71" s="46">
        <v>0.22</v>
      </c>
      <c r="C71" s="240">
        <f t="shared" si="6"/>
        <v>1.1610943206765681E-2</v>
      </c>
      <c r="D71" s="270">
        <f t="shared" si="7"/>
        <v>4.7946968258820227E-3</v>
      </c>
      <c r="E71" s="79">
        <f t="shared" si="8"/>
        <v>4.9773416974772781E-4</v>
      </c>
    </row>
    <row r="72" spans="2:5" x14ac:dyDescent="0.3">
      <c r="B72" s="46">
        <v>0.23</v>
      </c>
      <c r="C72" s="240">
        <f t="shared" si="6"/>
        <v>9.1900051427739257E-3</v>
      </c>
      <c r="D72" s="270">
        <f t="shared" si="7"/>
        <v>3.2449360368083263E-3</v>
      </c>
      <c r="E72" s="79">
        <f t="shared" si="8"/>
        <v>2.3047710929433333E-4</v>
      </c>
    </row>
    <row r="73" spans="2:5" x14ac:dyDescent="0.3">
      <c r="B73" s="46">
        <v>0.24</v>
      </c>
      <c r="C73" s="240">
        <f t="shared" si="6"/>
        <v>7.2061859163485825E-3</v>
      </c>
      <c r="D73" s="270">
        <f t="shared" si="7"/>
        <v>2.1407195102448305E-3</v>
      </c>
      <c r="E73" s="79">
        <f t="shared" si="8"/>
        <v>1.0026853010062829E-4</v>
      </c>
    </row>
    <row r="74" spans="2:5" x14ac:dyDescent="0.3">
      <c r="B74" s="46">
        <v>0.25</v>
      </c>
      <c r="C74" s="240">
        <f t="shared" si="6"/>
        <v>5.5944309961402979E-3</v>
      </c>
      <c r="D74" s="270">
        <f t="shared" si="7"/>
        <v>1.374842019485538E-3</v>
      </c>
      <c r="E74" s="79">
        <f t="shared" si="8"/>
        <v>4.0866155511801141E-5</v>
      </c>
    </row>
    <row r="75" spans="2:5" x14ac:dyDescent="0.3">
      <c r="B75" s="46">
        <v>0.26</v>
      </c>
      <c r="C75" s="240">
        <f t="shared" si="6"/>
        <v>4.2972685436520001E-3</v>
      </c>
      <c r="D75" s="270">
        <f t="shared" si="7"/>
        <v>8.584619670425188E-4</v>
      </c>
      <c r="E75" s="79">
        <f t="shared" si="8"/>
        <v>1.5559113002731533E-5</v>
      </c>
    </row>
    <row r="76" spans="2:5" x14ac:dyDescent="0.3">
      <c r="B76" s="46">
        <v>0.27</v>
      </c>
      <c r="C76" s="240">
        <f t="shared" si="6"/>
        <v>3.2639673174094672E-3</v>
      </c>
      <c r="D76" s="270">
        <f t="shared" si="7"/>
        <v>5.2048086748224048E-4</v>
      </c>
      <c r="E76" s="79">
        <f t="shared" si="8"/>
        <v>5.518115368766445E-6</v>
      </c>
    </row>
    <row r="77" spans="2:5" x14ac:dyDescent="0.3">
      <c r="B77" s="46">
        <v>0.28000000000000003</v>
      </c>
      <c r="C77" s="240">
        <f t="shared" si="6"/>
        <v>2.4499151564721646E-3</v>
      </c>
      <c r="D77" s="270">
        <f t="shared" si="7"/>
        <v>3.0601870223188741E-4</v>
      </c>
      <c r="E77" s="79">
        <f t="shared" si="8"/>
        <v>1.8178058255403937E-6</v>
      </c>
    </row>
    <row r="78" spans="2:5" x14ac:dyDescent="0.3">
      <c r="B78" s="46">
        <v>0.28999999999999998</v>
      </c>
      <c r="C78" s="240">
        <f t="shared" si="6"/>
        <v>1.8161321161348711E-3</v>
      </c>
      <c r="D78" s="270">
        <f t="shared" si="7"/>
        <v>1.7426013511576894E-4</v>
      </c>
      <c r="E78" s="79">
        <f t="shared" si="8"/>
        <v>5.5465561473937516E-7</v>
      </c>
    </row>
    <row r="79" spans="2:5" x14ac:dyDescent="0.3">
      <c r="B79" s="46">
        <v>0.3</v>
      </c>
      <c r="C79" s="240">
        <f t="shared" si="6"/>
        <v>1.3288554173546204E-3</v>
      </c>
      <c r="D79" s="270">
        <f t="shared" si="7"/>
        <v>9.5985435523086166E-5</v>
      </c>
      <c r="E79" s="79">
        <f t="shared" si="8"/>
        <v>1.5631088575233459E-7</v>
      </c>
    </row>
    <row r="80" spans="2:5" x14ac:dyDescent="0.3">
      <c r="B80" s="46">
        <v>0.31</v>
      </c>
      <c r="C80" s="240">
        <f t="shared" si="6"/>
        <v>9.5915278988904827E-4</v>
      </c>
      <c r="D80" s="270">
        <f t="shared" si="7"/>
        <v>5.1076695736782066E-5</v>
      </c>
      <c r="E80" s="79">
        <f t="shared" si="8"/>
        <v>4.0571175089149932E-8</v>
      </c>
    </row>
    <row r="81" spans="2:5" x14ac:dyDescent="0.3">
      <c r="B81" s="46">
        <v>0.32</v>
      </c>
      <c r="C81" s="240">
        <f t="shared" si="6"/>
        <v>6.8253711613422072E-4</v>
      </c>
      <c r="D81" s="270">
        <f t="shared" si="7"/>
        <v>2.6224406546477078E-5</v>
      </c>
      <c r="E81" s="79">
        <f t="shared" si="8"/>
        <v>9.6712570978420895E-9</v>
      </c>
    </row>
    <row r="82" spans="2:5" x14ac:dyDescent="0.3">
      <c r="B82" s="46">
        <v>0.33</v>
      </c>
      <c r="C82" s="240">
        <f t="shared" si="6"/>
        <v>4.7856869387833295E-4</v>
      </c>
      <c r="D82" s="270">
        <f t="shared" si="7"/>
        <v>1.2975117155297594E-5</v>
      </c>
      <c r="E82" s="79">
        <f t="shared" si="8"/>
        <v>2.1113549383760669E-9</v>
      </c>
    </row>
    <row r="83" spans="2:5" x14ac:dyDescent="0.3">
      <c r="B83" s="46">
        <v>0.34</v>
      </c>
      <c r="C83" s="240">
        <f t="shared" si="6"/>
        <v>3.3044193818072273E-4</v>
      </c>
      <c r="D83" s="270">
        <f t="shared" si="7"/>
        <v>6.1787243453244241E-6</v>
      </c>
      <c r="E83" s="79">
        <f t="shared" si="8"/>
        <v>4.2094945361605837E-10</v>
      </c>
    </row>
  </sheetData>
  <mergeCells count="3">
    <mergeCell ref="B2:B4"/>
    <mergeCell ref="B17:B19"/>
    <mergeCell ref="B32:B3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29F55-2CD1-442B-9B73-E697C1A3CA4A}">
  <dimension ref="A1:AF61"/>
  <sheetViews>
    <sheetView topLeftCell="A22" zoomScale="55" zoomScaleNormal="55" workbookViewId="0">
      <selection activeCell="I60" sqref="I60"/>
    </sheetView>
  </sheetViews>
  <sheetFormatPr defaultRowHeight="14.4" x14ac:dyDescent="0.3"/>
  <cols>
    <col min="3" max="3" width="15.109375" customWidth="1"/>
    <col min="4" max="4" width="13" customWidth="1"/>
    <col min="5" max="5" width="12.88671875" customWidth="1"/>
    <col min="6" max="6" width="10.77734375" customWidth="1"/>
    <col min="7" max="7" width="8.44140625" customWidth="1"/>
    <col min="9" max="9" width="9.33203125" customWidth="1"/>
    <col min="10" max="10" width="10.33203125" customWidth="1"/>
    <col min="11" max="12" width="9.88671875" customWidth="1"/>
    <col min="15" max="15" width="10.77734375" customWidth="1"/>
    <col min="16" max="16" width="10.5546875" customWidth="1"/>
    <col min="17" max="17" width="9.44140625" customWidth="1"/>
    <col min="18" max="18" width="9.88671875" customWidth="1"/>
  </cols>
  <sheetData>
    <row r="1" spans="1:32" x14ac:dyDescent="0.3">
      <c r="A1" s="65"/>
      <c r="B1" s="66"/>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8"/>
    </row>
    <row r="2" spans="1:32" x14ac:dyDescent="0.3">
      <c r="A2" s="69"/>
      <c r="B2" s="1"/>
      <c r="C2" s="108"/>
      <c r="D2" s="311" t="s">
        <v>1</v>
      </c>
      <c r="E2" s="311"/>
      <c r="F2" s="311"/>
      <c r="G2" s="311"/>
      <c r="H2" s="108"/>
      <c r="I2" s="1"/>
      <c r="J2" s="9"/>
      <c r="K2" s="312" t="s">
        <v>19</v>
      </c>
      <c r="L2" s="312"/>
      <c r="M2" s="312"/>
      <c r="N2" s="312"/>
      <c r="O2" s="1"/>
      <c r="P2" s="1"/>
      <c r="Q2" s="108"/>
      <c r="R2" s="311" t="s">
        <v>21</v>
      </c>
      <c r="S2" s="311"/>
      <c r="T2" s="311"/>
      <c r="U2" s="311"/>
      <c r="V2" s="1"/>
      <c r="W2" s="1"/>
      <c r="X2" s="108"/>
      <c r="Y2" s="311" t="s">
        <v>22</v>
      </c>
      <c r="Z2" s="311"/>
      <c r="AA2" s="311"/>
      <c r="AB2" s="311"/>
      <c r="AC2" s="1"/>
      <c r="AD2" s="1"/>
      <c r="AE2" s="1"/>
      <c r="AF2" s="70"/>
    </row>
    <row r="3" spans="1:32" x14ac:dyDescent="0.3">
      <c r="A3" s="69"/>
      <c r="B3" s="1"/>
      <c r="C3" s="108"/>
      <c r="D3" s="6">
        <v>2.5000000000000001E-2</v>
      </c>
      <c r="E3" s="6">
        <v>0.05</v>
      </c>
      <c r="F3" s="6">
        <v>0.1</v>
      </c>
      <c r="G3" s="6">
        <v>0.15</v>
      </c>
      <c r="H3" s="6">
        <v>0.2</v>
      </c>
      <c r="I3" s="107"/>
      <c r="J3" s="12"/>
      <c r="K3" s="6">
        <v>2.5000000000000001E-2</v>
      </c>
      <c r="L3" s="6">
        <v>0.05</v>
      </c>
      <c r="M3" s="6">
        <v>7.4999999999999997E-2</v>
      </c>
      <c r="N3" s="6">
        <v>0.1</v>
      </c>
      <c r="O3" s="107"/>
      <c r="P3" s="107"/>
      <c r="Q3" s="109"/>
      <c r="R3" s="6">
        <v>2.5000000000000001E-2</v>
      </c>
      <c r="S3" s="6">
        <v>0.05</v>
      </c>
      <c r="T3" s="6">
        <v>7.4999999999999997E-2</v>
      </c>
      <c r="U3" s="6">
        <v>0.1</v>
      </c>
      <c r="V3" s="107"/>
      <c r="W3" s="107"/>
      <c r="X3" s="109"/>
      <c r="Y3" s="6">
        <v>2.5000000000000001E-2</v>
      </c>
      <c r="Z3" s="6">
        <v>0.05</v>
      </c>
      <c r="AA3" s="6">
        <v>7.4999999999999997E-2</v>
      </c>
      <c r="AB3" s="6">
        <v>0.1</v>
      </c>
      <c r="AC3" s="1"/>
      <c r="AD3" s="1"/>
      <c r="AE3" s="1"/>
      <c r="AF3" s="70"/>
    </row>
    <row r="4" spans="1:32" x14ac:dyDescent="0.3">
      <c r="A4" s="69"/>
      <c r="B4" s="1"/>
      <c r="C4" s="108" t="s">
        <v>7</v>
      </c>
      <c r="D4" s="4">
        <v>1.3365</v>
      </c>
      <c r="E4" s="4">
        <v>1.3402000000000001</v>
      </c>
      <c r="F4" s="4">
        <v>1.3475999999999999</v>
      </c>
      <c r="G4" s="4">
        <v>1.355</v>
      </c>
      <c r="H4" s="4">
        <v>1.3629</v>
      </c>
      <c r="I4" s="8"/>
      <c r="J4" s="106" t="s">
        <v>7</v>
      </c>
      <c r="K4" s="4">
        <v>1.3364</v>
      </c>
      <c r="L4" s="4">
        <v>1.3398000000000001</v>
      </c>
      <c r="M4" s="4">
        <v>1.3429</v>
      </c>
      <c r="N4" s="4">
        <v>1.3464</v>
      </c>
      <c r="O4" s="8"/>
      <c r="P4" s="8"/>
      <c r="Q4" s="110" t="s">
        <v>7</v>
      </c>
      <c r="R4" s="4">
        <v>1.3364</v>
      </c>
      <c r="S4" s="4">
        <v>1.3398000000000001</v>
      </c>
      <c r="T4" s="4">
        <v>1.3433999999999999</v>
      </c>
      <c r="U4" s="4">
        <v>1.347</v>
      </c>
      <c r="V4" s="8"/>
      <c r="W4" s="8"/>
      <c r="X4" s="110" t="s">
        <v>7</v>
      </c>
      <c r="Y4" s="4">
        <v>1.3364</v>
      </c>
      <c r="Z4" s="4">
        <v>1.3399000000000001</v>
      </c>
      <c r="AA4" s="4">
        <v>1.3432999999999999</v>
      </c>
      <c r="AB4" s="4">
        <v>1.3466</v>
      </c>
      <c r="AC4" s="1"/>
      <c r="AD4" s="1"/>
      <c r="AE4" s="1"/>
      <c r="AF4" s="70"/>
    </row>
    <row r="5" spans="1:32" x14ac:dyDescent="0.3">
      <c r="A5" s="69"/>
      <c r="B5" s="1"/>
      <c r="C5" s="108" t="s">
        <v>8</v>
      </c>
      <c r="D5" s="4">
        <v>1.3368</v>
      </c>
      <c r="E5" s="4">
        <v>1.34</v>
      </c>
      <c r="F5" s="4">
        <v>1.3473999999999999</v>
      </c>
      <c r="G5" s="4">
        <v>1.3551</v>
      </c>
      <c r="H5" s="4">
        <v>1.3628</v>
      </c>
      <c r="I5" s="8"/>
      <c r="J5" s="106" t="s">
        <v>8</v>
      </c>
      <c r="K5" s="4">
        <v>1.3363</v>
      </c>
      <c r="L5" s="4">
        <v>1.3395999999999999</v>
      </c>
      <c r="M5" s="4">
        <v>1.3431999999999999</v>
      </c>
      <c r="N5" s="4">
        <v>1.3468</v>
      </c>
      <c r="O5" s="8"/>
      <c r="P5" s="8"/>
      <c r="Q5" s="110" t="s">
        <v>8</v>
      </c>
      <c r="R5" s="4">
        <v>1.3364</v>
      </c>
      <c r="S5" s="4">
        <v>1.3398000000000001</v>
      </c>
      <c r="T5" s="4">
        <v>1.3432999999999999</v>
      </c>
      <c r="U5" s="4">
        <v>1.3466</v>
      </c>
      <c r="V5" s="8"/>
      <c r="W5" s="8"/>
      <c r="X5" s="110" t="s">
        <v>8</v>
      </c>
      <c r="Y5" s="4">
        <v>1.3364</v>
      </c>
      <c r="Z5" s="4">
        <v>1.3398000000000001</v>
      </c>
      <c r="AA5" s="4">
        <v>1.3431999999999999</v>
      </c>
      <c r="AB5" s="4">
        <v>1.3469</v>
      </c>
      <c r="AC5" s="1"/>
      <c r="AD5" s="1"/>
      <c r="AE5" s="1"/>
      <c r="AF5" s="70"/>
    </row>
    <row r="6" spans="1:32" x14ac:dyDescent="0.3">
      <c r="A6" s="69"/>
      <c r="B6" s="1"/>
      <c r="C6" s="108" t="s">
        <v>9</v>
      </c>
      <c r="D6" s="4">
        <v>1.3365</v>
      </c>
      <c r="E6" s="4">
        <v>1.3402000000000001</v>
      </c>
      <c r="F6" s="4">
        <v>1.3474999999999999</v>
      </c>
      <c r="G6" s="4">
        <v>1.3551</v>
      </c>
      <c r="H6" s="4">
        <v>1.3629</v>
      </c>
      <c r="I6" s="8"/>
      <c r="J6" s="106" t="s">
        <v>9</v>
      </c>
      <c r="K6" s="4">
        <v>1.3363</v>
      </c>
      <c r="L6" s="4">
        <v>1.3398000000000001</v>
      </c>
      <c r="M6" s="4">
        <v>1.3432999999999999</v>
      </c>
      <c r="N6" s="4">
        <v>1.3468</v>
      </c>
      <c r="O6" s="8"/>
      <c r="P6" s="8"/>
      <c r="Q6" s="110" t="s">
        <v>9</v>
      </c>
      <c r="R6" s="4">
        <v>1.3363</v>
      </c>
      <c r="S6" s="4">
        <v>1.3398000000000001</v>
      </c>
      <c r="T6" s="4">
        <v>1.3432999999999999</v>
      </c>
      <c r="U6" s="4">
        <v>1.3467</v>
      </c>
      <c r="V6" s="8"/>
      <c r="W6" s="8"/>
      <c r="X6" s="110" t="s">
        <v>9</v>
      </c>
      <c r="Y6" s="4">
        <v>1.3364</v>
      </c>
      <c r="Z6" s="4">
        <v>1.3398000000000001</v>
      </c>
      <c r="AA6" s="4">
        <v>1.3433999999999999</v>
      </c>
      <c r="AB6" s="4">
        <v>1.3469</v>
      </c>
      <c r="AC6" s="1"/>
      <c r="AD6" s="1"/>
      <c r="AE6" s="1"/>
      <c r="AF6" s="70"/>
    </row>
    <row r="7" spans="1:32" x14ac:dyDescent="0.3">
      <c r="A7" s="69"/>
      <c r="B7" s="1"/>
      <c r="C7" s="108" t="s">
        <v>2</v>
      </c>
      <c r="D7" s="4">
        <f>AVERAGE(D4:D6)</f>
        <v>1.3366</v>
      </c>
      <c r="E7" s="4">
        <f>AVERAGE(E4:E6)</f>
        <v>1.3401333333333334</v>
      </c>
      <c r="F7" s="4">
        <f>AVERAGE(F4:F6)</f>
        <v>1.3474999999999999</v>
      </c>
      <c r="G7" s="4">
        <f>AVERAGE(G4:G6)</f>
        <v>1.3550666666666666</v>
      </c>
      <c r="H7" s="4">
        <f>AVERAGE(H4:H6)</f>
        <v>1.3628666666666664</v>
      </c>
      <c r="I7" s="8"/>
      <c r="J7" s="106" t="s">
        <v>2</v>
      </c>
      <c r="K7" s="4">
        <f>AVERAGE(K4:K6)</f>
        <v>1.3363333333333334</v>
      </c>
      <c r="L7" s="4">
        <f>AVERAGE(L4:L6)</f>
        <v>1.3397333333333334</v>
      </c>
      <c r="M7" s="4">
        <f>AVERAGE(M4:M6)</f>
        <v>1.3431333333333333</v>
      </c>
      <c r="N7" s="4">
        <f>AVERAGE(N4:N6)</f>
        <v>1.3466666666666667</v>
      </c>
      <c r="O7" s="8"/>
      <c r="P7" s="8"/>
      <c r="Q7" s="110" t="s">
        <v>2</v>
      </c>
      <c r="R7" s="4">
        <f>AVERAGE(R4:R6)</f>
        <v>1.3363666666666667</v>
      </c>
      <c r="S7" s="4">
        <f>AVERAGE(S4:S6)</f>
        <v>1.3398000000000001</v>
      </c>
      <c r="T7" s="4">
        <f>AVERAGE(T4:T6)</f>
        <v>1.3433333333333335</v>
      </c>
      <c r="U7" s="4">
        <f>AVERAGE(U4:U6)</f>
        <v>1.3467666666666667</v>
      </c>
      <c r="V7" s="8"/>
      <c r="W7" s="8"/>
      <c r="X7" s="110" t="s">
        <v>2</v>
      </c>
      <c r="Y7" s="4">
        <f>AVERAGE(Y4:Y6)</f>
        <v>1.3364</v>
      </c>
      <c r="Z7" s="4">
        <f>AVERAGE(Z4:Z6)</f>
        <v>1.3398333333333337</v>
      </c>
      <c r="AA7" s="4">
        <f>AVERAGE(AA4:AA6)</f>
        <v>1.3432999999999999</v>
      </c>
      <c r="AB7" s="4">
        <f>AVERAGE(AB4:AB6)</f>
        <v>1.3468</v>
      </c>
      <c r="AC7" s="1"/>
      <c r="AD7" s="1"/>
      <c r="AE7" s="1"/>
      <c r="AF7" s="70"/>
    </row>
    <row r="8" spans="1:32" x14ac:dyDescent="0.3">
      <c r="A8" s="69"/>
      <c r="B8" s="1"/>
      <c r="C8" s="108" t="s">
        <v>18</v>
      </c>
      <c r="D8" s="105">
        <f>_xlfn.STDEV.S(D4:D6)</f>
        <v>1.7320508075686865E-4</v>
      </c>
      <c r="E8" s="105">
        <f>_xlfn.STDEV.S(E4:E6)</f>
        <v>1.1547005383791244E-4</v>
      </c>
      <c r="F8" s="105">
        <f>_xlfn.STDEV.S(F4:F6)</f>
        <v>9.9999999999988987E-5</v>
      </c>
      <c r="G8" s="105">
        <f>_xlfn.STDEV.S(G4:G6)</f>
        <v>5.7735026918956222E-5</v>
      </c>
      <c r="H8" s="105">
        <f>_xlfn.STDEV.S(H4:H6)</f>
        <v>5.7735026918956215E-5</v>
      </c>
      <c r="I8" s="78">
        <f>AVERAGE(D8:H8)</f>
        <v>1.0082903768653652E-4</v>
      </c>
      <c r="J8" s="104" t="s">
        <v>18</v>
      </c>
      <c r="K8" s="105">
        <f>_xlfn.STDEV.S(K4:K6)</f>
        <v>5.7735026918956222E-5</v>
      </c>
      <c r="L8" s="105">
        <f>_xlfn.STDEV.S(L4:L6)</f>
        <v>1.1547005383804064E-4</v>
      </c>
      <c r="M8" s="105">
        <f>_xlfn.STDEV.S(M4:M6)</f>
        <v>2.0816659994659034E-4</v>
      </c>
      <c r="N8" s="105">
        <f>_xlfn.STDEV.S(N4:N6)</f>
        <v>2.3094010767582489E-4</v>
      </c>
      <c r="O8" s="78">
        <f>AVERAGE(J8:N8)</f>
        <v>1.5307794709485301E-4</v>
      </c>
      <c r="P8" s="78"/>
      <c r="Q8" s="111" t="s">
        <v>18</v>
      </c>
      <c r="R8" s="105">
        <f>_xlfn.STDEV.S(R4:R6)</f>
        <v>5.7735026918956222E-5</v>
      </c>
      <c r="S8" s="105">
        <f>_xlfn.STDEV.S(S4:S6)</f>
        <v>0</v>
      </c>
      <c r="T8" s="105">
        <f>_xlfn.STDEV.S(T4:T6)</f>
        <v>5.7735026918956215E-5</v>
      </c>
      <c r="U8" s="105">
        <f>_xlfn.STDEV.S(U4:U6)</f>
        <v>2.0816659994659034E-4</v>
      </c>
      <c r="V8" s="78">
        <f>AVERAGE(Q8:U8)</f>
        <v>8.0909163446125687E-5</v>
      </c>
      <c r="W8" s="78"/>
      <c r="X8" s="111" t="s">
        <v>18</v>
      </c>
      <c r="Y8" s="105">
        <f>_xlfn.STDEV.S(Y4:Y6)</f>
        <v>0</v>
      </c>
      <c r="Z8" s="105">
        <f>_xlfn.STDEV.S(Z4:Z6)</f>
        <v>5.7735026918956215E-5</v>
      </c>
      <c r="AA8" s="105">
        <f>_xlfn.STDEV.S(AA4:AA6)</f>
        <v>9.9999999999988987E-5</v>
      </c>
      <c r="AB8" s="105">
        <f>_xlfn.STDEV.S(AB4:AB6)</f>
        <v>1.7320508075686865E-4</v>
      </c>
      <c r="AC8" s="78">
        <f>AVERAGE(X8:AB8)</f>
        <v>8.2735026918953462E-5</v>
      </c>
      <c r="AD8" s="1"/>
      <c r="AE8" s="1"/>
      <c r="AF8" s="70"/>
    </row>
    <row r="9" spans="1:32" x14ac:dyDescent="0.3">
      <c r="A9" s="69"/>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70"/>
    </row>
    <row r="10" spans="1:32" x14ac:dyDescent="0.3">
      <c r="A10" s="69"/>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70"/>
    </row>
    <row r="11" spans="1:32" x14ac:dyDescent="0.3">
      <c r="A11" s="69"/>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70"/>
    </row>
    <row r="12" spans="1:32" x14ac:dyDescent="0.3">
      <c r="A12" s="69"/>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70"/>
    </row>
    <row r="13" spans="1:32" x14ac:dyDescent="0.3">
      <c r="A13" s="69"/>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70"/>
    </row>
    <row r="14" spans="1:32" x14ac:dyDescent="0.3">
      <c r="A14" s="69"/>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70"/>
    </row>
    <row r="15" spans="1:32" x14ac:dyDescent="0.3">
      <c r="A15" s="69"/>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70"/>
    </row>
    <row r="16" spans="1:32" x14ac:dyDescent="0.3">
      <c r="A16" s="69"/>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70"/>
    </row>
    <row r="17" spans="1:32" x14ac:dyDescent="0.3">
      <c r="A17" s="69"/>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70"/>
    </row>
    <row r="18" spans="1:32" x14ac:dyDescent="0.3">
      <c r="A18" s="69"/>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70"/>
    </row>
    <row r="19" spans="1:32" x14ac:dyDescent="0.3">
      <c r="A19" s="69"/>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70"/>
    </row>
    <row r="20" spans="1:32" x14ac:dyDescent="0.3">
      <c r="A20" s="69"/>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70"/>
    </row>
    <row r="21" spans="1:32" x14ac:dyDescent="0.3">
      <c r="A21" s="69"/>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70"/>
    </row>
    <row r="22" spans="1:32" x14ac:dyDescent="0.3">
      <c r="A22" s="69"/>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70"/>
    </row>
    <row r="23" spans="1:32" x14ac:dyDescent="0.3">
      <c r="A23" s="69"/>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70"/>
    </row>
    <row r="24" spans="1:32" x14ac:dyDescent="0.3">
      <c r="A24" s="69"/>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70"/>
    </row>
    <row r="25" spans="1:32" ht="15" thickBot="1" x14ac:dyDescent="0.35">
      <c r="A25" s="71"/>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72"/>
    </row>
    <row r="27" spans="1:32" x14ac:dyDescent="0.3">
      <c r="B27" s="113"/>
      <c r="C27" s="313" t="s">
        <v>24</v>
      </c>
      <c r="D27" s="314"/>
      <c r="E27" s="314"/>
      <c r="F27" s="315"/>
      <c r="H27" s="114"/>
      <c r="I27" s="316" t="s">
        <v>25</v>
      </c>
      <c r="J27" s="317"/>
      <c r="K27" s="317"/>
      <c r="L27" s="318"/>
      <c r="N27" s="9"/>
      <c r="O27" s="319" t="s">
        <v>26</v>
      </c>
      <c r="P27" s="320"/>
      <c r="Q27" s="320"/>
      <c r="R27" s="321"/>
    </row>
    <row r="28" spans="1:32" x14ac:dyDescent="0.3">
      <c r="B28" s="113"/>
      <c r="C28" s="6">
        <v>0.05</v>
      </c>
      <c r="D28" s="6">
        <v>0.1</v>
      </c>
      <c r="E28" s="6">
        <v>0.15</v>
      </c>
      <c r="F28" s="6">
        <v>0.2</v>
      </c>
      <c r="H28" s="114"/>
      <c r="I28" s="6">
        <v>0.05</v>
      </c>
      <c r="J28" s="6">
        <v>0.1</v>
      </c>
      <c r="K28" s="6">
        <v>0.15</v>
      </c>
      <c r="L28" s="6">
        <v>0.2</v>
      </c>
      <c r="N28" s="9"/>
      <c r="O28" s="6">
        <v>0.05</v>
      </c>
      <c r="P28" s="6">
        <v>0.1</v>
      </c>
      <c r="Q28" s="6">
        <v>0.15</v>
      </c>
      <c r="R28" s="6">
        <v>0.2</v>
      </c>
    </row>
    <row r="29" spans="1:32" x14ac:dyDescent="0.3">
      <c r="B29" s="113" t="s">
        <v>7</v>
      </c>
      <c r="C29" s="4">
        <v>1.3396999999999999</v>
      </c>
      <c r="D29" s="4">
        <v>1.3463000000000001</v>
      </c>
      <c r="E29" s="4">
        <v>1.3535999999999999</v>
      </c>
      <c r="F29" s="4">
        <v>1.3607</v>
      </c>
      <c r="H29" s="114" t="s">
        <v>7</v>
      </c>
      <c r="I29" s="4">
        <v>1.3398000000000001</v>
      </c>
      <c r="J29" s="4">
        <v>1.3466</v>
      </c>
      <c r="K29" s="4">
        <v>1.3535999999999999</v>
      </c>
      <c r="L29" s="4">
        <v>1.3608</v>
      </c>
      <c r="M29" s="3"/>
      <c r="N29" s="106" t="s">
        <v>7</v>
      </c>
      <c r="O29" s="4">
        <v>1.3409</v>
      </c>
      <c r="P29" s="4">
        <v>1.349</v>
      </c>
      <c r="Q29" s="4">
        <v>1.357</v>
      </c>
      <c r="R29" s="4">
        <v>1.365</v>
      </c>
    </row>
    <row r="30" spans="1:32" x14ac:dyDescent="0.3">
      <c r="B30" s="113" t="s">
        <v>8</v>
      </c>
      <c r="C30" s="4">
        <v>1.3396999999999999</v>
      </c>
      <c r="D30" s="4">
        <v>1.3465</v>
      </c>
      <c r="E30" s="4">
        <v>1.3533999999999999</v>
      </c>
      <c r="F30" s="4">
        <v>1.3608</v>
      </c>
      <c r="H30" s="114" t="s">
        <v>8</v>
      </c>
      <c r="I30" s="4">
        <v>1.3398000000000001</v>
      </c>
      <c r="J30" s="4">
        <v>1.3467</v>
      </c>
      <c r="K30" s="4">
        <v>1.3533999999999999</v>
      </c>
      <c r="L30" s="4">
        <v>1.3608</v>
      </c>
      <c r="M30" s="3"/>
      <c r="N30" s="106" t="s">
        <v>8</v>
      </c>
      <c r="O30" s="4">
        <v>1.341</v>
      </c>
      <c r="P30" s="4">
        <v>1.349</v>
      </c>
      <c r="Q30" s="4">
        <v>1.357</v>
      </c>
      <c r="R30" s="4">
        <v>1.365</v>
      </c>
    </row>
    <row r="31" spans="1:32" x14ac:dyDescent="0.3">
      <c r="B31" s="113" t="s">
        <v>9</v>
      </c>
      <c r="C31" s="4">
        <v>1.3395999999999999</v>
      </c>
      <c r="D31" s="4">
        <v>1.3466</v>
      </c>
      <c r="E31" s="4">
        <v>1.3534999999999999</v>
      </c>
      <c r="F31" s="4">
        <v>1.3609</v>
      </c>
      <c r="H31" s="114" t="s">
        <v>9</v>
      </c>
      <c r="I31" s="4">
        <v>1.3398000000000001</v>
      </c>
      <c r="J31" s="4">
        <v>1.3467</v>
      </c>
      <c r="K31" s="4">
        <v>1.3533999999999999</v>
      </c>
      <c r="L31" s="4">
        <v>1.3608</v>
      </c>
      <c r="M31" s="3"/>
      <c r="N31" s="106" t="s">
        <v>9</v>
      </c>
      <c r="O31" s="4">
        <v>1.3411</v>
      </c>
      <c r="P31" s="4">
        <v>1.349</v>
      </c>
      <c r="Q31" s="4">
        <v>1.357</v>
      </c>
      <c r="R31" s="4">
        <v>1.365</v>
      </c>
    </row>
    <row r="32" spans="1:32" x14ac:dyDescent="0.3">
      <c r="B32" s="113" t="s">
        <v>2</v>
      </c>
      <c r="C32" s="4">
        <f>AVERAGE(C29:C31)</f>
        <v>1.3396666666666668</v>
      </c>
      <c r="D32" s="4">
        <f>AVERAGE(D29:D31)</f>
        <v>1.3464666666666669</v>
      </c>
      <c r="E32" s="4">
        <f>AVERAGE(E29:E31)</f>
        <v>1.3534999999999997</v>
      </c>
      <c r="F32" s="4">
        <f>AVERAGE(F29:F31)</f>
        <v>1.3608</v>
      </c>
      <c r="H32" s="114" t="s">
        <v>2</v>
      </c>
      <c r="I32" s="4">
        <f>AVERAGE(I29:I31)</f>
        <v>1.3398000000000001</v>
      </c>
      <c r="J32" s="4">
        <f>AVERAGE(J29:J31)</f>
        <v>1.3466666666666667</v>
      </c>
      <c r="K32" s="4">
        <f>AVERAGE(K29:K31)</f>
        <v>1.3534666666666666</v>
      </c>
      <c r="L32" s="4">
        <f>AVERAGE(L29:L31)</f>
        <v>1.3608</v>
      </c>
      <c r="M32" s="3"/>
      <c r="N32" s="106" t="s">
        <v>2</v>
      </c>
      <c r="O32" s="4">
        <f>AVERAGE(O29:O31)</f>
        <v>1.341</v>
      </c>
      <c r="P32" s="4">
        <f>AVERAGE(P29:P31)</f>
        <v>1.349</v>
      </c>
      <c r="Q32" s="4">
        <f>AVERAGE(Q29:Q31)</f>
        <v>1.357</v>
      </c>
      <c r="R32" s="4">
        <f>AVERAGE(R29:R31)</f>
        <v>1.365</v>
      </c>
    </row>
    <row r="33" spans="2:19" x14ac:dyDescent="0.3">
      <c r="B33" s="113" t="s">
        <v>18</v>
      </c>
      <c r="C33" s="103">
        <f>_xlfn.STDEV.S(C29:C31)</f>
        <v>5.7735026918956215E-5</v>
      </c>
      <c r="D33" s="103">
        <f>_xlfn.STDEV.S(D29:D31)</f>
        <v>1.5275252316517785E-4</v>
      </c>
      <c r="E33" s="103">
        <f>_xlfn.STDEV.S(E29:E31)</f>
        <v>9.9999999999988987E-5</v>
      </c>
      <c r="F33" s="103">
        <f>_xlfn.STDEV.S(F29:F31)</f>
        <v>9.9999999999988987E-5</v>
      </c>
      <c r="G33" s="27">
        <f>AVERAGE(B33:F33)</f>
        <v>1.02621887521028E-4</v>
      </c>
      <c r="H33" s="115" t="s">
        <v>18</v>
      </c>
      <c r="I33" s="105">
        <f>_xlfn.STDEV.S(I29:I31)</f>
        <v>0</v>
      </c>
      <c r="J33" s="105">
        <f>_xlfn.STDEV.S(J29:J31)</f>
        <v>5.7735026918956222E-5</v>
      </c>
      <c r="K33" s="105">
        <f>_xlfn.STDEV.S(K29:K31)</f>
        <v>1.1547005383791244E-4</v>
      </c>
      <c r="L33" s="105">
        <f>_xlfn.STDEV.S(L29:L31)</f>
        <v>0</v>
      </c>
      <c r="M33" s="27">
        <f>AVERAGE(H33:L33)</f>
        <v>4.3301270189217168E-5</v>
      </c>
      <c r="N33" s="104" t="s">
        <v>18</v>
      </c>
      <c r="O33" s="105">
        <f>_xlfn.STDEV.S(O29:O31)</f>
        <v>9.9999999999988987E-5</v>
      </c>
      <c r="P33" s="105">
        <f>_xlfn.STDEV.S(P29:P31)</f>
        <v>0</v>
      </c>
      <c r="Q33" s="105">
        <f>_xlfn.STDEV.S(Q29:Q31)</f>
        <v>0</v>
      </c>
      <c r="R33" s="105">
        <f>_xlfn.STDEV.S(R29:R31)</f>
        <v>0</v>
      </c>
      <c r="S33" s="27">
        <f>AVERAGE(N33:R33)</f>
        <v>2.4999999999997247E-5</v>
      </c>
    </row>
    <row r="49" spans="3:15" x14ac:dyDescent="0.3">
      <c r="O49" t="s">
        <v>53</v>
      </c>
    </row>
    <row r="50" spans="3:15" x14ac:dyDescent="0.3">
      <c r="C50" t="s">
        <v>51</v>
      </c>
    </row>
    <row r="53" spans="3:15" ht="18" x14ac:dyDescent="0.35">
      <c r="C53" s="96" t="s">
        <v>117</v>
      </c>
    </row>
    <row r="54" spans="3:15" x14ac:dyDescent="0.3">
      <c r="C54" s="9" t="s">
        <v>142</v>
      </c>
      <c r="D54" s="9" t="s">
        <v>145</v>
      </c>
      <c r="E54" s="9" t="s">
        <v>140</v>
      </c>
      <c r="F54" s="9" t="s">
        <v>141</v>
      </c>
    </row>
    <row r="55" spans="3:15" x14ac:dyDescent="0.3">
      <c r="C55" s="108" t="s">
        <v>1</v>
      </c>
      <c r="D55" s="59">
        <v>0.14779999999999999</v>
      </c>
      <c r="E55" s="59">
        <v>1.333</v>
      </c>
      <c r="F55" s="59">
        <v>0.99939999999999996</v>
      </c>
    </row>
    <row r="56" spans="3:15" x14ac:dyDescent="0.3">
      <c r="C56" s="113" t="s">
        <v>27</v>
      </c>
      <c r="D56" s="59">
        <v>0.13750000000000001</v>
      </c>
      <c r="E56" s="59">
        <v>1.333</v>
      </c>
      <c r="F56" s="59">
        <v>0.99909999999999999</v>
      </c>
    </row>
    <row r="57" spans="3:15" x14ac:dyDescent="0.3">
      <c r="C57" s="114" t="s">
        <v>102</v>
      </c>
      <c r="D57" s="59">
        <v>0.13780000000000001</v>
      </c>
      <c r="E57" s="59">
        <v>1.333</v>
      </c>
      <c r="F57" s="59">
        <v>0.99950000000000006</v>
      </c>
    </row>
    <row r="58" spans="3:15" x14ac:dyDescent="0.3">
      <c r="C58" s="9" t="s">
        <v>103</v>
      </c>
      <c r="D58" s="59">
        <v>0.1358</v>
      </c>
      <c r="E58" s="59">
        <v>1.333</v>
      </c>
      <c r="F58" s="59">
        <v>0.99970000000000003</v>
      </c>
    </row>
    <row r="59" spans="3:15" x14ac:dyDescent="0.3">
      <c r="C59" s="112" t="s">
        <v>143</v>
      </c>
      <c r="D59" s="59">
        <v>0.13739999999999999</v>
      </c>
      <c r="E59" s="59">
        <v>1.333</v>
      </c>
      <c r="F59" s="59">
        <v>0.99980000000000002</v>
      </c>
    </row>
    <row r="60" spans="3:15" x14ac:dyDescent="0.3">
      <c r="C60" s="112" t="s">
        <v>144</v>
      </c>
      <c r="D60" s="59">
        <v>0.1376</v>
      </c>
      <c r="E60" s="59">
        <v>1.333</v>
      </c>
      <c r="F60" s="59">
        <v>0.99990000000000001</v>
      </c>
    </row>
    <row r="61" spans="3:15" x14ac:dyDescent="0.3">
      <c r="C61" s="100" t="s">
        <v>52</v>
      </c>
      <c r="D61" s="116">
        <v>0.16</v>
      </c>
      <c r="E61" s="117">
        <v>1.333</v>
      </c>
      <c r="F61" s="59">
        <v>1</v>
      </c>
    </row>
  </sheetData>
  <mergeCells count="7">
    <mergeCell ref="D2:G2"/>
    <mergeCell ref="K2:N2"/>
    <mergeCell ref="R2:U2"/>
    <mergeCell ref="Y2:AB2"/>
    <mergeCell ref="C27:F27"/>
    <mergeCell ref="I27:L27"/>
    <mergeCell ref="O27:R2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FD9EE-5B00-4361-BE15-23F52C11E9A3}">
  <dimension ref="A1:Y31"/>
  <sheetViews>
    <sheetView zoomScale="70" zoomScaleNormal="70" workbookViewId="0">
      <selection activeCell="M31" sqref="M31"/>
    </sheetView>
  </sheetViews>
  <sheetFormatPr defaultRowHeight="15.6" x14ac:dyDescent="0.3"/>
  <cols>
    <col min="3" max="3" width="10.5546875" bestFit="1" customWidth="1"/>
    <col min="4" max="4" width="11.44140625" bestFit="1" customWidth="1"/>
    <col min="5" max="5" width="10.109375" bestFit="1" customWidth="1"/>
    <col min="6" max="6" width="11.33203125" bestFit="1" customWidth="1"/>
    <col min="7" max="8" width="11.33203125" customWidth="1"/>
    <col min="9" max="9" width="19.33203125" bestFit="1" customWidth="1"/>
    <col min="10" max="10" width="10.5546875" bestFit="1" customWidth="1"/>
    <col min="11" max="11" width="11.44140625" bestFit="1" customWidth="1"/>
    <col min="12" max="12" width="10.109375" bestFit="1" customWidth="1"/>
    <col min="13" max="13" width="11.33203125" bestFit="1" customWidth="1"/>
    <col min="14" max="14" width="10.6640625" bestFit="1" customWidth="1"/>
    <col min="15" max="15" width="11.77734375" style="461" customWidth="1"/>
    <col min="16" max="16" width="19.33203125" style="461" bestFit="1" customWidth="1"/>
    <col min="17" max="17" width="10.5546875" bestFit="1" customWidth="1"/>
    <col min="18" max="18" width="11.44140625" bestFit="1" customWidth="1"/>
    <col min="19" max="19" width="10.109375" bestFit="1" customWidth="1"/>
    <col min="20" max="20" width="11.33203125" bestFit="1" customWidth="1"/>
    <col min="21" max="21" width="10.6640625" bestFit="1" customWidth="1"/>
    <col min="22" max="22" width="10.6640625" style="461" customWidth="1"/>
    <col min="23" max="23" width="19.33203125" style="461" bestFit="1" customWidth="1"/>
  </cols>
  <sheetData>
    <row r="1" spans="1:25" ht="16.2" thickBot="1" x14ac:dyDescent="0.35">
      <c r="A1" s="98"/>
      <c r="B1" s="127"/>
      <c r="C1" s="322" t="s">
        <v>44</v>
      </c>
      <c r="D1" s="323"/>
      <c r="E1" s="323"/>
      <c r="F1" s="323"/>
      <c r="G1" s="444"/>
      <c r="H1" s="455"/>
      <c r="I1" s="455"/>
      <c r="J1" s="324" t="s">
        <v>45</v>
      </c>
      <c r="K1" s="325"/>
      <c r="L1" s="325"/>
      <c r="M1" s="325"/>
      <c r="N1" s="446"/>
      <c r="O1" s="457"/>
      <c r="P1" s="458"/>
      <c r="Q1" s="326" t="s">
        <v>46</v>
      </c>
      <c r="R1" s="327"/>
      <c r="S1" s="327"/>
      <c r="T1" s="327"/>
      <c r="U1" s="328"/>
      <c r="V1" s="462"/>
      <c r="W1" s="462"/>
    </row>
    <row r="2" spans="1:25" ht="16.2" thickBot="1" x14ac:dyDescent="0.35">
      <c r="A2" s="128" t="s">
        <v>28</v>
      </c>
      <c r="B2" s="34" t="s">
        <v>30</v>
      </c>
      <c r="C2" s="119" t="s">
        <v>42</v>
      </c>
      <c r="D2" s="119" t="s">
        <v>41</v>
      </c>
      <c r="E2" s="119" t="s">
        <v>40</v>
      </c>
      <c r="F2" s="119" t="s">
        <v>43</v>
      </c>
      <c r="G2" s="445" t="s">
        <v>47</v>
      </c>
      <c r="H2" s="456" t="s">
        <v>13</v>
      </c>
      <c r="I2" s="456" t="s">
        <v>120</v>
      </c>
      <c r="J2" s="122" t="s">
        <v>42</v>
      </c>
      <c r="K2" s="123" t="s">
        <v>41</v>
      </c>
      <c r="L2" s="123" t="s">
        <v>40</v>
      </c>
      <c r="M2" s="123" t="s">
        <v>43</v>
      </c>
      <c r="N2" s="447" t="s">
        <v>47</v>
      </c>
      <c r="O2" s="459" t="s">
        <v>13</v>
      </c>
      <c r="P2" s="460" t="s">
        <v>120</v>
      </c>
      <c r="Q2" s="124" t="s">
        <v>42</v>
      </c>
      <c r="R2" s="125" t="s">
        <v>41</v>
      </c>
      <c r="S2" s="125" t="s">
        <v>40</v>
      </c>
      <c r="T2" s="125" t="s">
        <v>43</v>
      </c>
      <c r="U2" s="126" t="s">
        <v>47</v>
      </c>
      <c r="V2" s="463" t="s">
        <v>13</v>
      </c>
      <c r="W2" s="463" t="s">
        <v>120</v>
      </c>
    </row>
    <row r="3" spans="1:25" x14ac:dyDescent="0.3">
      <c r="A3" s="129" t="s">
        <v>29</v>
      </c>
      <c r="B3" s="35" t="s">
        <v>4</v>
      </c>
      <c r="C3" s="438">
        <v>1.054</v>
      </c>
      <c r="D3" s="438">
        <v>1.0837000000000001</v>
      </c>
      <c r="E3" s="438">
        <v>1.3631</v>
      </c>
      <c r="F3" s="438">
        <f>C3+D3-E3</f>
        <v>0.77460000000000018</v>
      </c>
      <c r="G3" s="18">
        <f>F3/D3</f>
        <v>0.71477346129002506</v>
      </c>
      <c r="H3" s="448">
        <f>AVERAGE(G3,G5)</f>
        <v>0.71518193359704219</v>
      </c>
      <c r="I3" s="448">
        <f>_xlfn.STDEV.S(G3,G5)</f>
        <v>5.7766707643736926E-4</v>
      </c>
      <c r="J3" s="441">
        <v>1.0438000000000001</v>
      </c>
      <c r="K3" s="438">
        <v>0.54049999999999998</v>
      </c>
      <c r="L3" s="438">
        <v>1.198</v>
      </c>
      <c r="M3" s="438">
        <f>J3+K3-L3</f>
        <v>0.38630000000000009</v>
      </c>
      <c r="N3" s="18">
        <f>M3/K3</f>
        <v>0.7147086031452361</v>
      </c>
      <c r="O3" s="448">
        <f>AVERAGE(N3,N5)</f>
        <v>0.71089994126897049</v>
      </c>
      <c r="P3" s="448">
        <f>_xlfn.STDEV.S(N3,N5)</f>
        <v>5.3862612799081798E-3</v>
      </c>
      <c r="Q3" s="441">
        <v>1.0463</v>
      </c>
      <c r="R3" s="438">
        <v>0.5413</v>
      </c>
      <c r="S3" s="438">
        <v>1.2095</v>
      </c>
      <c r="T3" s="438">
        <f>Q3+R3-S3</f>
        <v>0.3781000000000001</v>
      </c>
      <c r="U3" s="18">
        <f>T3/R3</f>
        <v>0.69850360243857401</v>
      </c>
      <c r="V3" s="448">
        <f>AVERAGE(U3,U5)</f>
        <v>0.69780949352697919</v>
      </c>
      <c r="W3" s="448">
        <f>_xlfn.STDEV.S(U3,U5)</f>
        <v>9.8161823654150933E-4</v>
      </c>
    </row>
    <row r="4" spans="1:25" x14ac:dyDescent="0.3">
      <c r="A4" s="130" t="s">
        <v>29</v>
      </c>
      <c r="B4" s="9" t="s">
        <v>5</v>
      </c>
      <c r="C4" s="4">
        <v>1.0442</v>
      </c>
      <c r="D4" s="4">
        <v>1.3434999999999999</v>
      </c>
      <c r="E4" s="63">
        <v>1.3150999999999999</v>
      </c>
      <c r="F4" s="4">
        <f t="shared" ref="F4:F19" si="0">C4+D4-E4</f>
        <v>1.0725999999999998</v>
      </c>
      <c r="G4" s="443">
        <f t="shared" ref="G4:G23" si="1">F4/D4</f>
        <v>0.79836248604391502</v>
      </c>
      <c r="H4" s="449">
        <f>AVERAGE(G6,G6)</f>
        <v>0.82407328865891916</v>
      </c>
      <c r="I4" s="449">
        <f>_xlfn.STDEV.S(G4,G6)</f>
        <v>1.8180282878818243E-2</v>
      </c>
      <c r="J4" s="442">
        <v>1.0404</v>
      </c>
      <c r="K4" s="63">
        <v>0.55559999999999998</v>
      </c>
      <c r="L4" s="63">
        <v>1.1393</v>
      </c>
      <c r="M4" s="63">
        <f t="shared" ref="M4:M11" si="2">J4+K4-L4</f>
        <v>0.45670000000000011</v>
      </c>
      <c r="N4" s="443">
        <f t="shared" ref="N4:N22" si="3">M4/K4</f>
        <v>0.8219942404607633</v>
      </c>
      <c r="O4" s="449">
        <f>AVERAGE(N4,N6)</f>
        <v>0.82067686114437954</v>
      </c>
      <c r="P4" s="449">
        <f>_xlfn.STDEV.S(N4,N6)</f>
        <v>1.8630556960197097E-3</v>
      </c>
      <c r="Q4" s="442">
        <v>1.0411999999999999</v>
      </c>
      <c r="R4" s="63">
        <v>0.55479999999999996</v>
      </c>
      <c r="S4" s="63">
        <v>1.1444000000000001</v>
      </c>
      <c r="T4" s="63">
        <f>Q4+R4-S4</f>
        <v>0.45159999999999978</v>
      </c>
      <c r="U4" s="443">
        <f>T4/R4</f>
        <v>0.81398702235039622</v>
      </c>
      <c r="V4" s="464">
        <f>AVERAGE(U4,U6)</f>
        <v>0.81740229921769791</v>
      </c>
      <c r="W4" s="449">
        <f>_xlfn.STDEV.S(U4,U6)</f>
        <v>4.8299308649970797E-3</v>
      </c>
    </row>
    <row r="5" spans="1:25" x14ac:dyDescent="0.3">
      <c r="A5" s="130" t="s">
        <v>31</v>
      </c>
      <c r="B5" s="9" t="s">
        <v>4</v>
      </c>
      <c r="C5" s="439">
        <v>1.0412999999999999</v>
      </c>
      <c r="D5" s="439">
        <v>1.0840000000000001</v>
      </c>
      <c r="E5" s="439">
        <v>1.3495999999999999</v>
      </c>
      <c r="F5" s="439">
        <f t="shared" si="0"/>
        <v>0.77570000000000028</v>
      </c>
      <c r="G5" s="19">
        <f t="shared" si="1"/>
        <v>0.7155904059040592</v>
      </c>
      <c r="H5" s="450"/>
      <c r="I5" s="450"/>
      <c r="J5" s="440">
        <v>1.0404</v>
      </c>
      <c r="K5" s="439">
        <v>0.54010000000000002</v>
      </c>
      <c r="L5" s="439">
        <v>1.1986000000000001</v>
      </c>
      <c r="M5" s="439">
        <f t="shared" si="2"/>
        <v>0.38189999999999991</v>
      </c>
      <c r="N5" s="19">
        <f t="shared" si="3"/>
        <v>0.70709127939270489</v>
      </c>
      <c r="O5" s="450"/>
      <c r="P5" s="450"/>
      <c r="Q5" s="440">
        <v>1.0409999999999999</v>
      </c>
      <c r="R5" s="439">
        <v>0.54079999999999995</v>
      </c>
      <c r="S5" s="439">
        <v>1.2048000000000001</v>
      </c>
      <c r="T5" s="439">
        <f>Q5+R5-S5</f>
        <v>0.37699999999999978</v>
      </c>
      <c r="U5" s="19">
        <f>T5/R5</f>
        <v>0.69711538461538425</v>
      </c>
      <c r="V5" s="450"/>
      <c r="W5" s="465"/>
    </row>
    <row r="6" spans="1:25" x14ac:dyDescent="0.3">
      <c r="A6" s="130" t="s">
        <v>31</v>
      </c>
      <c r="B6" s="9" t="s">
        <v>5</v>
      </c>
      <c r="C6" s="4">
        <v>1.0410999999999999</v>
      </c>
      <c r="D6" s="4">
        <v>1.1789000000000001</v>
      </c>
      <c r="E6" s="4">
        <v>1.2484999999999999</v>
      </c>
      <c r="F6" s="4">
        <f t="shared" si="0"/>
        <v>0.97149999999999981</v>
      </c>
      <c r="G6" s="10">
        <f t="shared" si="1"/>
        <v>0.82407328865891916</v>
      </c>
      <c r="H6" s="451"/>
      <c r="I6" s="451"/>
      <c r="J6" s="102">
        <v>1.0414000000000001</v>
      </c>
      <c r="K6" s="4">
        <v>0.55579999999999996</v>
      </c>
      <c r="L6" s="63">
        <v>1.1417999999999999</v>
      </c>
      <c r="M6" s="4">
        <f t="shared" si="2"/>
        <v>0.45540000000000003</v>
      </c>
      <c r="N6" s="10">
        <f t="shared" si="3"/>
        <v>0.81935948182799578</v>
      </c>
      <c r="O6" s="451"/>
      <c r="P6" s="451"/>
      <c r="Q6" s="102">
        <v>1.0439000000000001</v>
      </c>
      <c r="R6" s="4">
        <v>0.55530000000000002</v>
      </c>
      <c r="S6" s="4">
        <v>1.1434</v>
      </c>
      <c r="T6" s="4">
        <f>Q6+R6-S6</f>
        <v>0.4558000000000002</v>
      </c>
      <c r="U6" s="10">
        <f>T6/R6</f>
        <v>0.8208175760849995</v>
      </c>
      <c r="V6" s="451"/>
      <c r="W6" s="466"/>
    </row>
    <row r="7" spans="1:25" x14ac:dyDescent="0.3">
      <c r="A7" s="130" t="s">
        <v>32</v>
      </c>
      <c r="B7" s="9" t="s">
        <v>4</v>
      </c>
      <c r="C7" s="439">
        <v>1.0435000000000001</v>
      </c>
      <c r="D7" s="439">
        <v>1.0832999999999999</v>
      </c>
      <c r="E7" s="439">
        <v>1.4278999999999999</v>
      </c>
      <c r="F7" s="439">
        <f t="shared" si="0"/>
        <v>0.6989000000000003</v>
      </c>
      <c r="G7" s="19">
        <f t="shared" si="1"/>
        <v>0.64515831256346379</v>
      </c>
      <c r="H7" s="448">
        <f>AVERAGE(G7,G7)</f>
        <v>0.64515831256346379</v>
      </c>
      <c r="I7" s="448">
        <f>_xlfn.STDEV.S(G7,G9)</f>
        <v>3.3748026275805226E-2</v>
      </c>
      <c r="J7" s="440">
        <v>1.0572999999999999</v>
      </c>
      <c r="K7" s="439">
        <v>0.5413</v>
      </c>
      <c r="L7" s="439">
        <v>1.2525999999999999</v>
      </c>
      <c r="M7" s="439">
        <f t="shared" si="2"/>
        <v>0.34599999999999986</v>
      </c>
      <c r="N7" s="19">
        <f t="shared" si="3"/>
        <v>0.63920192130057241</v>
      </c>
      <c r="O7" s="448">
        <f>AVERAGE(N7,N9)</f>
        <v>0.63968232159703187</v>
      </c>
      <c r="P7" s="448">
        <f>_xlfn.STDEV.S(N7,N9)</f>
        <v>6.7938861462102395E-4</v>
      </c>
      <c r="Q7" s="440">
        <v>1.0412999999999999</v>
      </c>
      <c r="R7" s="439">
        <v>0.53859999999999997</v>
      </c>
      <c r="S7" s="439">
        <v>1.2347999999999999</v>
      </c>
      <c r="T7" s="439">
        <f t="shared" ref="T7:T22" si="4">Q7+R7-S7</f>
        <v>0.34509999999999996</v>
      </c>
      <c r="U7" s="19">
        <f t="shared" ref="U7:U22" si="5">T7/R7</f>
        <v>0.64073523950984035</v>
      </c>
      <c r="V7" s="450">
        <f>AVERAGE(U7,U9)</f>
        <v>0.63923239437929413</v>
      </c>
      <c r="W7" s="448">
        <f>_xlfn.STDEV.S(U7,U9)</f>
        <v>2.1253439657647438E-3</v>
      </c>
    </row>
    <row r="8" spans="1:25" x14ac:dyDescent="0.3">
      <c r="A8" s="130" t="s">
        <v>32</v>
      </c>
      <c r="B8" s="9" t="s">
        <v>5</v>
      </c>
      <c r="C8" s="4">
        <v>1.0573999999999999</v>
      </c>
      <c r="D8" s="4">
        <v>1.1408</v>
      </c>
      <c r="E8" s="4">
        <v>1.3057000000000001</v>
      </c>
      <c r="F8" s="4">
        <f t="shared" si="0"/>
        <v>0.89249999999999985</v>
      </c>
      <c r="G8" s="10">
        <f t="shared" si="1"/>
        <v>0.7823457223001401</v>
      </c>
      <c r="H8" s="449">
        <f>AVERAGE(G8,G10)</f>
        <v>0.78327119302013148</v>
      </c>
      <c r="I8" s="449">
        <f>_xlfn.STDEV.S(G8,G10)</f>
        <v>1.3088132437910078E-3</v>
      </c>
      <c r="J8" s="102">
        <v>1.0436000000000001</v>
      </c>
      <c r="K8" s="4">
        <v>0.56689999999999996</v>
      </c>
      <c r="L8" s="63">
        <v>1.1745000000000001</v>
      </c>
      <c r="M8" s="4">
        <f t="shared" si="2"/>
        <v>0.43599999999999994</v>
      </c>
      <c r="N8" s="10">
        <f t="shared" si="3"/>
        <v>0.76909507849708936</v>
      </c>
      <c r="O8" s="449">
        <f>AVERAGE(N8,N10)</f>
        <v>0.77060793250697168</v>
      </c>
      <c r="P8" s="449">
        <f>_xlfn.STDEV.S(N8,N10)</f>
        <v>2.1394986586660263E-3</v>
      </c>
      <c r="Q8" s="102">
        <v>1.0463</v>
      </c>
      <c r="R8" s="4">
        <v>0.56679999999999997</v>
      </c>
      <c r="S8" s="4">
        <v>1.1823999999999999</v>
      </c>
      <c r="T8" s="4">
        <f t="shared" si="4"/>
        <v>0.43070000000000008</v>
      </c>
      <c r="U8" s="10">
        <f t="shared" si="5"/>
        <v>0.7598800282286523</v>
      </c>
      <c r="V8" s="464">
        <f>AVERAGE(U8,U10)</f>
        <v>0.76411432604093166</v>
      </c>
      <c r="W8" s="449">
        <f>_xlfn.STDEV.S(U8,U10)</f>
        <v>5.9882013932521863E-3</v>
      </c>
      <c r="Y8" s="1"/>
    </row>
    <row r="9" spans="1:25" x14ac:dyDescent="0.3">
      <c r="A9" s="130" t="s">
        <v>33</v>
      </c>
      <c r="B9" s="9" t="s">
        <v>4</v>
      </c>
      <c r="C9" s="439">
        <v>1.0414000000000001</v>
      </c>
      <c r="D9" s="439">
        <v>1.0823</v>
      </c>
      <c r="E9" s="439">
        <v>1.4771000000000001</v>
      </c>
      <c r="F9" s="439">
        <f t="shared" si="0"/>
        <v>0.64660000000000029</v>
      </c>
      <c r="G9" s="19">
        <f t="shared" si="1"/>
        <v>0.59743139610089646</v>
      </c>
      <c r="H9" s="450"/>
      <c r="I9" s="450"/>
      <c r="J9" s="440">
        <v>1.044</v>
      </c>
      <c r="K9" s="439">
        <v>0.54079999999999995</v>
      </c>
      <c r="L9" s="439">
        <v>1.2385999999999999</v>
      </c>
      <c r="M9" s="439">
        <f t="shared" si="2"/>
        <v>0.34620000000000006</v>
      </c>
      <c r="N9" s="19">
        <f t="shared" si="3"/>
        <v>0.64016272189349133</v>
      </c>
      <c r="O9" s="450"/>
      <c r="P9" s="450"/>
      <c r="Q9" s="440">
        <v>1.0577000000000001</v>
      </c>
      <c r="R9" s="439">
        <v>0.53910000000000002</v>
      </c>
      <c r="S9" s="439">
        <v>1.2529999999999999</v>
      </c>
      <c r="T9" s="439">
        <f t="shared" si="4"/>
        <v>0.34380000000000011</v>
      </c>
      <c r="U9" s="19">
        <f t="shared" si="5"/>
        <v>0.63772954924874803</v>
      </c>
      <c r="V9" s="450"/>
      <c r="W9" s="465"/>
      <c r="Y9" s="1"/>
    </row>
    <row r="10" spans="1:25" x14ac:dyDescent="0.3">
      <c r="A10" s="130" t="s">
        <v>33</v>
      </c>
      <c r="B10" s="9" t="s">
        <v>5</v>
      </c>
      <c r="C10" s="4">
        <v>1.0544</v>
      </c>
      <c r="D10" s="4">
        <v>1.139</v>
      </c>
      <c r="E10" s="63">
        <v>1.3002</v>
      </c>
      <c r="F10" s="4">
        <f t="shared" si="0"/>
        <v>0.89319999999999999</v>
      </c>
      <c r="G10" s="10">
        <f t="shared" si="1"/>
        <v>0.78419666374012287</v>
      </c>
      <c r="H10" s="451"/>
      <c r="I10" s="451"/>
      <c r="J10" s="102">
        <v>1.0545</v>
      </c>
      <c r="K10" s="4">
        <v>0.5696</v>
      </c>
      <c r="L10" s="63">
        <v>1.1842999999999999</v>
      </c>
      <c r="M10" s="4">
        <f t="shared" si="2"/>
        <v>0.43979999999999997</v>
      </c>
      <c r="N10" s="10">
        <f t="shared" si="3"/>
        <v>0.7721207865168539</v>
      </c>
      <c r="O10" s="451"/>
      <c r="P10" s="451"/>
      <c r="Q10" s="102">
        <v>1.0396000000000001</v>
      </c>
      <c r="R10" s="4">
        <v>0.56679999999999997</v>
      </c>
      <c r="S10" s="4">
        <v>1.1709000000000001</v>
      </c>
      <c r="T10" s="4">
        <f t="shared" si="4"/>
        <v>0.4355</v>
      </c>
      <c r="U10" s="10">
        <f t="shared" si="5"/>
        <v>0.76834862385321101</v>
      </c>
      <c r="V10" s="451"/>
      <c r="W10" s="466"/>
      <c r="Y10" s="1"/>
    </row>
    <row r="11" spans="1:25" x14ac:dyDescent="0.3">
      <c r="A11" s="130" t="s">
        <v>34</v>
      </c>
      <c r="B11" s="9" t="s">
        <v>4</v>
      </c>
      <c r="C11" s="439">
        <v>1.0507</v>
      </c>
      <c r="D11" s="439">
        <v>0.54049999999999998</v>
      </c>
      <c r="E11" s="439">
        <v>1.2686999999999999</v>
      </c>
      <c r="F11" s="439">
        <f t="shared" si="0"/>
        <v>0.32250000000000001</v>
      </c>
      <c r="G11" s="19">
        <f t="shared" si="1"/>
        <v>0.59666975023126734</v>
      </c>
      <c r="H11" s="448">
        <f>AVERAGE(G11,G13)</f>
        <v>0.59550991204325543</v>
      </c>
      <c r="I11" s="448">
        <f>_xlfn.STDEV.S(G11,G13)</f>
        <v>1.640258895644676E-3</v>
      </c>
      <c r="J11" s="440">
        <v>1.0432999999999999</v>
      </c>
      <c r="K11" s="439">
        <v>0.53900000000000003</v>
      </c>
      <c r="L11" s="439">
        <v>1.2907</v>
      </c>
      <c r="M11" s="439">
        <f t="shared" si="2"/>
        <v>0.29160000000000008</v>
      </c>
      <c r="N11" s="19">
        <f t="shared" si="3"/>
        <v>0.54100185528756972</v>
      </c>
      <c r="O11" s="448">
        <f>AVERAGE(N11,N13)</f>
        <v>0.5655165612652675</v>
      </c>
      <c r="P11" s="448">
        <f>_xlfn.STDEV.S(N11,N13)</f>
        <v>3.4669029671248991E-2</v>
      </c>
      <c r="Q11" s="440">
        <v>1.0407</v>
      </c>
      <c r="R11" s="439">
        <v>0.54179999999999995</v>
      </c>
      <c r="S11" s="439">
        <v>1.2625</v>
      </c>
      <c r="T11" s="439">
        <f t="shared" si="4"/>
        <v>0.32000000000000006</v>
      </c>
      <c r="U11" s="19">
        <f t="shared" si="5"/>
        <v>0.59062384643780008</v>
      </c>
      <c r="V11" s="450">
        <f>AVERAGE(U11,U13)</f>
        <v>0.58944584684922652</v>
      </c>
      <c r="W11" s="448">
        <f>_xlfn.STDEV.S(U11,U13)</f>
        <v>1.6659429946306601E-3</v>
      </c>
    </row>
    <row r="12" spans="1:25" x14ac:dyDescent="0.3">
      <c r="A12" s="130" t="s">
        <v>34</v>
      </c>
      <c r="B12" s="9" t="s">
        <v>5</v>
      </c>
      <c r="C12" s="4">
        <v>1.0396000000000001</v>
      </c>
      <c r="D12" s="4">
        <v>0.58030000000000004</v>
      </c>
      <c r="E12" s="63">
        <v>1.1962999999999999</v>
      </c>
      <c r="F12" s="4">
        <f t="shared" ref="F12:F18" si="6">C12+D12-E12</f>
        <v>0.4236000000000002</v>
      </c>
      <c r="G12" s="10">
        <f t="shared" si="1"/>
        <v>0.72996725831466514</v>
      </c>
      <c r="H12" s="449">
        <f>AVERAGE(G12,G14)</f>
        <v>0.73154145696279738</v>
      </c>
      <c r="I12" s="449">
        <f>_xlfn.STDEV.S(G12,G14)</f>
        <v>2.2262530780579287E-3</v>
      </c>
      <c r="J12" s="102">
        <v>1.0542</v>
      </c>
      <c r="K12" s="4">
        <v>0.58199999999999996</v>
      </c>
      <c r="L12" s="63">
        <v>1.2213000000000001</v>
      </c>
      <c r="M12" s="4">
        <f>J12+K12-L12</f>
        <v>0.41490000000000005</v>
      </c>
      <c r="N12" s="10">
        <f t="shared" si="3"/>
        <v>0.71288659793814446</v>
      </c>
      <c r="O12" s="449">
        <f>AVERAGE(N12,N14)</f>
        <v>0.7168964400607305</v>
      </c>
      <c r="P12" s="449">
        <f>_xlfn.STDEV.S(N12,N14)</f>
        <v>5.6707731127360154E-3</v>
      </c>
      <c r="Q12" s="102">
        <v>1.0441</v>
      </c>
      <c r="R12" s="4">
        <v>0.57920000000000005</v>
      </c>
      <c r="S12" s="4">
        <v>1.2013</v>
      </c>
      <c r="T12" s="4">
        <f t="shared" si="4"/>
        <v>0.42199999999999993</v>
      </c>
      <c r="U12" s="10">
        <f t="shared" si="5"/>
        <v>0.72859116022099435</v>
      </c>
      <c r="V12" s="464">
        <f>AVERAGE(U12,U14)</f>
        <v>0.72505179558011035</v>
      </c>
      <c r="W12" s="449">
        <f>_xlfn.STDEV.S(U12,U14)</f>
        <v>5.0054174773219344E-3</v>
      </c>
    </row>
    <row r="13" spans="1:25" x14ac:dyDescent="0.3">
      <c r="A13" s="130" t="s">
        <v>35</v>
      </c>
      <c r="B13" s="9" t="s">
        <v>4</v>
      </c>
      <c r="C13" s="439">
        <v>1.0507</v>
      </c>
      <c r="D13" s="439">
        <v>0.54159999999999997</v>
      </c>
      <c r="E13" s="439">
        <v>1.2704</v>
      </c>
      <c r="F13" s="439">
        <f t="shared" si="6"/>
        <v>0.32189999999999985</v>
      </c>
      <c r="G13" s="19">
        <f t="shared" si="1"/>
        <v>0.59435007385524352</v>
      </c>
      <c r="H13" s="450"/>
      <c r="I13" s="450"/>
      <c r="J13" s="440">
        <v>1.0578000000000001</v>
      </c>
      <c r="K13" s="439">
        <v>0.54369999999999996</v>
      </c>
      <c r="L13" s="439">
        <v>1.2806999999999999</v>
      </c>
      <c r="M13" s="439">
        <f>J13+K13-L13</f>
        <v>0.3208000000000002</v>
      </c>
      <c r="N13" s="19">
        <f t="shared" si="3"/>
        <v>0.59003126724296528</v>
      </c>
      <c r="O13" s="450"/>
      <c r="P13" s="450"/>
      <c r="Q13" s="440">
        <v>1.0430999999999999</v>
      </c>
      <c r="R13" s="439">
        <v>0.54210000000000003</v>
      </c>
      <c r="S13" s="439">
        <v>1.2663</v>
      </c>
      <c r="T13" s="439">
        <f t="shared" si="4"/>
        <v>0.31889999999999996</v>
      </c>
      <c r="U13" s="19">
        <f t="shared" si="5"/>
        <v>0.58826784726065295</v>
      </c>
      <c r="V13" s="450"/>
      <c r="W13" s="465"/>
    </row>
    <row r="14" spans="1:25" x14ac:dyDescent="0.3">
      <c r="A14" s="130" t="s">
        <v>35</v>
      </c>
      <c r="B14" s="9" t="s">
        <v>5</v>
      </c>
      <c r="C14" s="4">
        <v>1.0414000000000001</v>
      </c>
      <c r="D14" s="4">
        <v>0.58189999999999997</v>
      </c>
      <c r="E14" s="63">
        <v>1.1967000000000001</v>
      </c>
      <c r="F14" s="4">
        <f t="shared" si="6"/>
        <v>0.42659999999999987</v>
      </c>
      <c r="G14" s="10">
        <f t="shared" si="1"/>
        <v>0.73311565561092951</v>
      </c>
      <c r="H14" s="451"/>
      <c r="I14" s="451"/>
      <c r="J14" s="102">
        <v>1.0439000000000001</v>
      </c>
      <c r="K14" s="4">
        <v>0.58260000000000001</v>
      </c>
      <c r="L14" s="63">
        <v>1.2064999999999999</v>
      </c>
      <c r="M14" s="4">
        <f>J14+K14-L14</f>
        <v>0.42000000000000015</v>
      </c>
      <c r="N14" s="10">
        <f t="shared" si="3"/>
        <v>0.72090628218331643</v>
      </c>
      <c r="O14" s="451"/>
      <c r="P14" s="451"/>
      <c r="Q14" s="102">
        <v>1.0397000000000001</v>
      </c>
      <c r="R14" s="4">
        <v>0.57920000000000005</v>
      </c>
      <c r="S14" s="4">
        <v>1.2010000000000001</v>
      </c>
      <c r="T14" s="4">
        <f t="shared" si="4"/>
        <v>0.41789999999999994</v>
      </c>
      <c r="U14" s="10">
        <f t="shared" si="5"/>
        <v>0.72151243093922635</v>
      </c>
      <c r="V14" s="451"/>
      <c r="W14" s="466"/>
    </row>
    <row r="15" spans="1:25" x14ac:dyDescent="0.3">
      <c r="A15" s="130" t="s">
        <v>36</v>
      </c>
      <c r="B15" s="9" t="s">
        <v>4</v>
      </c>
      <c r="C15" s="439">
        <v>1.0464</v>
      </c>
      <c r="D15" s="439">
        <v>0.55200000000000005</v>
      </c>
      <c r="E15" s="439">
        <v>1.3174999999999999</v>
      </c>
      <c r="F15" s="439">
        <f t="shared" si="6"/>
        <v>0.28090000000000015</v>
      </c>
      <c r="G15" s="19">
        <f t="shared" si="1"/>
        <v>0.50887681159420317</v>
      </c>
      <c r="H15" s="448">
        <f>AVERAGE(G15,G15)</f>
        <v>0.50887681159420317</v>
      </c>
      <c r="I15" s="448"/>
      <c r="J15" s="440">
        <v>1.0442</v>
      </c>
      <c r="K15" s="439">
        <v>0.55489999999999995</v>
      </c>
      <c r="L15" s="439">
        <v>1.3168</v>
      </c>
      <c r="M15" s="439">
        <f>J15+K15-L15</f>
        <v>0.2823</v>
      </c>
      <c r="N15" s="19">
        <f t="shared" si="3"/>
        <v>0.5087403135700127</v>
      </c>
      <c r="O15" s="448">
        <f>AVERAGE(N15,N17)</f>
        <v>0.50866724381232675</v>
      </c>
      <c r="P15" s="448">
        <f>_xlfn.STDEV.S(N15,N17)</f>
        <v>1.0333624231886569E-4</v>
      </c>
      <c r="Q15" s="440">
        <v>1.0438000000000001</v>
      </c>
      <c r="R15" s="439">
        <v>0.5504</v>
      </c>
      <c r="S15" s="439">
        <v>1.3149</v>
      </c>
      <c r="T15" s="439">
        <f t="shared" si="4"/>
        <v>0.2793000000000001</v>
      </c>
      <c r="U15" s="19">
        <f t="shared" si="5"/>
        <v>0.50744912790697694</v>
      </c>
      <c r="V15" s="450">
        <f>AVERAGE(U15,U17)</f>
        <v>0.5075307613384068</v>
      </c>
      <c r="W15" s="448">
        <f>_xlfn.STDEV.S(U15,U17)</f>
        <v>1.1544710587124297E-4</v>
      </c>
    </row>
    <row r="16" spans="1:25" x14ac:dyDescent="0.3">
      <c r="A16" s="130" t="s">
        <v>36</v>
      </c>
      <c r="B16" s="9" t="s">
        <v>5</v>
      </c>
      <c r="C16" s="4">
        <v>1.0411999999999999</v>
      </c>
      <c r="D16" s="4">
        <v>0.60940000000000005</v>
      </c>
      <c r="E16" s="63">
        <v>1.2591000000000001</v>
      </c>
      <c r="F16" s="4">
        <f t="shared" si="6"/>
        <v>0.39149999999999974</v>
      </c>
      <c r="G16" s="10">
        <f t="shared" si="1"/>
        <v>0.64243518214637296</v>
      </c>
      <c r="H16" s="449">
        <f>AVERAGE(G16,G18)</f>
        <v>0.64120451704148196</v>
      </c>
      <c r="I16" s="449">
        <f>_xlfn.STDEV.S(G16,G18)</f>
        <v>1.7404232820762446E-3</v>
      </c>
      <c r="J16" s="102">
        <v>1.0412999999999999</v>
      </c>
      <c r="K16" s="4">
        <v>0.6089</v>
      </c>
      <c r="L16" s="63">
        <v>1.2747999999999999</v>
      </c>
      <c r="M16" s="4">
        <f>J16+K16-L16</f>
        <v>0.37539999999999996</v>
      </c>
      <c r="N16" s="10">
        <f t="shared" si="3"/>
        <v>0.61652159632123493</v>
      </c>
      <c r="O16" s="449">
        <f>AVERAGE(N16,N18)</f>
        <v>0.62724334672828297</v>
      </c>
      <c r="P16" s="449">
        <f>_xlfn.STDEV.S(N16,N18)</f>
        <v>1.5162844838026664E-2</v>
      </c>
      <c r="Q16" s="102">
        <v>1.0576000000000001</v>
      </c>
      <c r="R16" s="4">
        <v>0.61260000000000003</v>
      </c>
      <c r="S16" s="4">
        <v>1.2814000000000001</v>
      </c>
      <c r="T16" s="4">
        <f t="shared" si="4"/>
        <v>0.38880000000000003</v>
      </c>
      <c r="U16" s="10">
        <f t="shared" si="5"/>
        <v>0.63467189030362392</v>
      </c>
      <c r="V16" s="464">
        <f>AVERAGE(U16,U18)</f>
        <v>0.63708439337134815</v>
      </c>
      <c r="W16" s="449">
        <f>_xlfn.STDEV.S(U16,U18)</f>
        <v>3.4117945576423755E-3</v>
      </c>
    </row>
    <row r="17" spans="1:23" x14ac:dyDescent="0.3">
      <c r="A17" s="130" t="s">
        <v>37</v>
      </c>
      <c r="B17" s="9" t="s">
        <v>4</v>
      </c>
      <c r="C17" s="439">
        <v>1.0468</v>
      </c>
      <c r="D17" s="439">
        <v>0.55320000000000003</v>
      </c>
      <c r="E17" s="439">
        <v>1.3989</v>
      </c>
      <c r="F17" s="439">
        <f t="shared" si="6"/>
        <v>0.20110000000000006</v>
      </c>
      <c r="G17" s="17">
        <f>F17/D17</f>
        <v>0.36352133044107021</v>
      </c>
      <c r="H17" s="450"/>
      <c r="I17" s="450"/>
      <c r="J17" s="440">
        <v>1.0411999999999999</v>
      </c>
      <c r="K17" s="439">
        <v>0.55269999999999997</v>
      </c>
      <c r="L17" s="439">
        <v>1.3128</v>
      </c>
      <c r="M17" s="439">
        <f t="shared" ref="M17:M22" si="7">J17+K17-L17</f>
        <v>0.28109999999999991</v>
      </c>
      <c r="N17" s="19">
        <f>M17/K17</f>
        <v>0.50859417405464069</v>
      </c>
      <c r="O17" s="450"/>
      <c r="P17" s="450"/>
      <c r="Q17" s="440">
        <v>1.0392999999999999</v>
      </c>
      <c r="R17" s="439">
        <v>0.55830000000000002</v>
      </c>
      <c r="S17" s="439">
        <v>1.3142</v>
      </c>
      <c r="T17" s="439">
        <f t="shared" si="4"/>
        <v>0.28339999999999987</v>
      </c>
      <c r="U17" s="19">
        <f t="shared" si="5"/>
        <v>0.50761239476983677</v>
      </c>
      <c r="V17" s="450"/>
      <c r="W17" s="465"/>
    </row>
    <row r="18" spans="1:23" x14ac:dyDescent="0.3">
      <c r="A18" s="130" t="s">
        <v>37</v>
      </c>
      <c r="B18" s="9" t="s">
        <v>5</v>
      </c>
      <c r="C18" s="4">
        <v>1.0442</v>
      </c>
      <c r="D18" s="4">
        <v>0.6119</v>
      </c>
      <c r="E18" s="4">
        <v>1.2645</v>
      </c>
      <c r="F18" s="4">
        <f t="shared" si="6"/>
        <v>0.39159999999999995</v>
      </c>
      <c r="G18" s="10">
        <f t="shared" si="1"/>
        <v>0.63997385193659084</v>
      </c>
      <c r="H18" s="451"/>
      <c r="I18" s="451"/>
      <c r="J18" s="102">
        <v>1.0463</v>
      </c>
      <c r="K18" s="4">
        <v>0.60740000000000005</v>
      </c>
      <c r="L18" s="63">
        <v>1.2662</v>
      </c>
      <c r="M18" s="4">
        <f t="shared" si="7"/>
        <v>0.38750000000000018</v>
      </c>
      <c r="N18" s="10">
        <f t="shared" si="3"/>
        <v>0.63796509713533112</v>
      </c>
      <c r="O18" s="451"/>
      <c r="P18" s="451"/>
      <c r="Q18" s="102">
        <v>1.04</v>
      </c>
      <c r="R18" s="4">
        <v>0.61219999999999997</v>
      </c>
      <c r="S18" s="63">
        <v>1.2606999999999999</v>
      </c>
      <c r="T18" s="4">
        <f t="shared" si="4"/>
        <v>0.39150000000000018</v>
      </c>
      <c r="U18" s="10">
        <f t="shared" si="5"/>
        <v>0.63949689643907248</v>
      </c>
      <c r="V18" s="451"/>
      <c r="W18" s="466"/>
    </row>
    <row r="19" spans="1:23" x14ac:dyDescent="0.3">
      <c r="A19" s="130" t="s">
        <v>38</v>
      </c>
      <c r="B19" s="9" t="s">
        <v>4</v>
      </c>
      <c r="C19" s="439">
        <v>1.0355000000000001</v>
      </c>
      <c r="D19" s="439">
        <v>0.56000000000000005</v>
      </c>
      <c r="E19" s="439">
        <v>1.3297000000000001</v>
      </c>
      <c r="F19" s="439">
        <f t="shared" si="0"/>
        <v>0.26580000000000004</v>
      </c>
      <c r="G19" s="19">
        <f t="shared" si="1"/>
        <v>0.47464285714285714</v>
      </c>
      <c r="H19" s="448">
        <f>AVERAGE(G19,G21)</f>
        <v>0.47989214106695299</v>
      </c>
      <c r="I19" s="448">
        <f>_xlfn.STDEV.S(G19,G21)</f>
        <v>7.4236085182034497E-3</v>
      </c>
      <c r="J19" s="440">
        <v>1.0403</v>
      </c>
      <c r="K19" s="439">
        <v>0.55020000000000002</v>
      </c>
      <c r="L19" s="439">
        <v>1.3338000000000001</v>
      </c>
      <c r="M19" s="439">
        <f t="shared" si="7"/>
        <v>0.25669999999999993</v>
      </c>
      <c r="N19" s="19">
        <f t="shared" si="3"/>
        <v>0.46655761541257712</v>
      </c>
      <c r="O19" s="448">
        <f>AVERAGE(N19,N19)</f>
        <v>0.46655761541257712</v>
      </c>
      <c r="P19" s="448"/>
      <c r="Q19" s="440">
        <v>1.0430999999999999</v>
      </c>
      <c r="R19" s="439">
        <v>0.55649999999999999</v>
      </c>
      <c r="S19" s="439">
        <v>1.34</v>
      </c>
      <c r="T19" s="439">
        <f t="shared" si="4"/>
        <v>0.25959999999999983</v>
      </c>
      <c r="U19" s="19">
        <f t="shared" si="5"/>
        <v>0.46648697214734919</v>
      </c>
      <c r="V19" s="450">
        <f>AVERAGE(U19,U21)</f>
        <v>0.46634245849119754</v>
      </c>
      <c r="W19" s="448">
        <f>_xlfn.STDEV.S(U19,U21)</f>
        <v>2.0437317247777955E-4</v>
      </c>
    </row>
    <row r="20" spans="1:23" x14ac:dyDescent="0.3">
      <c r="A20" s="130" t="s">
        <v>38</v>
      </c>
      <c r="B20" s="9" t="s">
        <v>5</v>
      </c>
      <c r="C20" s="4">
        <v>1.0439000000000001</v>
      </c>
      <c r="D20" s="4">
        <v>0.62480000000000002</v>
      </c>
      <c r="E20" s="4">
        <v>1.3057000000000001</v>
      </c>
      <c r="F20" s="4">
        <f>C20+D20-E20</f>
        <v>0.36299999999999999</v>
      </c>
      <c r="G20" s="10">
        <f t="shared" si="1"/>
        <v>0.58098591549295775</v>
      </c>
      <c r="H20" s="449">
        <f>AVERAGE(G20,G22,G23)</f>
        <v>0.57999652338857266</v>
      </c>
      <c r="I20" s="449">
        <f>_xlfn.STDEV.S(G20,G22)</f>
        <v>2.0545917772193342E-3</v>
      </c>
      <c r="J20" s="102">
        <v>1.0442</v>
      </c>
      <c r="K20" s="4">
        <v>0.62380000000000002</v>
      </c>
      <c r="L20" s="63">
        <v>1.3221000000000001</v>
      </c>
      <c r="M20" s="4">
        <f t="shared" si="7"/>
        <v>0.3459000000000001</v>
      </c>
      <c r="N20" s="10">
        <f>M20/K20</f>
        <v>0.55450464892593798</v>
      </c>
      <c r="O20" s="449">
        <f>AVERAGE(N20,N22)</f>
        <v>0.55108500928787163</v>
      </c>
      <c r="P20" s="449">
        <f>_xlfn.STDEV.S(N20,N22)</f>
        <v>4.8361007545820569E-3</v>
      </c>
      <c r="Q20" s="102">
        <v>1.0537000000000001</v>
      </c>
      <c r="R20" s="4">
        <v>0.62180000000000002</v>
      </c>
      <c r="S20" s="63">
        <v>1.3053999999999999</v>
      </c>
      <c r="T20" s="4">
        <f t="shared" si="4"/>
        <v>0.3701000000000001</v>
      </c>
      <c r="U20" s="10">
        <f t="shared" si="5"/>
        <v>0.59520746220649745</v>
      </c>
      <c r="V20" s="464">
        <f>AVERAGE(U20,U22)</f>
        <v>0.59623936513214115</v>
      </c>
      <c r="W20" s="449">
        <f>_xlfn.STDEV.S(U20,U22)</f>
        <v>1.45933111249772E-3</v>
      </c>
    </row>
    <row r="21" spans="1:23" x14ac:dyDescent="0.3">
      <c r="A21" s="130" t="s">
        <v>39</v>
      </c>
      <c r="B21" s="9" t="s">
        <v>4</v>
      </c>
      <c r="C21" s="439">
        <v>1.0465</v>
      </c>
      <c r="D21" s="439">
        <v>0.55859999999999999</v>
      </c>
      <c r="E21" s="439">
        <v>1.3341000000000001</v>
      </c>
      <c r="F21" s="439">
        <f>C21+D21-E21</f>
        <v>0.27099999999999991</v>
      </c>
      <c r="G21" s="19">
        <f t="shared" si="1"/>
        <v>0.4851414249910489</v>
      </c>
      <c r="H21" s="450"/>
      <c r="I21" s="450"/>
      <c r="J21" s="440">
        <v>1.0383</v>
      </c>
      <c r="K21" s="439">
        <v>0.55210000000000004</v>
      </c>
      <c r="L21" s="439">
        <v>1.1884999999999999</v>
      </c>
      <c r="M21" s="439">
        <f t="shared" si="7"/>
        <v>0.40190000000000015</v>
      </c>
      <c r="N21" s="17">
        <f t="shared" si="3"/>
        <v>0.72794783553704057</v>
      </c>
      <c r="O21" s="450"/>
      <c r="P21" s="450"/>
      <c r="Q21" s="440">
        <v>1.0412999999999999</v>
      </c>
      <c r="R21" s="439">
        <v>0.55469999999999997</v>
      </c>
      <c r="S21" s="439">
        <v>1.3373999999999999</v>
      </c>
      <c r="T21" s="439">
        <f t="shared" si="4"/>
        <v>0.25859999999999994</v>
      </c>
      <c r="U21" s="19">
        <f t="shared" si="5"/>
        <v>0.4661979448350459</v>
      </c>
      <c r="V21" s="450"/>
      <c r="W21" s="465"/>
    </row>
    <row r="22" spans="1:23" ht="16.2" thickBot="1" x14ac:dyDescent="0.35">
      <c r="A22" s="130" t="s">
        <v>39</v>
      </c>
      <c r="B22" s="9" t="s">
        <v>5</v>
      </c>
      <c r="C22" s="4">
        <v>1.0411999999999999</v>
      </c>
      <c r="D22" s="4">
        <v>0.627</v>
      </c>
      <c r="E22" s="63">
        <v>1.3021</v>
      </c>
      <c r="F22" s="4">
        <f>C22+D22-E22</f>
        <v>0.36609999999999987</v>
      </c>
      <c r="G22" s="10">
        <f t="shared" si="1"/>
        <v>0.58389154704944157</v>
      </c>
      <c r="H22" s="452"/>
      <c r="I22" s="451"/>
      <c r="J22" s="102">
        <v>1.0508999999999999</v>
      </c>
      <c r="K22" s="4">
        <v>0.61680000000000001</v>
      </c>
      <c r="L22" s="4">
        <v>1.3299000000000001</v>
      </c>
      <c r="M22" s="4">
        <f t="shared" si="7"/>
        <v>0.33779999999999988</v>
      </c>
      <c r="N22" s="10">
        <f t="shared" si="3"/>
        <v>0.54766536964980528</v>
      </c>
      <c r="O22" s="451"/>
      <c r="P22" s="451"/>
      <c r="Q22" s="102">
        <v>1.0431999999999999</v>
      </c>
      <c r="R22" s="4">
        <v>0.623</v>
      </c>
      <c r="S22" s="4">
        <v>1.2941</v>
      </c>
      <c r="T22" s="4">
        <f t="shared" si="4"/>
        <v>0.37209999999999988</v>
      </c>
      <c r="U22" s="10">
        <f t="shared" si="5"/>
        <v>0.59727126805778474</v>
      </c>
      <c r="V22" s="451"/>
      <c r="W22" s="466"/>
    </row>
    <row r="23" spans="1:23" ht="16.2" thickBot="1" x14ac:dyDescent="0.35">
      <c r="A23" s="128" t="s">
        <v>39</v>
      </c>
      <c r="B23" s="34" t="s">
        <v>5</v>
      </c>
      <c r="C23" s="101">
        <v>1.0438000000000001</v>
      </c>
      <c r="D23" s="101">
        <v>0.62439999999999996</v>
      </c>
      <c r="E23" s="101">
        <v>1.3090999999999999</v>
      </c>
      <c r="F23" s="101">
        <f>C23+D23-E23</f>
        <v>0.3591000000000002</v>
      </c>
      <c r="G23" s="15">
        <f t="shared" si="1"/>
        <v>0.57511210762331877</v>
      </c>
      <c r="H23" s="453"/>
      <c r="I23" s="454"/>
      <c r="J23" s="13"/>
      <c r="K23" s="14"/>
      <c r="L23" s="14"/>
      <c r="M23" s="14"/>
      <c r="N23" s="20"/>
      <c r="O23" s="454"/>
      <c r="P23" s="454"/>
      <c r="Q23" s="13"/>
      <c r="R23" s="14"/>
      <c r="S23" s="14"/>
      <c r="T23" s="14"/>
      <c r="U23" s="20"/>
      <c r="V23" s="454"/>
      <c r="W23" s="467"/>
    </row>
    <row r="26" spans="1:23" x14ac:dyDescent="0.3">
      <c r="S26" s="1"/>
    </row>
    <row r="27" spans="1:23" x14ac:dyDescent="0.3">
      <c r="S27" s="1"/>
    </row>
    <row r="28" spans="1:23" x14ac:dyDescent="0.3">
      <c r="S28" s="1"/>
    </row>
    <row r="29" spans="1:23" x14ac:dyDescent="0.3">
      <c r="S29" s="1"/>
    </row>
    <row r="30" spans="1:23" x14ac:dyDescent="0.3">
      <c r="S30" s="1"/>
    </row>
    <row r="31" spans="1:23" x14ac:dyDescent="0.3">
      <c r="S31" s="1"/>
    </row>
  </sheetData>
  <mergeCells count="3">
    <mergeCell ref="C1:G1"/>
    <mergeCell ref="J1:N1"/>
    <mergeCell ref="Q1:U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6799A-18B4-42A4-BC78-7FE0252BB603}">
  <dimension ref="B1:BF131"/>
  <sheetViews>
    <sheetView zoomScale="25" zoomScaleNormal="25" workbookViewId="0">
      <selection activeCell="AF18" sqref="AF18"/>
    </sheetView>
  </sheetViews>
  <sheetFormatPr defaultRowHeight="14.4" x14ac:dyDescent="0.3"/>
  <cols>
    <col min="4" max="4" width="11.6640625" bestFit="1" customWidth="1"/>
    <col min="5" max="5" width="10.33203125" bestFit="1" customWidth="1"/>
    <col min="6" max="6" width="9.33203125" customWidth="1"/>
    <col min="7" max="7" width="9.33203125" style="1" customWidth="1"/>
    <col min="8" max="8" width="10.6640625" customWidth="1"/>
    <col min="9" max="9" width="10.44140625" customWidth="1"/>
    <col min="10" max="10" width="11.5546875" customWidth="1"/>
    <col min="11" max="11" width="10.6640625" customWidth="1"/>
    <col min="12" max="12" width="11.88671875" bestFit="1" customWidth="1"/>
    <col min="13" max="13" width="8.44140625" bestFit="1" customWidth="1"/>
    <col min="14" max="14" width="8.33203125" bestFit="1" customWidth="1"/>
    <col min="15" max="15" width="9.6640625" bestFit="1" customWidth="1"/>
    <col min="20" max="20" width="10.6640625" bestFit="1" customWidth="1"/>
    <col min="21" max="21" width="14.88671875" bestFit="1" customWidth="1"/>
    <col min="22" max="22" width="10" bestFit="1" customWidth="1"/>
    <col min="23" max="23" width="11.33203125" bestFit="1" customWidth="1"/>
    <col min="24" max="26" width="14.88671875" bestFit="1" customWidth="1"/>
    <col min="27" max="27" width="11.5546875" bestFit="1" customWidth="1"/>
    <col min="28" max="34" width="11.5546875" customWidth="1"/>
    <col min="36" max="36" width="10.33203125" bestFit="1" customWidth="1"/>
    <col min="38" max="38" width="14.44140625" customWidth="1"/>
    <col min="42" max="42" width="10.88671875" bestFit="1" customWidth="1"/>
    <col min="43" max="43" width="14.88671875" bestFit="1" customWidth="1"/>
    <col min="45" max="45" width="11" bestFit="1" customWidth="1"/>
    <col min="46" max="46" width="11.6640625" bestFit="1" customWidth="1"/>
    <col min="47" max="47" width="14.88671875" bestFit="1" customWidth="1"/>
    <col min="48" max="48" width="10" bestFit="1" customWidth="1"/>
    <col min="49" max="50" width="14.88671875" bestFit="1" customWidth="1"/>
    <col min="51" max="51" width="30.21875" bestFit="1" customWidth="1"/>
    <col min="52" max="52" width="23.77734375" bestFit="1" customWidth="1"/>
    <col min="53" max="53" width="22.33203125" bestFit="1" customWidth="1"/>
    <col min="54" max="54" width="14.88671875" bestFit="1" customWidth="1"/>
  </cols>
  <sheetData>
    <row r="1" spans="2:53" x14ac:dyDescent="0.3">
      <c r="B1" s="65"/>
      <c r="D1" s="75" t="s">
        <v>27</v>
      </c>
      <c r="E1" s="75" t="s">
        <v>51</v>
      </c>
      <c r="F1" s="75"/>
      <c r="G1" s="75" t="s">
        <v>52</v>
      </c>
      <c r="H1" s="75"/>
      <c r="I1" s="75" t="s">
        <v>53</v>
      </c>
      <c r="J1" s="75"/>
      <c r="K1" s="66"/>
      <c r="L1" s="66"/>
      <c r="M1" s="66"/>
      <c r="N1" s="66"/>
      <c r="O1" s="66"/>
      <c r="P1" s="66"/>
      <c r="Q1" s="66"/>
      <c r="R1" s="66"/>
      <c r="S1" s="66"/>
      <c r="T1" s="66"/>
      <c r="U1" s="66"/>
      <c r="V1" s="66"/>
      <c r="W1" s="66"/>
      <c r="X1" s="66"/>
      <c r="Y1" s="66"/>
      <c r="Z1" s="66"/>
      <c r="AA1" s="66"/>
      <c r="AB1" s="66"/>
      <c r="AC1" s="66"/>
      <c r="AD1" s="118"/>
      <c r="AE1" s="334" t="s">
        <v>57</v>
      </c>
      <c r="AF1" s="334"/>
      <c r="AG1" s="334"/>
      <c r="AH1" s="334"/>
      <c r="AI1" s="339" t="s">
        <v>117</v>
      </c>
      <c r="AJ1" s="340"/>
      <c r="AK1" s="334" t="s">
        <v>77</v>
      </c>
      <c r="AL1" s="334"/>
      <c r="AM1" s="334"/>
      <c r="AN1" s="335"/>
      <c r="AO1" s="68"/>
    </row>
    <row r="2" spans="2:53" x14ac:dyDescent="0.3">
      <c r="B2" s="74" t="s">
        <v>123</v>
      </c>
      <c r="C2" s="1"/>
      <c r="D2" s="1"/>
      <c r="E2" s="1"/>
      <c r="F2" s="1"/>
      <c r="H2" s="1"/>
      <c r="I2" s="1"/>
      <c r="J2" s="1"/>
      <c r="K2" s="1"/>
      <c r="L2" s="1"/>
      <c r="M2" s="1"/>
      <c r="N2" s="1"/>
      <c r="O2" s="1"/>
      <c r="P2" s="1"/>
      <c r="Q2" s="1"/>
      <c r="R2" s="1"/>
      <c r="S2" s="1"/>
      <c r="T2" s="61" t="s">
        <v>111</v>
      </c>
      <c r="U2" s="61" t="s">
        <v>112</v>
      </c>
      <c r="V2" s="61" t="s">
        <v>71</v>
      </c>
      <c r="W2" s="61" t="s">
        <v>72</v>
      </c>
      <c r="X2" s="1"/>
      <c r="Y2" s="113"/>
      <c r="Z2" s="113" t="s">
        <v>68</v>
      </c>
      <c r="AA2" s="113" t="s">
        <v>67</v>
      </c>
      <c r="AB2" s="113" t="s">
        <v>73</v>
      </c>
      <c r="AC2" s="29"/>
      <c r="AD2" s="121"/>
      <c r="AE2" s="113" t="s">
        <v>0</v>
      </c>
      <c r="AF2" s="113" t="s">
        <v>52</v>
      </c>
      <c r="AG2" s="113" t="s">
        <v>20</v>
      </c>
      <c r="AH2" s="113" t="s">
        <v>12</v>
      </c>
      <c r="AI2" s="113" t="s">
        <v>15</v>
      </c>
      <c r="AJ2" s="113" t="s">
        <v>76</v>
      </c>
      <c r="AK2" s="113" t="s">
        <v>0</v>
      </c>
      <c r="AL2" s="113" t="s">
        <v>52</v>
      </c>
      <c r="AM2" s="113" t="s">
        <v>20</v>
      </c>
      <c r="AN2" s="131" t="s">
        <v>12</v>
      </c>
      <c r="AO2" s="70"/>
    </row>
    <row r="3" spans="2:53" ht="18" x14ac:dyDescent="0.35">
      <c r="B3" s="69"/>
      <c r="C3" s="113"/>
      <c r="D3" s="313" t="s">
        <v>57</v>
      </c>
      <c r="E3" s="314"/>
      <c r="F3" s="314"/>
      <c r="G3" s="314"/>
      <c r="H3" s="58"/>
      <c r="I3" s="113"/>
      <c r="J3" s="136" t="s">
        <v>11</v>
      </c>
      <c r="K3" s="136"/>
      <c r="L3" s="113"/>
      <c r="M3" s="1"/>
      <c r="N3" s="1"/>
      <c r="O3" s="1"/>
      <c r="P3" s="1"/>
      <c r="Q3" s="1"/>
      <c r="R3" s="1"/>
      <c r="S3" s="1"/>
      <c r="T3" s="61">
        <v>0.13750000000000001</v>
      </c>
      <c r="U3" s="61">
        <v>0.16</v>
      </c>
      <c r="V3" s="62">
        <f>F13</f>
        <v>1.3435999999999997</v>
      </c>
      <c r="W3" s="62">
        <f>F21</f>
        <v>1.3408666666666667</v>
      </c>
      <c r="X3" s="1"/>
      <c r="Y3" s="113" t="s">
        <v>6</v>
      </c>
      <c r="Z3" s="49">
        <f>J5</f>
        <v>0.14845605700712591</v>
      </c>
      <c r="AA3" s="49">
        <f>K5</f>
        <v>0.10411718131433097</v>
      </c>
      <c r="AB3" s="49">
        <f>L5</f>
        <v>0.74742676167854305</v>
      </c>
      <c r="AC3" s="64"/>
      <c r="AD3" s="121" t="s">
        <v>6</v>
      </c>
      <c r="AE3" s="48">
        <f>Z3*$AH3</f>
        <v>4.5</v>
      </c>
      <c r="AF3" s="48">
        <f>AA3*$AH3</f>
        <v>3.1560000000000001</v>
      </c>
      <c r="AG3" s="48">
        <f>AB3*$AH3</f>
        <v>22.655999999999995</v>
      </c>
      <c r="AH3" s="48">
        <f>AA12</f>
        <v>30.311999999999998</v>
      </c>
      <c r="AI3" s="48" t="s">
        <v>109</v>
      </c>
      <c r="AJ3" s="48" t="s">
        <v>109</v>
      </c>
      <c r="AK3" s="49">
        <f t="shared" ref="AK3:AN6" si="0">AE3/$AH3</f>
        <v>0.14845605700712591</v>
      </c>
      <c r="AL3" s="49">
        <f t="shared" si="0"/>
        <v>0.10411718131433097</v>
      </c>
      <c r="AM3" s="49">
        <f t="shared" si="0"/>
        <v>0.74742676167854305</v>
      </c>
      <c r="AN3" s="163">
        <f t="shared" si="0"/>
        <v>1</v>
      </c>
      <c r="AO3" s="70"/>
      <c r="AS3" s="96" t="s">
        <v>129</v>
      </c>
    </row>
    <row r="4" spans="2:53" x14ac:dyDescent="0.3">
      <c r="B4" s="69"/>
      <c r="C4" s="113" t="s">
        <v>6</v>
      </c>
      <c r="D4" s="1" t="s">
        <v>0</v>
      </c>
      <c r="E4" s="2" t="s">
        <v>52</v>
      </c>
      <c r="F4" s="54" t="s">
        <v>20</v>
      </c>
      <c r="G4" s="55" t="s">
        <v>12</v>
      </c>
      <c r="H4" s="29"/>
      <c r="I4" s="113" t="s">
        <v>6</v>
      </c>
      <c r="J4" s="2" t="s">
        <v>10</v>
      </c>
      <c r="K4" s="2" t="s">
        <v>58</v>
      </c>
      <c r="L4" s="5" t="s">
        <v>59</v>
      </c>
      <c r="M4" s="1"/>
      <c r="N4" s="1"/>
      <c r="O4" s="1"/>
      <c r="P4" s="1"/>
      <c r="Q4" s="1"/>
      <c r="R4" s="1"/>
      <c r="S4" s="1"/>
      <c r="T4" s="1"/>
      <c r="U4" s="1"/>
      <c r="V4" s="1"/>
      <c r="W4" s="1"/>
      <c r="X4" s="1"/>
      <c r="Y4" s="113" t="s">
        <v>4</v>
      </c>
      <c r="Z4" s="49">
        <v>5.215964955264811E-2</v>
      </c>
      <c r="AA4" s="49">
        <v>2.1411017983562538E-2</v>
      </c>
      <c r="AB4" s="49">
        <f>1-AA4-Z4</f>
        <v>0.92642933246378945</v>
      </c>
      <c r="AC4" s="29"/>
      <c r="AD4" s="121" t="s">
        <v>4</v>
      </c>
      <c r="AE4" s="48">
        <f>Z4*$AH4*E13/D13</f>
        <v>4.0596029112324521</v>
      </c>
      <c r="AF4" s="48">
        <f>AA4*$AH4*E13/D13</f>
        <v>1.6664266666666665</v>
      </c>
      <c r="AG4" s="48">
        <f>AH4-AE4-AF4</f>
        <v>15.104303755434209</v>
      </c>
      <c r="AH4" s="48">
        <f>U19</f>
        <v>20.830333333333328</v>
      </c>
      <c r="AI4" s="48">
        <f>Z4*$T$3+AA4*$U$3+1.333</f>
        <v>1.3435977146908591</v>
      </c>
      <c r="AJ4" s="48">
        <f>(V3-AI4)^2/V3</f>
        <v>3.8870481304531698E-12</v>
      </c>
      <c r="AK4" s="49">
        <f t="shared" si="0"/>
        <v>0.19488900375569856</v>
      </c>
      <c r="AL4" s="49">
        <f t="shared" si="0"/>
        <v>8.0000000000000016E-2</v>
      </c>
      <c r="AM4" s="49">
        <f t="shared" si="0"/>
        <v>0.72511099624430142</v>
      </c>
      <c r="AN4" s="163">
        <f t="shared" si="0"/>
        <v>1</v>
      </c>
      <c r="AO4" s="70"/>
      <c r="AP4" s="23"/>
      <c r="AQ4" s="23"/>
    </row>
    <row r="5" spans="2:53" x14ac:dyDescent="0.3">
      <c r="B5" s="69"/>
      <c r="C5" s="113" t="s">
        <v>7</v>
      </c>
      <c r="D5" s="4">
        <v>4.5</v>
      </c>
      <c r="E5" s="4">
        <f>3+0.13*1.2</f>
        <v>3.1560000000000001</v>
      </c>
      <c r="F5" s="56">
        <f>22.5+0.13*1.2</f>
        <v>22.655999999999999</v>
      </c>
      <c r="G5" s="56">
        <f>SUM(D5:F5)</f>
        <v>30.311999999999998</v>
      </c>
      <c r="H5" s="8"/>
      <c r="I5" s="137" t="s">
        <v>7</v>
      </c>
      <c r="J5" s="139">
        <f>D5/G5</f>
        <v>0.14845605700712591</v>
      </c>
      <c r="K5" s="139">
        <f>E5/G5</f>
        <v>0.10411718131433097</v>
      </c>
      <c r="L5" s="139">
        <f>1-K5-J5</f>
        <v>0.74742676167854305</v>
      </c>
      <c r="M5" s="8"/>
      <c r="N5" s="8"/>
      <c r="O5" s="8"/>
      <c r="P5" s="8"/>
      <c r="Q5" s="8"/>
      <c r="R5" s="8"/>
      <c r="S5" s="8"/>
      <c r="T5" s="8"/>
      <c r="U5" s="8"/>
      <c r="V5" s="8"/>
      <c r="W5" s="8"/>
      <c r="X5" s="8"/>
      <c r="Y5" s="137" t="s">
        <v>5</v>
      </c>
      <c r="Z5" s="49">
        <v>1.0801972488969636E-2</v>
      </c>
      <c r="AA5" s="49">
        <v>4.3077238143447515E-2</v>
      </c>
      <c r="AB5" s="49">
        <f>1-AA5-Z5</f>
        <v>0.94612078936758282</v>
      </c>
      <c r="AC5" s="64"/>
      <c r="AD5" s="140" t="s">
        <v>5</v>
      </c>
      <c r="AE5" s="48">
        <f>Z5*$AH5*E21/D21</f>
        <v>0.35515733333333344</v>
      </c>
      <c r="AF5" s="48">
        <f>AA5*$AH5*E21/D21</f>
        <v>1.4163336411025347</v>
      </c>
      <c r="AG5" s="48">
        <f>AH5-AE5-AF5</f>
        <v>7.1074423588974671</v>
      </c>
      <c r="AH5" s="48">
        <f>U21</f>
        <v>8.8789333333333342</v>
      </c>
      <c r="AI5" s="48">
        <f>Z5*$T$3+AA5*$U$3+1.333</f>
        <v>1.3413776293201849</v>
      </c>
      <c r="AJ5" s="48">
        <f>(W3-AI5)^2/W3</f>
        <v>1.9471200215562392E-7</v>
      </c>
      <c r="AK5" s="49">
        <f>AE5/$AH5</f>
        <v>4.0000000000000008E-2</v>
      </c>
      <c r="AL5" s="49">
        <f t="shared" si="0"/>
        <v>0.15951619275992626</v>
      </c>
      <c r="AM5" s="49">
        <f t="shared" si="0"/>
        <v>0.80048380724007384</v>
      </c>
      <c r="AN5" s="163">
        <f t="shared" si="0"/>
        <v>1</v>
      </c>
      <c r="AO5" s="141"/>
      <c r="AP5" s="3"/>
      <c r="AS5" s="113" t="s">
        <v>27</v>
      </c>
      <c r="AT5" s="113" t="s">
        <v>95</v>
      </c>
      <c r="AU5" s="113" t="s">
        <v>104</v>
      </c>
      <c r="AV5" s="113" t="s">
        <v>105</v>
      </c>
      <c r="AW5" s="113" t="s">
        <v>104</v>
      </c>
      <c r="AX5" s="113" t="s">
        <v>87</v>
      </c>
      <c r="AY5" s="113" t="s">
        <v>108</v>
      </c>
      <c r="AZ5" s="113" t="s">
        <v>106</v>
      </c>
      <c r="BA5" s="113" t="s">
        <v>107</v>
      </c>
    </row>
    <row r="6" spans="2:53" x14ac:dyDescent="0.3">
      <c r="B6" s="69"/>
      <c r="C6" s="1"/>
      <c r="D6" s="8"/>
      <c r="E6" s="8"/>
      <c r="F6" s="8"/>
      <c r="G6" s="8"/>
      <c r="H6" s="8"/>
      <c r="I6" s="8"/>
      <c r="J6" s="8"/>
      <c r="K6" s="8"/>
      <c r="L6" s="8"/>
      <c r="M6" s="8"/>
      <c r="N6" s="142"/>
      <c r="O6" s="142"/>
      <c r="P6" s="142"/>
      <c r="Q6" s="8"/>
      <c r="R6" s="8"/>
      <c r="S6" s="8"/>
      <c r="T6" s="8"/>
      <c r="U6" s="8"/>
      <c r="V6" s="8"/>
      <c r="W6" s="8"/>
      <c r="X6" s="8"/>
      <c r="Y6" s="8"/>
      <c r="Z6" s="8"/>
      <c r="AA6" s="8"/>
      <c r="AB6" s="8"/>
      <c r="AC6" s="8"/>
      <c r="AD6" s="140" t="s">
        <v>75</v>
      </c>
      <c r="AE6" s="48">
        <f>SUM(AE4:AE5)</f>
        <v>4.4147602445657856</v>
      </c>
      <c r="AF6" s="48">
        <f>SUM(AF4:AF5)</f>
        <v>3.0827603077692012</v>
      </c>
      <c r="AG6" s="48">
        <f>SUM(AG4:AG5)</f>
        <v>22.211746114331675</v>
      </c>
      <c r="AH6" s="48">
        <f>SUM(AH4:AH5)</f>
        <v>29.709266666666664</v>
      </c>
      <c r="AI6" s="48"/>
      <c r="AJ6" s="48"/>
      <c r="AK6" s="49">
        <f t="shared" si="0"/>
        <v>0.14859876193171331</v>
      </c>
      <c r="AL6" s="49">
        <f t="shared" si="0"/>
        <v>0.10376426797595817</v>
      </c>
      <c r="AM6" s="49">
        <f t="shared" si="0"/>
        <v>0.74763697009232843</v>
      </c>
      <c r="AN6" s="163">
        <f t="shared" si="0"/>
        <v>1</v>
      </c>
      <c r="AO6" s="141"/>
      <c r="AP6" s="3"/>
      <c r="AS6" s="133" t="s">
        <v>78</v>
      </c>
      <c r="AT6" s="160">
        <f>AL3</f>
        <v>0.10411718131433097</v>
      </c>
      <c r="AU6" s="160">
        <f>$AH$8*AT6</f>
        <v>2.1433328582952352E-3</v>
      </c>
      <c r="AV6" s="160">
        <f>AK3</f>
        <v>0.14845605700712591</v>
      </c>
      <c r="AW6" s="160">
        <f>$AH$8*AV6</f>
        <v>3.0560829728544232E-3</v>
      </c>
      <c r="AX6" s="329">
        <f>(AV7-AV8)/(AT7-AT8)</f>
        <v>-1.9478926037535078</v>
      </c>
      <c r="AY6" s="138" t="s">
        <v>109</v>
      </c>
      <c r="AZ6" s="330">
        <f>AY8/AY7</f>
        <v>2.3275923878172882</v>
      </c>
      <c r="BA6" s="330">
        <f>T19/T21</f>
        <v>2.375</v>
      </c>
    </row>
    <row r="7" spans="2:53" x14ac:dyDescent="0.3">
      <c r="B7" s="69"/>
      <c r="C7" s="1" t="s">
        <v>16</v>
      </c>
      <c r="D7" s="8"/>
      <c r="E7" s="8"/>
      <c r="F7" s="8"/>
      <c r="G7" s="8"/>
      <c r="H7" s="8"/>
      <c r="I7" s="8"/>
      <c r="J7" s="8"/>
      <c r="K7" s="8"/>
      <c r="L7" s="8" t="s">
        <v>128</v>
      </c>
      <c r="M7" s="8"/>
      <c r="N7" s="8"/>
      <c r="O7" s="8"/>
      <c r="P7" s="8"/>
      <c r="Q7" s="8"/>
      <c r="R7" s="8"/>
      <c r="S7" s="8"/>
      <c r="T7" s="8"/>
      <c r="U7" s="8"/>
      <c r="V7" s="8"/>
      <c r="W7" s="8"/>
      <c r="X7" s="8"/>
      <c r="Y7" s="8"/>
      <c r="Z7" s="8"/>
      <c r="AA7" s="8"/>
      <c r="AB7" s="8"/>
      <c r="AC7" s="8"/>
      <c r="AD7" s="140" t="s">
        <v>76</v>
      </c>
      <c r="AE7" s="48">
        <f>(AE6-AE3)^2/AE3</f>
        <v>1.6146257569965947E-3</v>
      </c>
      <c r="AF7" s="48">
        <f>(AF6-AF3)^2/AF3</f>
        <v>1.6996364125672222E-3</v>
      </c>
      <c r="AG7" s="48">
        <f>(AG6-AG3)^2/AG3</f>
        <v>8.7112250587659517E-3</v>
      </c>
      <c r="AH7" s="48"/>
      <c r="AI7" s="143" t="s">
        <v>74</v>
      </c>
      <c r="AJ7" s="143">
        <f>AJ4+AJ5+AE7+AF7+AG7</f>
        <v>1.2025681944218972E-2</v>
      </c>
      <c r="AK7" s="49"/>
      <c r="AL7" s="49" t="s">
        <v>118</v>
      </c>
      <c r="AM7" s="49">
        <f>ABS(U13-AM4)/U13</f>
        <v>1.3883268271781921E-2</v>
      </c>
      <c r="AN7" s="163"/>
      <c r="AO7" s="141"/>
      <c r="AP7" s="3"/>
      <c r="AS7" s="133" t="s">
        <v>79</v>
      </c>
      <c r="AT7" s="160">
        <f>AL4</f>
        <v>8.0000000000000016E-2</v>
      </c>
      <c r="AU7" s="160">
        <f t="shared" ref="AU7:AW8" si="1">$AH$8*AT7</f>
        <v>1.6468619924117917E-3</v>
      </c>
      <c r="AV7" s="160">
        <f>AK4</f>
        <v>0.19488900375569856</v>
      </c>
      <c r="AW7" s="160">
        <f t="shared" si="1"/>
        <v>4.0119411628032351E-3</v>
      </c>
      <c r="AX7" s="329"/>
      <c r="AY7" s="138">
        <f>SQRT((AT6-AT7)^2+(AV6-AV7)^2)</f>
        <v>5.2322623962336764E-2</v>
      </c>
      <c r="AZ7" s="330"/>
      <c r="BA7" s="330"/>
    </row>
    <row r="8" spans="2:53" ht="15" thickBot="1" x14ac:dyDescent="0.35">
      <c r="B8" s="69"/>
      <c r="C8" s="1">
        <v>1.5</v>
      </c>
      <c r="D8" s="8"/>
      <c r="E8" s="8"/>
      <c r="F8" s="8"/>
      <c r="G8" s="8"/>
      <c r="H8" s="347" t="s">
        <v>130</v>
      </c>
      <c r="I8" s="347"/>
      <c r="J8" s="347"/>
      <c r="K8" s="8"/>
      <c r="L8" s="8"/>
      <c r="M8" s="8"/>
      <c r="N8" s="8"/>
      <c r="O8" s="8"/>
      <c r="P8" s="8"/>
      <c r="Q8" s="8"/>
      <c r="R8" s="8"/>
      <c r="S8" s="8"/>
      <c r="T8" s="8"/>
      <c r="U8" s="8"/>
      <c r="V8" s="8"/>
      <c r="W8" s="8"/>
      <c r="X8" s="8"/>
      <c r="Y8" s="8"/>
      <c r="Z8" s="8"/>
      <c r="AA8" s="8"/>
      <c r="AB8" s="8"/>
      <c r="AC8" s="8"/>
      <c r="AD8" s="144" t="s">
        <v>110</v>
      </c>
      <c r="AE8" s="161">
        <f>ABS((AE3-AE6)/AE3)</f>
        <v>1.8942167874269857E-2</v>
      </c>
      <c r="AF8" s="161">
        <f>ABS((AF3-AF6)/AF3)</f>
        <v>2.3206493102281039E-2</v>
      </c>
      <c r="AG8" s="161">
        <f>ABS((AG3-AG6)/AG3)</f>
        <v>1.9608663738891276E-2</v>
      </c>
      <c r="AH8" s="161">
        <f>AVERAGE(AE8:AG8)</f>
        <v>2.0585774905147392E-2</v>
      </c>
      <c r="AI8" s="161"/>
      <c r="AJ8" s="161"/>
      <c r="AK8" s="161"/>
      <c r="AL8" s="161" t="s">
        <v>119</v>
      </c>
      <c r="AM8" s="161">
        <f>ABS(U15-AM5)/U15</f>
        <v>2.8625465408828224E-2</v>
      </c>
      <c r="AN8" s="162"/>
      <c r="AO8" s="141"/>
      <c r="AP8" s="3"/>
      <c r="AS8" s="133" t="s">
        <v>8</v>
      </c>
      <c r="AT8" s="160">
        <f>AL5</f>
        <v>0.15951619275992626</v>
      </c>
      <c r="AU8" s="160">
        <f t="shared" si="1"/>
        <v>3.283764437881944E-3</v>
      </c>
      <c r="AV8" s="160">
        <f>AK5</f>
        <v>4.0000000000000008E-2</v>
      </c>
      <c r="AW8" s="160">
        <f t="shared" si="1"/>
        <v>8.2343099620589587E-4</v>
      </c>
      <c r="AX8" s="329"/>
      <c r="AY8" s="138">
        <f>SQRT((AT6-AT8)^2+(AV6-AV8)^2)</f>
        <v>0.12178574124536148</v>
      </c>
      <c r="AZ8" s="330"/>
      <c r="BA8" s="330"/>
    </row>
    <row r="9" spans="2:53" x14ac:dyDescent="0.3">
      <c r="B9" s="69"/>
      <c r="C9" s="113" t="s">
        <v>4</v>
      </c>
      <c r="D9" s="137" t="s">
        <v>14</v>
      </c>
      <c r="E9" s="137" t="s">
        <v>17</v>
      </c>
      <c r="F9" s="137" t="s">
        <v>15</v>
      </c>
      <c r="G9" s="8"/>
      <c r="H9" s="137" t="s">
        <v>48</v>
      </c>
      <c r="I9" s="137" t="s">
        <v>49</v>
      </c>
      <c r="J9" s="137" t="s">
        <v>50</v>
      </c>
      <c r="K9" s="137" t="s">
        <v>12</v>
      </c>
      <c r="L9" s="137" t="s">
        <v>48</v>
      </c>
      <c r="M9" s="137" t="s">
        <v>49</v>
      </c>
      <c r="N9" s="137" t="s">
        <v>50</v>
      </c>
      <c r="O9" s="137" t="s">
        <v>12</v>
      </c>
      <c r="P9" s="8"/>
      <c r="Q9" s="8"/>
      <c r="R9" s="8"/>
      <c r="S9" s="8"/>
      <c r="T9" s="8"/>
      <c r="U9" s="8"/>
      <c r="V9" s="8"/>
      <c r="W9" s="8"/>
      <c r="X9" s="8"/>
      <c r="Y9" s="8"/>
      <c r="Z9" s="8"/>
      <c r="AA9" s="8"/>
      <c r="AB9" s="8"/>
      <c r="AC9" s="8"/>
      <c r="AD9" s="8"/>
      <c r="AE9" s="8"/>
      <c r="AF9" s="8"/>
      <c r="AG9" s="8"/>
      <c r="AH9" s="8"/>
      <c r="AI9" s="8"/>
      <c r="AJ9" s="8"/>
      <c r="AK9" s="11"/>
      <c r="AL9" s="11"/>
      <c r="AM9" s="11"/>
      <c r="AN9" s="11"/>
      <c r="AO9" s="141"/>
      <c r="AP9" s="3"/>
      <c r="AS9" s="133" t="s">
        <v>78</v>
      </c>
      <c r="AT9" s="160">
        <f>AL27</f>
        <v>0.12412702595862432</v>
      </c>
      <c r="AU9" s="160">
        <f>$AH$32*AT9</f>
        <v>3.9295120238005774E-3</v>
      </c>
      <c r="AV9" s="160">
        <f>AK27</f>
        <v>0.16800632494399786</v>
      </c>
      <c r="AW9" s="160">
        <f>$AH$32*AV9</f>
        <v>5.3186070385835829E-3</v>
      </c>
      <c r="AX9" s="329">
        <f>(AV10-AV11)/(AT10-AT11)</f>
        <v>-1.9104957046989268</v>
      </c>
      <c r="AY9" s="138" t="s">
        <v>109</v>
      </c>
      <c r="AZ9" s="330">
        <f>AY11/AY10</f>
        <v>1.1482168175098899</v>
      </c>
      <c r="BA9" s="330">
        <f>T43/T45</f>
        <v>1.3043478260869565</v>
      </c>
    </row>
    <row r="10" spans="2:53" x14ac:dyDescent="0.3">
      <c r="B10" s="69"/>
      <c r="C10" s="113" t="s">
        <v>7</v>
      </c>
      <c r="D10" s="4">
        <v>0.55069999999999997</v>
      </c>
      <c r="E10" s="4">
        <f>D10+1.5</f>
        <v>2.0507</v>
      </c>
      <c r="F10" s="4">
        <v>1.3435999999999999</v>
      </c>
      <c r="G10" s="8"/>
      <c r="H10" s="4">
        <f>(L10*D13+1.5)/E13</f>
        <v>0.92377194072753455</v>
      </c>
      <c r="I10" s="4">
        <v>5.78180743583264E-2</v>
      </c>
      <c r="J10" s="4">
        <f>1-H10-I10</f>
        <v>1.8409984914139053E-2</v>
      </c>
      <c r="K10" s="4">
        <f>SUM(H10:J10)</f>
        <v>1</v>
      </c>
      <c r="L10" s="4">
        <v>0.71518193359704196</v>
      </c>
      <c r="M10" s="4">
        <f>I10*(E13/D13)</f>
        <v>0.2160311084796209</v>
      </c>
      <c r="N10" s="4">
        <f>J10*(E13/D13)</f>
        <v>6.8786957923336833E-2</v>
      </c>
      <c r="O10" s="4">
        <f>SUM(L10:N10)</f>
        <v>0.99999999999999978</v>
      </c>
      <c r="P10" s="8"/>
      <c r="Q10" s="137"/>
      <c r="R10" s="137"/>
      <c r="S10" s="137" t="s">
        <v>58</v>
      </c>
      <c r="T10" s="137" t="s">
        <v>10</v>
      </c>
      <c r="U10" s="137" t="s">
        <v>59</v>
      </c>
      <c r="V10" s="8"/>
      <c r="W10" s="343" t="s">
        <v>57</v>
      </c>
      <c r="X10" s="344"/>
      <c r="Y10" s="344"/>
      <c r="Z10" s="344"/>
      <c r="AA10" s="345"/>
      <c r="AB10" s="145"/>
      <c r="AC10" s="145"/>
      <c r="AD10" s="145"/>
      <c r="AE10" s="145"/>
      <c r="AF10" s="8"/>
      <c r="AG10" s="8"/>
      <c r="AH10" s="145"/>
      <c r="AI10" s="8"/>
      <c r="AJ10" s="8"/>
      <c r="AK10" s="11"/>
      <c r="AL10" s="11"/>
      <c r="AM10" s="11"/>
      <c r="AN10" s="11"/>
      <c r="AO10" s="141"/>
      <c r="AP10" s="3"/>
      <c r="AS10" s="133" t="s">
        <v>79</v>
      </c>
      <c r="AT10" s="160">
        <f>AL28</f>
        <v>5.2999999999999992E-2</v>
      </c>
      <c r="AU10" s="160">
        <f t="shared" ref="AU10:AW11" si="2">$AH$32*AT10</f>
        <v>1.6778307194023317E-3</v>
      </c>
      <c r="AV10" s="160">
        <f>AK28</f>
        <v>0.30677393941980041</v>
      </c>
      <c r="AW10" s="160">
        <f t="shared" si="2"/>
        <v>9.7115988579360591E-3</v>
      </c>
      <c r="AX10" s="329"/>
      <c r="AY10" s="138">
        <f>SQRT((AT9-AT10)^2+(AV9-AV10)^2)</f>
        <v>0.15593429593589661</v>
      </c>
      <c r="AZ10" s="330"/>
      <c r="BA10" s="330"/>
    </row>
    <row r="11" spans="2:53" x14ac:dyDescent="0.3">
      <c r="B11" s="69"/>
      <c r="C11" s="113" t="s">
        <v>8</v>
      </c>
      <c r="D11" s="4">
        <v>0.54979999999999996</v>
      </c>
      <c r="E11" s="4">
        <f>D11+1.5</f>
        <v>2.0497999999999998</v>
      </c>
      <c r="F11" s="4">
        <v>1.3435999999999999</v>
      </c>
      <c r="G11" s="8"/>
      <c r="H11" s="137" t="s">
        <v>54</v>
      </c>
      <c r="I11" s="137" t="s">
        <v>55</v>
      </c>
      <c r="J11" s="137" t="s">
        <v>56</v>
      </c>
      <c r="K11" s="137" t="s">
        <v>12</v>
      </c>
      <c r="L11" s="4"/>
      <c r="M11" s="4"/>
      <c r="N11" s="4"/>
      <c r="O11" s="4"/>
      <c r="P11" s="8"/>
      <c r="Q11" s="346" t="s">
        <v>6</v>
      </c>
      <c r="R11" s="137" t="s">
        <v>13</v>
      </c>
      <c r="S11" s="139">
        <f>K5</f>
        <v>0.10411718131433097</v>
      </c>
      <c r="T11" s="139">
        <f>J5</f>
        <v>0.14845605700712591</v>
      </c>
      <c r="U11" s="139">
        <f>L5</f>
        <v>0.74742676167854305</v>
      </c>
      <c r="V11" s="8"/>
      <c r="W11" s="137"/>
      <c r="X11" s="137" t="s">
        <v>0</v>
      </c>
      <c r="Y11" s="137" t="s">
        <v>52</v>
      </c>
      <c r="Z11" s="137" t="s">
        <v>20</v>
      </c>
      <c r="AA11" s="137" t="s">
        <v>12</v>
      </c>
      <c r="AB11" s="8"/>
      <c r="AC11" s="8"/>
      <c r="AD11" s="8"/>
      <c r="AE11" s="8"/>
      <c r="AF11" s="8"/>
      <c r="AG11" s="8"/>
      <c r="AH11" s="8"/>
      <c r="AI11" s="8"/>
      <c r="AJ11" s="8"/>
      <c r="AK11" s="11"/>
      <c r="AL11" s="11"/>
      <c r="AM11" s="11"/>
      <c r="AN11" s="11"/>
      <c r="AO11" s="141"/>
      <c r="AP11" s="3"/>
      <c r="AS11" s="133" t="s">
        <v>8</v>
      </c>
      <c r="AT11" s="160">
        <f>AL29</f>
        <v>0.20833871062357018</v>
      </c>
      <c r="AU11" s="160">
        <f t="shared" si="2"/>
        <v>6.595416768394321E-3</v>
      </c>
      <c r="AV11" s="160">
        <f>AK29</f>
        <v>9.9999999999999985E-3</v>
      </c>
      <c r="AW11" s="160">
        <f t="shared" si="2"/>
        <v>3.1657183384949659E-4</v>
      </c>
      <c r="AX11" s="329"/>
      <c r="AY11" s="138">
        <f>SQRT((AT9-AT11)^2+(AV9-AV11)^2)</f>
        <v>0.17904638102016057</v>
      </c>
      <c r="AZ11" s="330"/>
      <c r="BA11" s="330"/>
    </row>
    <row r="12" spans="2:53" x14ac:dyDescent="0.3">
      <c r="B12" s="69"/>
      <c r="C12" s="113" t="s">
        <v>9</v>
      </c>
      <c r="D12" s="4">
        <v>0.54400000000000004</v>
      </c>
      <c r="E12" s="4">
        <f>D12+1.5</f>
        <v>2.044</v>
      </c>
      <c r="F12" s="4">
        <v>1.3435999999999999</v>
      </c>
      <c r="G12" s="8"/>
      <c r="H12" s="4">
        <f>1.333</f>
        <v>1.333</v>
      </c>
      <c r="I12" s="4">
        <f>I10*0.1375</f>
        <v>7.9499852242698801E-3</v>
      </c>
      <c r="J12" s="4">
        <f>J10*0.16</f>
        <v>2.9455975862622487E-3</v>
      </c>
      <c r="K12" s="4">
        <f>SUM(H12:J12)</f>
        <v>1.3438955828105321</v>
      </c>
      <c r="L12" s="4"/>
      <c r="M12" s="4"/>
      <c r="N12" s="4"/>
      <c r="O12" s="4"/>
      <c r="P12" s="8"/>
      <c r="Q12" s="346"/>
      <c r="R12" s="137" t="s">
        <v>3</v>
      </c>
      <c r="S12" s="139"/>
      <c r="T12" s="139"/>
      <c r="U12" s="139"/>
      <c r="V12" s="8"/>
      <c r="W12" s="137" t="s">
        <v>6</v>
      </c>
      <c r="X12" s="48">
        <f>D5</f>
        <v>4.5</v>
      </c>
      <c r="Y12" s="48">
        <f>E5</f>
        <v>3.1560000000000001</v>
      </c>
      <c r="Z12" s="48">
        <f>F5</f>
        <v>22.655999999999999</v>
      </c>
      <c r="AA12" s="48">
        <f>SUM(X12:Z12)</f>
        <v>30.311999999999998</v>
      </c>
      <c r="AB12" s="8"/>
      <c r="AC12" s="8"/>
      <c r="AD12" s="8"/>
      <c r="AE12" s="8"/>
      <c r="AF12" s="8"/>
      <c r="AG12" s="8"/>
      <c r="AH12" s="8"/>
      <c r="AI12" s="8"/>
      <c r="AJ12" s="8"/>
      <c r="AK12" s="11"/>
      <c r="AL12" s="11"/>
      <c r="AM12" s="11"/>
      <c r="AN12" s="11"/>
      <c r="AO12" s="141"/>
      <c r="AP12" s="3"/>
      <c r="AS12" s="133" t="s">
        <v>78</v>
      </c>
      <c r="AT12" s="160">
        <f>AL51</f>
        <v>0.14421938708404577</v>
      </c>
      <c r="AU12" s="160">
        <f>$AH$56*AT12</f>
        <v>1.0704183085749924E-3</v>
      </c>
      <c r="AV12" s="160">
        <f>AK51</f>
        <v>0.18742601604629752</v>
      </c>
      <c r="AW12" s="160">
        <f>$AH$56*AV12</f>
        <v>1.3911045049880204E-3</v>
      </c>
      <c r="AX12" s="329">
        <f>(AV13-AV14)/(AT13-AT14)</f>
        <v>-1.6505948234243804</v>
      </c>
      <c r="AY12" s="138" t="s">
        <v>109</v>
      </c>
      <c r="AZ12" s="331">
        <f>AY14/AY13</f>
        <v>1.0803675923615412</v>
      </c>
      <c r="BA12" s="330">
        <f>T67/T69</f>
        <v>1.1599999999999999</v>
      </c>
    </row>
    <row r="13" spans="2:53" x14ac:dyDescent="0.3">
      <c r="B13" s="69"/>
      <c r="C13" s="113" t="s">
        <v>13</v>
      </c>
      <c r="D13" s="4">
        <f>AVERAGE(D10:D12)</f>
        <v>0.54816666666666658</v>
      </c>
      <c r="E13" s="4">
        <f>D13+1.5</f>
        <v>2.0481666666666665</v>
      </c>
      <c r="F13" s="4">
        <f>AVERAGE(F10:F12)</f>
        <v>1.3435999999999997</v>
      </c>
      <c r="G13" s="8"/>
      <c r="H13" s="8"/>
      <c r="I13" s="8"/>
      <c r="J13" s="8"/>
      <c r="K13" s="8"/>
      <c r="L13" s="8"/>
      <c r="M13" s="8"/>
      <c r="N13" s="8"/>
      <c r="O13" s="8"/>
      <c r="P13" s="8"/>
      <c r="Q13" s="346" t="s">
        <v>4</v>
      </c>
      <c r="R13" s="137" t="s">
        <v>13</v>
      </c>
      <c r="S13" s="139">
        <f>N10</f>
        <v>6.8786957923336833E-2</v>
      </c>
      <c r="T13" s="139">
        <f>M10</f>
        <v>0.2160311084796209</v>
      </c>
      <c r="U13" s="146">
        <f>L10</f>
        <v>0.71518193359704196</v>
      </c>
      <c r="V13" s="8"/>
      <c r="W13" s="137" t="s">
        <v>4</v>
      </c>
      <c r="X13" s="48">
        <f>T13*$U$19</f>
        <v>4.4999999999999956</v>
      </c>
      <c r="Y13" s="48">
        <f>S13*U19</f>
        <v>1.4328552625290802</v>
      </c>
      <c r="Z13" s="48">
        <f>U19*U13</f>
        <v>14.897478070804246</v>
      </c>
      <c r="AA13" s="48">
        <f>SUM(X13:Z13)</f>
        <v>20.830333333333321</v>
      </c>
      <c r="AB13" s="8"/>
      <c r="AC13" s="8"/>
      <c r="AD13" s="8"/>
      <c r="AE13" s="8"/>
      <c r="AF13" s="8"/>
      <c r="AG13" s="8"/>
      <c r="AH13" s="8"/>
      <c r="AI13" s="8"/>
      <c r="AJ13" s="8"/>
      <c r="AK13" s="11"/>
      <c r="AL13" s="11"/>
      <c r="AM13" s="11"/>
      <c r="AN13" s="11"/>
      <c r="AO13" s="141"/>
      <c r="AP13" s="3"/>
      <c r="AS13" s="133" t="s">
        <v>79</v>
      </c>
      <c r="AT13" s="160">
        <f>AL52</f>
        <v>4.3102685945517825E-2</v>
      </c>
      <c r="AU13" s="160">
        <f t="shared" ref="AU13:AW14" si="3">$AH$56*AT13</f>
        <v>3.1991471547409092E-4</v>
      </c>
      <c r="AV13" s="160">
        <f>AK52</f>
        <v>0.35453903054859848</v>
      </c>
      <c r="AW13" s="160">
        <f t="shared" si="3"/>
        <v>2.6314428113779647E-3</v>
      </c>
      <c r="AX13" s="329"/>
      <c r="AY13" s="138">
        <f>SQRT((AT12-AT13)^2+(AV12-AV13)^2)</f>
        <v>0.19532369765388077</v>
      </c>
      <c r="AZ13" s="332"/>
      <c r="BA13" s="330"/>
    </row>
    <row r="14" spans="2:53" x14ac:dyDescent="0.3">
      <c r="B14" s="69"/>
      <c r="C14" s="132" t="s">
        <v>3</v>
      </c>
      <c r="D14" s="88">
        <f>_xlfn.STDEV.S(D10:D12)</f>
        <v>3.6363901514184387E-3</v>
      </c>
      <c r="E14" s="88">
        <f>_xlfn.STDEV.S(E10:E12)</f>
        <v>3.636390151418414E-3</v>
      </c>
      <c r="F14" s="88">
        <f>_xlfn.STDEV.S(F10:F12)</f>
        <v>2.7194799110210365E-16</v>
      </c>
      <c r="G14" s="8"/>
      <c r="H14" s="8"/>
      <c r="I14" s="8"/>
      <c r="J14" s="8"/>
      <c r="K14" s="8"/>
      <c r="L14" s="8"/>
      <c r="M14" s="8"/>
      <c r="N14" s="8"/>
      <c r="O14" s="8"/>
      <c r="P14" s="8"/>
      <c r="Q14" s="346"/>
      <c r="R14" s="137" t="s">
        <v>3</v>
      </c>
      <c r="S14" s="139"/>
      <c r="T14" s="139"/>
      <c r="U14" s="139"/>
      <c r="V14" s="8"/>
      <c r="W14" s="137" t="s">
        <v>5</v>
      </c>
      <c r="X14" s="48">
        <f>X12-X13</f>
        <v>0</v>
      </c>
      <c r="Y14" s="48">
        <f>Y12-Y13</f>
        <v>1.7231447374709199</v>
      </c>
      <c r="Z14" s="48">
        <f>U21*U15</f>
        <v>7.3168917917832994</v>
      </c>
      <c r="AA14" s="48">
        <f>SUM(X14:Z14)</f>
        <v>9.0400365292542197</v>
      </c>
      <c r="AB14" s="8"/>
      <c r="AC14" s="8"/>
      <c r="AD14" s="8"/>
      <c r="AE14" s="8"/>
      <c r="AF14" s="8"/>
      <c r="AG14" s="8"/>
      <c r="AH14" s="8"/>
      <c r="AI14" s="8"/>
      <c r="AJ14" s="8"/>
      <c r="AK14" s="11"/>
      <c r="AL14" s="11"/>
      <c r="AM14" s="11"/>
      <c r="AN14" s="11"/>
      <c r="AO14" s="141"/>
      <c r="AP14" s="3"/>
      <c r="AS14" s="133" t="s">
        <v>8</v>
      </c>
      <c r="AT14" s="160">
        <f>AL53</f>
        <v>0.25365649698170062</v>
      </c>
      <c r="AU14" s="160">
        <f t="shared" si="3"/>
        <v>1.8826772457435183E-3</v>
      </c>
      <c r="AV14" s="160">
        <f>AK53</f>
        <v>6.9999999999999993E-3</v>
      </c>
      <c r="AW14" s="160">
        <f t="shared" si="3"/>
        <v>5.1955068673661348E-5</v>
      </c>
      <c r="AX14" s="329"/>
      <c r="AY14" s="138">
        <f>SQRT((AT12-AT14)^2+(AV12-AV14)^2)</f>
        <v>0.21102139296547681</v>
      </c>
      <c r="AZ14" s="333"/>
      <c r="BA14" s="330"/>
    </row>
    <row r="15" spans="2:53" x14ac:dyDescent="0.3">
      <c r="B15" s="69"/>
      <c r="C15" s="87"/>
      <c r="D15" s="89"/>
      <c r="E15" s="89"/>
      <c r="F15" s="89"/>
      <c r="G15" s="8"/>
      <c r="H15" s="8"/>
      <c r="I15" s="8"/>
      <c r="J15" s="8"/>
      <c r="K15" s="8"/>
      <c r="L15" s="8"/>
      <c r="M15" s="8"/>
      <c r="N15" s="8"/>
      <c r="O15" s="8"/>
      <c r="P15" s="8"/>
      <c r="Q15" s="346" t="s">
        <v>5</v>
      </c>
      <c r="R15" s="137" t="s">
        <v>13</v>
      </c>
      <c r="S15" s="139">
        <f>N18</f>
        <v>0.17592671134108115</v>
      </c>
      <c r="T15" s="139">
        <f>M18</f>
        <v>0</v>
      </c>
      <c r="U15" s="139">
        <f>L18</f>
        <v>0.82407328865891905</v>
      </c>
      <c r="V15" s="8"/>
      <c r="W15" s="137" t="s">
        <v>62</v>
      </c>
      <c r="X15" s="48">
        <f>SUM(X13:X14)</f>
        <v>4.4999999999999956</v>
      </c>
      <c r="Y15" s="48">
        <f>SUM(Y13:Y14)</f>
        <v>3.1560000000000001</v>
      </c>
      <c r="Z15" s="48">
        <f>SUM(Z13:Z14)</f>
        <v>22.214369862587546</v>
      </c>
      <c r="AA15" s="48">
        <f>SUM(X15:Z15)</f>
        <v>29.870369862587541</v>
      </c>
      <c r="AB15" s="8"/>
      <c r="AC15" s="8"/>
      <c r="AD15" s="8"/>
      <c r="AE15" s="8"/>
      <c r="AF15" s="8"/>
      <c r="AG15" s="8"/>
      <c r="AH15" s="8"/>
      <c r="AI15" s="8"/>
      <c r="AJ15" s="8"/>
      <c r="AK15" s="11"/>
      <c r="AL15" s="11"/>
      <c r="AM15" s="11"/>
      <c r="AN15" s="11"/>
      <c r="AO15" s="141"/>
      <c r="AP15" s="3"/>
      <c r="AS15" s="133" t="s">
        <v>78</v>
      </c>
      <c r="AT15" s="160">
        <f>AL75</f>
        <v>0.18466692944422547</v>
      </c>
      <c r="AU15" s="160">
        <f>$AH$104*AT15</f>
        <v>3.8369645165517727E-3</v>
      </c>
      <c r="AV15" s="160">
        <f>AK75</f>
        <v>0.22664564446196295</v>
      </c>
      <c r="AW15" s="160">
        <f>$AH$104*AV15</f>
        <v>4.7091880405918237E-3</v>
      </c>
      <c r="AX15" s="329">
        <f>(AV16-AV17)/(AT16-AT17)</f>
        <v>-1.5537268468603802</v>
      </c>
      <c r="AY15" s="138" t="s">
        <v>109</v>
      </c>
      <c r="AZ15" s="330">
        <f>AY17/AY16</f>
        <v>0.9801707364256188</v>
      </c>
      <c r="BA15" s="330">
        <f>T91/T93</f>
        <v>1.08</v>
      </c>
    </row>
    <row r="16" spans="2:53" x14ac:dyDescent="0.3">
      <c r="B16" s="69"/>
      <c r="C16" s="21"/>
      <c r="D16" s="147"/>
      <c r="E16" s="147"/>
      <c r="F16" s="147"/>
      <c r="G16" s="8"/>
      <c r="H16" s="347" t="s">
        <v>131</v>
      </c>
      <c r="I16" s="347"/>
      <c r="J16" s="347"/>
      <c r="K16" s="8"/>
      <c r="L16" s="8"/>
      <c r="M16" s="8"/>
      <c r="N16" s="8"/>
      <c r="O16" s="8"/>
      <c r="P16" s="8"/>
      <c r="Q16" s="346"/>
      <c r="R16" s="137" t="s">
        <v>3</v>
      </c>
      <c r="S16" s="139"/>
      <c r="T16" s="139"/>
      <c r="U16" s="146"/>
      <c r="V16" s="8"/>
      <c r="W16" s="8"/>
      <c r="X16" s="8"/>
      <c r="Y16" s="8"/>
      <c r="Z16" s="8"/>
      <c r="AA16" s="8"/>
      <c r="AB16" s="8"/>
      <c r="AC16" s="8"/>
      <c r="AD16" s="8"/>
      <c r="AE16" s="8"/>
      <c r="AF16" s="8"/>
      <c r="AG16" s="8"/>
      <c r="AH16" s="8"/>
      <c r="AI16" s="8"/>
      <c r="AJ16" s="8"/>
      <c r="AK16" s="11"/>
      <c r="AL16" s="11"/>
      <c r="AM16" s="11"/>
      <c r="AN16" s="11"/>
      <c r="AO16" s="141"/>
      <c r="AP16" s="3"/>
      <c r="AS16" s="133" t="s">
        <v>79</v>
      </c>
      <c r="AT16" s="160">
        <f>AL76</f>
        <v>3.911024713541434E-2</v>
      </c>
      <c r="AU16" s="160">
        <f t="shared" ref="AU16:AW17" si="4">$AH$104*AT16</f>
        <v>8.1262319649647464E-4</v>
      </c>
      <c r="AV16" s="160">
        <f>AK76</f>
        <v>0.45273802842798339</v>
      </c>
      <c r="AW16" s="160">
        <f t="shared" si="4"/>
        <v>9.4068805692491056E-3</v>
      </c>
      <c r="AX16" s="329"/>
      <c r="AY16" s="138">
        <f>SQRT((AT15-AT16)^2+(AV15-AV16)^2)</f>
        <v>0.26889498666242662</v>
      </c>
      <c r="AZ16" s="330"/>
      <c r="BA16" s="330"/>
    </row>
    <row r="17" spans="2:53" x14ac:dyDescent="0.3">
      <c r="B17" s="69"/>
      <c r="C17" s="120" t="s">
        <v>5</v>
      </c>
      <c r="D17" s="148" t="s">
        <v>14</v>
      </c>
      <c r="E17" s="148" t="s">
        <v>17</v>
      </c>
      <c r="F17" s="148" t="s">
        <v>15</v>
      </c>
      <c r="G17" s="8"/>
      <c r="H17" s="137" t="s">
        <v>48</v>
      </c>
      <c r="I17" s="137" t="s">
        <v>49</v>
      </c>
      <c r="J17" s="137" t="s">
        <v>50</v>
      </c>
      <c r="K17" s="137" t="s">
        <v>12</v>
      </c>
      <c r="L17" s="137" t="s">
        <v>48</v>
      </c>
      <c r="M17" s="137" t="s">
        <v>49</v>
      </c>
      <c r="N17" s="137" t="s">
        <v>50</v>
      </c>
      <c r="O17" s="137" t="s">
        <v>12</v>
      </c>
      <c r="P17" s="8"/>
      <c r="Q17" s="8"/>
      <c r="R17" s="8"/>
      <c r="S17" s="8"/>
      <c r="T17" s="8"/>
      <c r="U17" s="8"/>
      <c r="V17" s="8"/>
      <c r="W17" s="137" t="s">
        <v>113</v>
      </c>
      <c r="X17" s="137" t="s">
        <v>114</v>
      </c>
      <c r="Y17" s="137" t="s">
        <v>115</v>
      </c>
      <c r="Z17" s="137" t="s">
        <v>116</v>
      </c>
      <c r="AA17" s="137" t="s">
        <v>121</v>
      </c>
      <c r="AB17" s="8" t="s">
        <v>122</v>
      </c>
      <c r="AC17" s="8"/>
      <c r="AD17" s="8"/>
      <c r="AE17" s="8"/>
      <c r="AF17" s="8"/>
      <c r="AG17" s="8"/>
      <c r="AH17" s="8"/>
      <c r="AI17" s="8"/>
      <c r="AJ17" s="8"/>
      <c r="AK17" s="11"/>
      <c r="AL17" s="11"/>
      <c r="AM17" s="11"/>
      <c r="AN17" s="11"/>
      <c r="AO17" s="141"/>
      <c r="AP17" s="3"/>
      <c r="AS17" s="133" t="s">
        <v>8</v>
      </c>
      <c r="AT17" s="160">
        <f>AL77</f>
        <v>0.32728060946952009</v>
      </c>
      <c r="AU17" s="160">
        <f t="shared" si="4"/>
        <v>6.80015685141536E-3</v>
      </c>
      <c r="AV17" s="160">
        <f>AK77</f>
        <v>4.9999999999999992E-3</v>
      </c>
      <c r="AW17" s="160">
        <f t="shared" si="4"/>
        <v>1.0388878312157787E-4</v>
      </c>
      <c r="AX17" s="329"/>
      <c r="AY17" s="138">
        <f>SQRT((AT15-AT17)^2+(AV15-AV17)^2)</f>
        <v>0.26356299709806763</v>
      </c>
      <c r="AZ17" s="330"/>
      <c r="BA17" s="330"/>
    </row>
    <row r="18" spans="2:53" x14ac:dyDescent="0.3">
      <c r="B18" s="69"/>
      <c r="C18" s="113" t="s">
        <v>7</v>
      </c>
      <c r="D18" s="4">
        <v>0.55079999999999996</v>
      </c>
      <c r="E18" s="4">
        <f>D18+1.5</f>
        <v>2.0507999999999997</v>
      </c>
      <c r="F18" s="4">
        <v>1.3409</v>
      </c>
      <c r="G18" s="8"/>
      <c r="H18" s="4">
        <f>(L18*D21+1.5)/E21</f>
        <v>0.95249111260046848</v>
      </c>
      <c r="I18" s="4">
        <v>0</v>
      </c>
      <c r="J18" s="4">
        <f>1-H18-I18</f>
        <v>4.7508887399531519E-2</v>
      </c>
      <c r="K18" s="4">
        <f>SUM(H18:J18)</f>
        <v>1</v>
      </c>
      <c r="L18" s="4">
        <v>0.82407328865891905</v>
      </c>
      <c r="M18" s="4">
        <f>I18*(E21/D21)</f>
        <v>0</v>
      </c>
      <c r="N18" s="4">
        <f>J18*(E21/D21)</f>
        <v>0.17592671134108115</v>
      </c>
      <c r="O18" s="4">
        <f>SUM(L18:N18)</f>
        <v>1.0000000000000002</v>
      </c>
      <c r="P18" s="8"/>
      <c r="Q18" s="137"/>
      <c r="R18" s="137"/>
      <c r="S18" s="137" t="s">
        <v>23</v>
      </c>
      <c r="T18" s="137" t="s">
        <v>60</v>
      </c>
      <c r="U18" s="137" t="s">
        <v>61</v>
      </c>
      <c r="V18" s="8"/>
      <c r="W18" s="4">
        <f>(K20-F21)^2/F21</f>
        <v>5.2469603034865393E-8</v>
      </c>
      <c r="X18" s="4">
        <f>(K12-F13)^2/F13</f>
        <v>6.5026196697122369E-8</v>
      </c>
      <c r="Y18" s="4">
        <f>(AA13-U19)^2/U19</f>
        <v>2.423729717918329E-30</v>
      </c>
      <c r="Z18" s="4">
        <f>(AA14-U21)^2/U21</f>
        <v>2.9231258712671816E-3</v>
      </c>
      <c r="AA18" s="4">
        <f>SUM(W18:Z18)</f>
        <v>2.9232433670669136E-3</v>
      </c>
      <c r="AB18" s="8"/>
      <c r="AC18" s="8"/>
      <c r="AD18" s="8"/>
      <c r="AE18" s="8"/>
      <c r="AF18" s="8"/>
      <c r="AG18" s="8"/>
      <c r="AH18" s="8"/>
      <c r="AI18" s="8"/>
      <c r="AJ18" s="8"/>
      <c r="AK18" s="11"/>
      <c r="AL18" s="11"/>
      <c r="AM18" s="11"/>
      <c r="AN18" s="11"/>
      <c r="AO18" s="141"/>
      <c r="AP18" s="3"/>
      <c r="AT18" s="25"/>
      <c r="AV18" s="25"/>
      <c r="AW18" s="133" t="s">
        <v>2</v>
      </c>
      <c r="AX18" s="134">
        <f>AVERAGE(AX6,AX9,AX12,AX15)</f>
        <v>-1.7656774946842988</v>
      </c>
    </row>
    <row r="19" spans="2:53" x14ac:dyDescent="0.3">
      <c r="B19" s="69"/>
      <c r="C19" s="113" t="s">
        <v>8</v>
      </c>
      <c r="D19" s="4">
        <v>0.55859999999999999</v>
      </c>
      <c r="E19" s="4">
        <f>D19+1.5</f>
        <v>2.0586000000000002</v>
      </c>
      <c r="F19" s="4">
        <v>1.3409</v>
      </c>
      <c r="G19" s="8"/>
      <c r="H19" s="137" t="s">
        <v>54</v>
      </c>
      <c r="I19" s="137" t="s">
        <v>55</v>
      </c>
      <c r="J19" s="137" t="s">
        <v>56</v>
      </c>
      <c r="K19" s="137" t="s">
        <v>12</v>
      </c>
      <c r="L19" s="4"/>
      <c r="M19" s="4"/>
      <c r="N19" s="4"/>
      <c r="O19" s="4"/>
      <c r="P19" s="8"/>
      <c r="Q19" s="346" t="s">
        <v>4</v>
      </c>
      <c r="R19" s="137" t="s">
        <v>13</v>
      </c>
      <c r="S19" s="4">
        <f>AVERAGE(D10:D12)*2</f>
        <v>1.0963333333333332</v>
      </c>
      <c r="T19" s="4">
        <v>19</v>
      </c>
      <c r="U19" s="4">
        <f>S19*T19</f>
        <v>20.830333333333328</v>
      </c>
      <c r="V19" s="8"/>
      <c r="W19" s="8"/>
      <c r="X19" s="8"/>
      <c r="Y19" s="8"/>
      <c r="Z19" s="8"/>
      <c r="AA19" s="8"/>
      <c r="AB19" s="8"/>
      <c r="AC19" s="8"/>
      <c r="AD19" s="8"/>
      <c r="AE19" s="8"/>
      <c r="AF19" s="8"/>
      <c r="AG19" s="8"/>
      <c r="AH19" s="8"/>
      <c r="AI19" s="8"/>
      <c r="AJ19" s="8"/>
      <c r="AK19" s="11"/>
      <c r="AL19" s="11"/>
      <c r="AM19" s="11"/>
      <c r="AN19" s="11"/>
      <c r="AO19" s="141"/>
      <c r="AP19" s="3"/>
      <c r="AT19" s="25"/>
      <c r="AV19" s="25"/>
      <c r="AW19" s="133" t="s">
        <v>80</v>
      </c>
      <c r="AX19" s="135">
        <f>_xlfn.STDEV.S(AX6,AX9,AX12,AX15)</f>
        <v>0.1935129265813543</v>
      </c>
    </row>
    <row r="20" spans="2:53" x14ac:dyDescent="0.3">
      <c r="B20" s="69"/>
      <c r="C20" s="113" t="s">
        <v>9</v>
      </c>
      <c r="D20" s="4">
        <v>0.5554</v>
      </c>
      <c r="E20" s="4">
        <f>D20+1.5</f>
        <v>2.0554000000000001</v>
      </c>
      <c r="F20" s="4">
        <v>1.3408</v>
      </c>
      <c r="G20" s="8"/>
      <c r="H20" s="4">
        <f>1.333</f>
        <v>1.333</v>
      </c>
      <c r="I20" s="4">
        <f>I18*0.1375</f>
        <v>0</v>
      </c>
      <c r="J20" s="4">
        <f>J18*0.16</f>
        <v>7.6014219839250436E-3</v>
      </c>
      <c r="K20" s="4">
        <f>SUM(H20:J20)</f>
        <v>1.3406014219839251</v>
      </c>
      <c r="L20" s="4"/>
      <c r="M20" s="4"/>
      <c r="N20" s="4"/>
      <c r="O20" s="4"/>
      <c r="P20" s="8"/>
      <c r="Q20" s="346"/>
      <c r="R20" s="137" t="s">
        <v>3</v>
      </c>
      <c r="S20" s="4">
        <f>D14*2</f>
        <v>7.2727803028368775E-3</v>
      </c>
      <c r="T20" s="4"/>
      <c r="U20" s="4"/>
      <c r="V20" s="8"/>
      <c r="W20" s="8"/>
      <c r="X20" s="8"/>
      <c r="Y20" s="8"/>
      <c r="Z20" s="8"/>
      <c r="AA20" s="8"/>
      <c r="AB20" s="8"/>
      <c r="AC20" s="8"/>
      <c r="AD20" s="8"/>
      <c r="AE20" s="8"/>
      <c r="AF20" s="8"/>
      <c r="AG20" s="8"/>
      <c r="AH20" s="8"/>
      <c r="AI20" s="8"/>
      <c r="AJ20" s="8"/>
      <c r="AK20" s="11"/>
      <c r="AL20" s="11"/>
      <c r="AM20" s="11"/>
      <c r="AN20" s="11"/>
      <c r="AO20" s="141"/>
      <c r="AP20" s="3"/>
      <c r="AT20" s="25"/>
      <c r="AV20" s="25"/>
    </row>
    <row r="21" spans="2:53" x14ac:dyDescent="0.3">
      <c r="B21" s="69"/>
      <c r="C21" s="113" t="s">
        <v>13</v>
      </c>
      <c r="D21" s="4">
        <f>AVERAGE(D18:D20)</f>
        <v>0.55493333333333339</v>
      </c>
      <c r="E21" s="4">
        <f>D21+1.5</f>
        <v>2.0549333333333335</v>
      </c>
      <c r="F21" s="4">
        <f>AVERAGE(F18:F20)</f>
        <v>1.3408666666666667</v>
      </c>
      <c r="G21" s="8"/>
      <c r="H21" s="8"/>
      <c r="I21" s="8"/>
      <c r="J21" s="8"/>
      <c r="K21" s="8"/>
      <c r="L21" s="8"/>
      <c r="M21" s="8"/>
      <c r="N21" s="8"/>
      <c r="O21" s="8"/>
      <c r="P21" s="8"/>
      <c r="Q21" s="346" t="s">
        <v>5</v>
      </c>
      <c r="R21" s="137" t="s">
        <v>13</v>
      </c>
      <c r="S21" s="4">
        <f>AVERAGE(D18:D20)*2</f>
        <v>1.1098666666666668</v>
      </c>
      <c r="T21" s="4">
        <v>8</v>
      </c>
      <c r="U21" s="4">
        <f>S21*T21</f>
        <v>8.8789333333333342</v>
      </c>
      <c r="V21" s="8"/>
      <c r="W21" s="8"/>
      <c r="X21" s="8"/>
      <c r="Y21" s="8"/>
      <c r="Z21" s="8"/>
      <c r="AA21" s="8"/>
      <c r="AB21" s="8"/>
      <c r="AC21" s="8"/>
      <c r="AD21" s="8"/>
      <c r="AE21" s="8"/>
      <c r="AF21" s="8"/>
      <c r="AG21" s="8"/>
      <c r="AH21" s="8"/>
      <c r="AI21" s="8"/>
      <c r="AJ21" s="8"/>
      <c r="AK21" s="11"/>
      <c r="AL21" s="11"/>
      <c r="AM21" s="11"/>
      <c r="AN21" s="11"/>
      <c r="AO21" s="141"/>
      <c r="AP21" s="3"/>
    </row>
    <row r="22" spans="2:53" x14ac:dyDescent="0.3">
      <c r="B22" s="69"/>
      <c r="C22" s="113" t="s">
        <v>3</v>
      </c>
      <c r="D22" s="4">
        <f>_xlfn.STDEV.S(D18:D20)</f>
        <v>3.9208842540087128E-3</v>
      </c>
      <c r="E22" s="4">
        <f>_xlfn.STDEV.S(E18:E20)</f>
        <v>3.9208842540089401E-3</v>
      </c>
      <c r="F22" s="4">
        <f>_xlfn.STDEV.S(F18:F20)</f>
        <v>5.7735026918956222E-5</v>
      </c>
      <c r="G22" s="8"/>
      <c r="H22" s="8"/>
      <c r="I22" s="8"/>
      <c r="J22" s="8"/>
      <c r="K22" s="8"/>
      <c r="L22" s="8"/>
      <c r="M22" s="8"/>
      <c r="N22" s="8"/>
      <c r="O22" s="8"/>
      <c r="P22" s="8"/>
      <c r="Q22" s="346"/>
      <c r="R22" s="137" t="s">
        <v>3</v>
      </c>
      <c r="S22" s="4">
        <f>D22*2</f>
        <v>7.8417685080174257E-3</v>
      </c>
      <c r="T22" s="4"/>
      <c r="U22" s="4"/>
      <c r="V22" s="8"/>
      <c r="W22" s="8"/>
      <c r="X22" s="8"/>
      <c r="Y22" s="8"/>
      <c r="Z22" s="8"/>
      <c r="AA22" s="8"/>
      <c r="AB22" s="8"/>
      <c r="AC22" s="8"/>
      <c r="AD22" s="8"/>
      <c r="AE22" s="8"/>
      <c r="AF22" s="8"/>
      <c r="AG22" s="8"/>
      <c r="AH22" s="8"/>
      <c r="AI22" s="8"/>
      <c r="AJ22" s="8"/>
      <c r="AK22" s="11"/>
      <c r="AL22" s="11"/>
      <c r="AM22" s="11"/>
      <c r="AN22" s="11"/>
      <c r="AO22" s="141"/>
      <c r="AP22" s="3"/>
    </row>
    <row r="23" spans="2:53" ht="15" thickBot="1" x14ac:dyDescent="0.35">
      <c r="B23" s="71"/>
      <c r="C23" s="16"/>
      <c r="D23" s="73"/>
      <c r="E23" s="73"/>
      <c r="F23" s="73"/>
      <c r="G23" s="73"/>
      <c r="H23" s="73"/>
      <c r="I23" s="73"/>
      <c r="J23" s="73"/>
      <c r="K23" s="73"/>
      <c r="L23" s="73"/>
      <c r="M23" s="73"/>
      <c r="N23" s="73"/>
      <c r="O23" s="73"/>
      <c r="P23" s="73"/>
      <c r="Q23" s="149"/>
      <c r="R23" s="73"/>
      <c r="S23" s="73"/>
      <c r="T23" s="73"/>
      <c r="U23" s="73"/>
      <c r="V23" s="73"/>
      <c r="W23" s="73"/>
      <c r="X23" s="73"/>
      <c r="Y23" s="73"/>
      <c r="Z23" s="73"/>
      <c r="AA23" s="73"/>
      <c r="AB23" s="73"/>
      <c r="AC23" s="73"/>
      <c r="AD23" s="73"/>
      <c r="AE23" s="73"/>
      <c r="AF23" s="73"/>
      <c r="AG23" s="73"/>
      <c r="AH23" s="73"/>
      <c r="AI23" s="73"/>
      <c r="AJ23" s="73"/>
      <c r="AK23" s="164"/>
      <c r="AL23" s="164"/>
      <c r="AM23" s="164"/>
      <c r="AN23" s="164"/>
      <c r="AO23" s="150"/>
      <c r="AP23" s="3"/>
    </row>
    <row r="24" spans="2:53" ht="15" thickBot="1" x14ac:dyDescent="0.35">
      <c r="B24" s="74" t="s">
        <v>124</v>
      </c>
      <c r="C24" s="66"/>
      <c r="D24" s="67"/>
      <c r="E24" s="67"/>
      <c r="F24" s="67"/>
      <c r="G24" s="67"/>
      <c r="H24" s="67"/>
      <c r="I24" s="67"/>
      <c r="J24" s="67"/>
      <c r="K24" s="67"/>
      <c r="L24" s="67"/>
      <c r="M24" s="67"/>
      <c r="N24" s="67"/>
      <c r="O24" s="67"/>
      <c r="P24" s="67"/>
      <c r="Q24" s="151"/>
      <c r="R24" s="67"/>
      <c r="S24" s="67"/>
      <c r="T24" s="67"/>
      <c r="U24" s="67"/>
      <c r="V24" s="67"/>
      <c r="W24" s="67"/>
      <c r="X24" s="67"/>
      <c r="Y24" s="67"/>
      <c r="Z24" s="67"/>
      <c r="AA24" s="67"/>
      <c r="AB24" s="67"/>
      <c r="AC24" s="67"/>
      <c r="AD24" s="67"/>
      <c r="AE24" s="67"/>
      <c r="AF24" s="67"/>
      <c r="AG24" s="67"/>
      <c r="AH24" s="67"/>
      <c r="AI24" s="67"/>
      <c r="AJ24" s="67"/>
      <c r="AK24" s="165"/>
      <c r="AL24" s="165"/>
      <c r="AM24" s="165"/>
      <c r="AN24" s="165"/>
      <c r="AO24" s="152"/>
      <c r="AP24" s="3"/>
    </row>
    <row r="25" spans="2:53" x14ac:dyDescent="0.3">
      <c r="B25" s="69"/>
      <c r="C25" s="1"/>
      <c r="D25" s="8"/>
      <c r="E25" s="8"/>
      <c r="F25" s="8"/>
      <c r="G25" s="8"/>
      <c r="H25" s="8"/>
      <c r="I25" s="8"/>
      <c r="J25" s="8"/>
      <c r="K25" s="8"/>
      <c r="L25" s="8"/>
      <c r="M25" s="8"/>
      <c r="N25" s="8"/>
      <c r="O25" s="8"/>
      <c r="P25" s="8"/>
      <c r="Q25" s="8"/>
      <c r="R25" s="8"/>
      <c r="S25" s="8"/>
      <c r="T25" s="8"/>
      <c r="U25" s="8"/>
      <c r="V25" s="8"/>
      <c r="W25" s="8"/>
      <c r="X25" s="8"/>
      <c r="Y25" s="8"/>
      <c r="Z25" s="8"/>
      <c r="AA25" s="8"/>
      <c r="AB25" s="8"/>
      <c r="AC25" s="8"/>
      <c r="AD25" s="153"/>
      <c r="AE25" s="336" t="s">
        <v>57</v>
      </c>
      <c r="AF25" s="336"/>
      <c r="AG25" s="336"/>
      <c r="AH25" s="336"/>
      <c r="AI25" s="341" t="s">
        <v>117</v>
      </c>
      <c r="AJ25" s="342"/>
      <c r="AK25" s="337" t="s">
        <v>77</v>
      </c>
      <c r="AL25" s="337"/>
      <c r="AM25" s="337"/>
      <c r="AN25" s="338"/>
      <c r="AO25" s="141"/>
      <c r="AP25" s="3"/>
    </row>
    <row r="26" spans="2:53" x14ac:dyDescent="0.3">
      <c r="B26" s="69"/>
      <c r="C26" s="1"/>
      <c r="D26" s="8"/>
      <c r="E26" s="8"/>
      <c r="F26" s="8"/>
      <c r="G26" s="8"/>
      <c r="H26" s="8"/>
      <c r="I26" s="8"/>
      <c r="J26" s="8"/>
      <c r="K26" s="8"/>
      <c r="L26" s="8"/>
      <c r="M26" s="8"/>
      <c r="N26" s="8"/>
      <c r="O26" s="8"/>
      <c r="P26" s="8"/>
      <c r="Q26" s="8"/>
      <c r="R26" s="8"/>
      <c r="S26" s="8"/>
      <c r="T26" s="154" t="s">
        <v>111</v>
      </c>
      <c r="U26" s="154" t="s">
        <v>112</v>
      </c>
      <c r="V26" s="154" t="s">
        <v>71</v>
      </c>
      <c r="W26" s="154" t="s">
        <v>72</v>
      </c>
      <c r="X26" s="8"/>
      <c r="Y26" s="137"/>
      <c r="Z26" s="137" t="s">
        <v>68</v>
      </c>
      <c r="AA26" s="137" t="s">
        <v>67</v>
      </c>
      <c r="AB26" s="137" t="s">
        <v>73</v>
      </c>
      <c r="AC26" s="8"/>
      <c r="AD26" s="140"/>
      <c r="AE26" s="155" t="s">
        <v>0</v>
      </c>
      <c r="AF26" s="155" t="s">
        <v>52</v>
      </c>
      <c r="AG26" s="155" t="s">
        <v>20</v>
      </c>
      <c r="AH26" s="155" t="s">
        <v>12</v>
      </c>
      <c r="AI26" s="156" t="s">
        <v>15</v>
      </c>
      <c r="AJ26" s="156" t="s">
        <v>76</v>
      </c>
      <c r="AK26" s="166" t="s">
        <v>0</v>
      </c>
      <c r="AL26" s="166" t="s">
        <v>52</v>
      </c>
      <c r="AM26" s="166" t="s">
        <v>20</v>
      </c>
      <c r="AN26" s="166" t="s">
        <v>12</v>
      </c>
      <c r="AO26" s="141"/>
      <c r="AP26" s="3"/>
    </row>
    <row r="27" spans="2:53" x14ac:dyDescent="0.3">
      <c r="B27" s="69"/>
      <c r="C27" s="113"/>
      <c r="D27" s="346" t="s">
        <v>57</v>
      </c>
      <c r="E27" s="346"/>
      <c r="F27" s="346"/>
      <c r="G27" s="157"/>
      <c r="H27" s="145"/>
      <c r="I27" s="137"/>
      <c r="J27" s="158" t="s">
        <v>11</v>
      </c>
      <c r="K27" s="158"/>
      <c r="L27" s="137"/>
      <c r="M27" s="8"/>
      <c r="N27" s="8"/>
      <c r="O27" s="8"/>
      <c r="P27" s="8"/>
      <c r="Q27" s="8"/>
      <c r="R27" s="8"/>
      <c r="S27" s="8"/>
      <c r="T27" s="154">
        <v>0.13750000000000001</v>
      </c>
      <c r="U27" s="154">
        <v>0.16</v>
      </c>
      <c r="V27" s="154">
        <f>F37</f>
        <v>1.3468333333333333</v>
      </c>
      <c r="W27" s="154">
        <f>F45</f>
        <v>1.3421000000000001</v>
      </c>
      <c r="X27" s="8"/>
      <c r="Y27" s="137" t="s">
        <v>6</v>
      </c>
      <c r="Z27" s="49">
        <f>J29</f>
        <v>0.16800632494399786</v>
      </c>
      <c r="AA27" s="49">
        <f>K29</f>
        <v>0.12412702595862432</v>
      </c>
      <c r="AB27" s="49">
        <f>L29</f>
        <v>0.70786664909737773</v>
      </c>
      <c r="AC27" s="8"/>
      <c r="AD27" s="140" t="s">
        <v>6</v>
      </c>
      <c r="AE27" s="48">
        <f>Z27*$AH27</f>
        <v>5.0999999999999996</v>
      </c>
      <c r="AF27" s="48">
        <f>AA27*$AH27</f>
        <v>3.7680000000000002</v>
      </c>
      <c r="AG27" s="48">
        <f>AB27*$AH27</f>
        <v>21.488</v>
      </c>
      <c r="AH27" s="48">
        <f>AA36</f>
        <v>30.356000000000002</v>
      </c>
      <c r="AI27" s="48" t="s">
        <v>109</v>
      </c>
      <c r="AJ27" s="48" t="s">
        <v>109</v>
      </c>
      <c r="AK27" s="49">
        <f t="shared" ref="AK27:AN30" si="5">AE27/$AH27</f>
        <v>0.16800632494399786</v>
      </c>
      <c r="AL27" s="49">
        <f t="shared" si="5"/>
        <v>0.12412702595862432</v>
      </c>
      <c r="AM27" s="49">
        <f t="shared" si="5"/>
        <v>0.70786664909737773</v>
      </c>
      <c r="AN27" s="49">
        <f t="shared" si="5"/>
        <v>1</v>
      </c>
      <c r="AO27" s="141"/>
      <c r="AP27" s="3"/>
    </row>
    <row r="28" spans="2:53" x14ac:dyDescent="0.3">
      <c r="B28" s="69"/>
      <c r="C28" s="113" t="s">
        <v>6</v>
      </c>
      <c r="D28" s="156" t="s">
        <v>0</v>
      </c>
      <c r="E28" s="137" t="s">
        <v>52</v>
      </c>
      <c r="F28" s="159" t="s">
        <v>20</v>
      </c>
      <c r="G28" s="159" t="s">
        <v>12</v>
      </c>
      <c r="H28" s="64"/>
      <c r="I28" s="137" t="s">
        <v>6</v>
      </c>
      <c r="J28" s="137" t="s">
        <v>10</v>
      </c>
      <c r="K28" s="137" t="s">
        <v>58</v>
      </c>
      <c r="L28" s="137" t="s">
        <v>59</v>
      </c>
      <c r="M28" s="8"/>
      <c r="N28" s="8"/>
      <c r="O28" s="8"/>
      <c r="P28" s="8"/>
      <c r="Q28" s="8"/>
      <c r="R28" s="8"/>
      <c r="S28" s="8"/>
      <c r="T28" s="8"/>
      <c r="U28" s="8"/>
      <c r="V28" s="8"/>
      <c r="W28" s="8"/>
      <c r="X28" s="8"/>
      <c r="Y28" s="137" t="s">
        <v>4</v>
      </c>
      <c r="Z28" s="49">
        <v>8.1075790578289439E-2</v>
      </c>
      <c r="AA28" s="49">
        <v>1.4007111910406276E-2</v>
      </c>
      <c r="AB28" s="49">
        <f>1-AA28-Z28</f>
        <v>0.90491709751130434</v>
      </c>
      <c r="AC28" s="8"/>
      <c r="AD28" s="140" t="s">
        <v>4</v>
      </c>
      <c r="AE28" s="48">
        <f>Z28*$AH28*E37/D37</f>
        <v>4.9590007307210735</v>
      </c>
      <c r="AF28" s="48">
        <f>AA28*$AH28*E37/D37</f>
        <v>0.85674499999999987</v>
      </c>
      <c r="AG28" s="48">
        <f>AH28-AE28-AF28</f>
        <v>10.349254269278926</v>
      </c>
      <c r="AH28" s="48">
        <f>U43</f>
        <v>16.164999999999999</v>
      </c>
      <c r="AI28" s="48">
        <f>Z28*$T$3+AA28*$U$3+1.333</f>
        <v>1.3463890591101797</v>
      </c>
      <c r="AJ28" s="48">
        <f>(V27-AI28)^2/V27</f>
        <v>1.4655086154591795E-7</v>
      </c>
      <c r="AK28" s="49">
        <f t="shared" si="5"/>
        <v>0.30677393941980041</v>
      </c>
      <c r="AL28" s="49">
        <f t="shared" si="5"/>
        <v>5.2999999999999992E-2</v>
      </c>
      <c r="AM28" s="49">
        <f t="shared" si="5"/>
        <v>0.6402260605801996</v>
      </c>
      <c r="AN28" s="49">
        <f t="shared" si="5"/>
        <v>1</v>
      </c>
      <c r="AO28" s="141"/>
      <c r="AP28" s="3"/>
    </row>
    <row r="29" spans="2:53" ht="15.75" customHeight="1" x14ac:dyDescent="0.3">
      <c r="B29" s="69"/>
      <c r="C29" s="113" t="s">
        <v>7</v>
      </c>
      <c r="D29" s="4">
        <v>5.0999999999999996</v>
      </c>
      <c r="E29" s="4">
        <f>3.6+0.28*1.2/2</f>
        <v>3.7680000000000002</v>
      </c>
      <c r="F29" s="56">
        <f>21.32+0.28*1.2/2</f>
        <v>21.488</v>
      </c>
      <c r="G29" s="56">
        <f>SUM(D29:F29)</f>
        <v>30.356000000000002</v>
      </c>
      <c r="H29" s="8"/>
      <c r="I29" s="137" t="s">
        <v>7</v>
      </c>
      <c r="J29" s="139">
        <f>D29/G29</f>
        <v>0.16800632494399786</v>
      </c>
      <c r="K29" s="139">
        <f>E29/G29</f>
        <v>0.12412702595862432</v>
      </c>
      <c r="L29" s="139">
        <f>1-K29-J29</f>
        <v>0.70786664909737773</v>
      </c>
      <c r="M29" s="8"/>
      <c r="N29" s="8"/>
      <c r="O29" s="8"/>
      <c r="P29" s="8"/>
      <c r="Q29" s="8"/>
      <c r="R29" s="8"/>
      <c r="S29" s="8"/>
      <c r="T29" s="8"/>
      <c r="U29" s="8"/>
      <c r="V29" s="8"/>
      <c r="W29" s="8"/>
      <c r="X29" s="8"/>
      <c r="Y29" s="137" t="s">
        <v>5</v>
      </c>
      <c r="Z29" s="49">
        <v>2.7474333972633646E-3</v>
      </c>
      <c r="AA29" s="49">
        <v>5.7239673150998448E-2</v>
      </c>
      <c r="AB29" s="49">
        <f>1-AA29-Z29</f>
        <v>0.94001289345173822</v>
      </c>
      <c r="AC29" s="8"/>
      <c r="AD29" s="140" t="s">
        <v>5</v>
      </c>
      <c r="AE29" s="48">
        <f>Z29*$AH29*E45/D45</f>
        <v>0.13069366666666662</v>
      </c>
      <c r="AF29" s="48">
        <f>AA29*$AH29*E45/D45</f>
        <v>2.7228550000000005</v>
      </c>
      <c r="AG29" s="48">
        <f>AH29-AE29-AF29</f>
        <v>10.215817999999999</v>
      </c>
      <c r="AH29" s="48">
        <f>U45</f>
        <v>13.069366666666665</v>
      </c>
      <c r="AI29" s="48">
        <f>Z29*$T$3+AA29*$U$3+1.333</f>
        <v>1.3425361197962835</v>
      </c>
      <c r="AJ29" s="48">
        <f>(W27-AI29)^2/W27</f>
        <v>1.4171855801379167E-7</v>
      </c>
      <c r="AK29" s="49">
        <f t="shared" si="5"/>
        <v>9.9999999999999985E-3</v>
      </c>
      <c r="AL29" s="49">
        <f t="shared" si="5"/>
        <v>0.20833871062357018</v>
      </c>
      <c r="AM29" s="49">
        <f t="shared" si="5"/>
        <v>0.78166128937642987</v>
      </c>
      <c r="AN29" s="49">
        <f t="shared" si="5"/>
        <v>1</v>
      </c>
      <c r="AO29" s="141"/>
      <c r="AP29" s="3"/>
    </row>
    <row r="30" spans="2:53" x14ac:dyDescent="0.3">
      <c r="B30" s="69"/>
      <c r="C30" s="1"/>
      <c r="D30" s="8"/>
      <c r="E30" s="8"/>
      <c r="F30" s="8"/>
      <c r="G30" s="8"/>
      <c r="H30" s="8"/>
      <c r="I30" s="8"/>
      <c r="J30" s="8"/>
      <c r="K30" s="8"/>
      <c r="L30" s="8"/>
      <c r="M30" s="8"/>
      <c r="N30" s="142"/>
      <c r="O30" s="142"/>
      <c r="P30" s="142"/>
      <c r="Q30" s="8"/>
      <c r="R30" s="8"/>
      <c r="S30" s="8"/>
      <c r="T30" s="8"/>
      <c r="U30" s="8"/>
      <c r="V30" s="8"/>
      <c r="W30" s="8"/>
      <c r="X30" s="8"/>
      <c r="Y30" s="8"/>
      <c r="Z30" s="8"/>
      <c r="AA30" s="8"/>
      <c r="AB30" s="8"/>
      <c r="AC30" s="8"/>
      <c r="AD30" s="140" t="s">
        <v>75</v>
      </c>
      <c r="AE30" s="48">
        <f>SUM(AE28:AE29)</f>
        <v>5.0896943973877402</v>
      </c>
      <c r="AF30" s="48">
        <f>SUM(AF28:AF29)</f>
        <v>3.5796000000000001</v>
      </c>
      <c r="AG30" s="48">
        <f>SUM(AG28:AG29)</f>
        <v>20.565072269278925</v>
      </c>
      <c r="AH30" s="48">
        <f>SUM(AH28:AH29)</f>
        <v>29.234366666666666</v>
      </c>
      <c r="AI30" s="48"/>
      <c r="AJ30" s="48"/>
      <c r="AK30" s="49">
        <f t="shared" si="5"/>
        <v>0.17409969764082708</v>
      </c>
      <c r="AL30" s="49">
        <f t="shared" si="5"/>
        <v>0.12244493068089954</v>
      </c>
      <c r="AM30" s="49">
        <f t="shared" si="5"/>
        <v>0.70345537167827332</v>
      </c>
      <c r="AN30" s="49">
        <f t="shared" si="5"/>
        <v>1</v>
      </c>
      <c r="AO30" s="141"/>
      <c r="AP30" s="3"/>
    </row>
    <row r="31" spans="2:53" x14ac:dyDescent="0.3">
      <c r="B31" s="69"/>
      <c r="C31" s="1" t="s">
        <v>16</v>
      </c>
      <c r="D31" s="8"/>
      <c r="E31" s="8"/>
      <c r="F31" s="8"/>
      <c r="G31" s="8"/>
      <c r="H31" s="8"/>
      <c r="I31" s="8"/>
      <c r="J31" s="8"/>
      <c r="K31" s="8"/>
      <c r="L31" s="8"/>
      <c r="M31" s="8"/>
      <c r="N31" s="8"/>
      <c r="O31" s="8"/>
      <c r="P31" s="8"/>
      <c r="Q31" s="8"/>
      <c r="R31" s="8"/>
      <c r="S31" s="8"/>
      <c r="T31" s="8"/>
      <c r="U31" s="8"/>
      <c r="V31" s="8"/>
      <c r="W31" s="8"/>
      <c r="X31" s="8"/>
      <c r="Y31" s="8"/>
      <c r="Z31" s="8"/>
      <c r="AA31" s="8"/>
      <c r="AB31" s="8"/>
      <c r="AC31" s="8"/>
      <c r="AD31" s="140" t="s">
        <v>76</v>
      </c>
      <c r="AE31" s="48">
        <f>(AE30-AE27)^2/AE27</f>
        <v>2.0824597098393823E-5</v>
      </c>
      <c r="AF31" s="48">
        <f>(AF30-AF27)^2/AF27</f>
        <v>9.42000000000001E-3</v>
      </c>
      <c r="AG31" s="48">
        <f>(AG30-AG27)^2/AG27</f>
        <v>3.9640524764238273E-2</v>
      </c>
      <c r="AH31" s="48"/>
      <c r="AI31" s="48" t="s">
        <v>74</v>
      </c>
      <c r="AJ31" s="48">
        <f>AJ28+AJ29+AE31+AF31+AG31+AN32+AN33</f>
        <v>4.9081637630756236E-2</v>
      </c>
      <c r="AK31" s="49"/>
      <c r="AL31" s="49" t="s">
        <v>118</v>
      </c>
      <c r="AM31" s="49">
        <f>ABS(U37-AM28)/U37</f>
        <v>7.6450258598799482E-3</v>
      </c>
      <c r="AN31" s="49"/>
      <c r="AO31" s="141"/>
      <c r="AP31" s="3"/>
    </row>
    <row r="32" spans="2:53" ht="15" thickBot="1" x14ac:dyDescent="0.35">
      <c r="B32" s="69"/>
      <c r="C32" s="1">
        <v>1.5</v>
      </c>
      <c r="D32" s="8"/>
      <c r="E32" s="8"/>
      <c r="F32" s="8"/>
      <c r="G32" s="8"/>
      <c r="H32" s="347" t="s">
        <v>130</v>
      </c>
      <c r="I32" s="347"/>
      <c r="J32" s="347"/>
      <c r="K32" s="8"/>
      <c r="L32" s="8"/>
      <c r="M32" s="8"/>
      <c r="N32" s="8"/>
      <c r="O32" s="8"/>
      <c r="P32" s="8"/>
      <c r="Q32" s="8"/>
      <c r="R32" s="8"/>
      <c r="S32" s="8"/>
      <c r="T32" s="8"/>
      <c r="U32" s="8"/>
      <c r="V32" s="8"/>
      <c r="W32" s="8"/>
      <c r="X32" s="8"/>
      <c r="Y32" s="8"/>
      <c r="Z32" s="8"/>
      <c r="AA32" s="8"/>
      <c r="AB32" s="8"/>
      <c r="AC32" s="8"/>
      <c r="AD32" s="144" t="s">
        <v>110</v>
      </c>
      <c r="AE32" s="49">
        <f>ABS((AE27-AE30)/AE27)</f>
        <v>2.0207063945606738E-3</v>
      </c>
      <c r="AF32" s="49">
        <f>ABS((AF27-AF30)/AF27)</f>
        <v>5.0000000000000031E-2</v>
      </c>
      <c r="AG32" s="49">
        <f>ABS((AG27-AG30)/AG27)</f>
        <v>4.2950843760288272E-2</v>
      </c>
      <c r="AH32" s="49">
        <f>AVERAGE(AE32:AG32)</f>
        <v>3.1657183384949661E-2</v>
      </c>
      <c r="AI32" s="48"/>
      <c r="AJ32" s="48"/>
      <c r="AK32" s="49"/>
      <c r="AL32" s="49" t="s">
        <v>119</v>
      </c>
      <c r="AM32" s="49">
        <f>ABS(U39-AM29)/U39</f>
        <v>2.0553591885514909E-3</v>
      </c>
      <c r="AN32" s="49"/>
      <c r="AO32" s="141"/>
      <c r="AP32" s="3"/>
    </row>
    <row r="33" spans="2:54" x14ac:dyDescent="0.3">
      <c r="B33" s="69"/>
      <c r="C33" s="113" t="s">
        <v>4</v>
      </c>
      <c r="D33" s="137" t="s">
        <v>14</v>
      </c>
      <c r="E33" s="137" t="s">
        <v>17</v>
      </c>
      <c r="F33" s="137" t="s">
        <v>15</v>
      </c>
      <c r="G33" s="8"/>
      <c r="H33" s="137" t="s">
        <v>54</v>
      </c>
      <c r="I33" s="137" t="s">
        <v>55</v>
      </c>
      <c r="J33" s="137" t="s">
        <v>56</v>
      </c>
      <c r="K33" s="137" t="s">
        <v>12</v>
      </c>
      <c r="L33" s="137" t="s">
        <v>48</v>
      </c>
      <c r="M33" s="137" t="s">
        <v>49</v>
      </c>
      <c r="N33" s="137" t="s">
        <v>50</v>
      </c>
      <c r="O33" s="137" t="s">
        <v>12</v>
      </c>
      <c r="P33" s="8"/>
      <c r="Q33" s="147"/>
      <c r="R33" s="8"/>
      <c r="S33" s="8"/>
      <c r="T33" s="8"/>
      <c r="U33" s="8"/>
      <c r="V33" s="8"/>
      <c r="W33" s="8"/>
      <c r="X33" s="8"/>
      <c r="Y33" s="8"/>
      <c r="Z33" s="8"/>
      <c r="AA33" s="8"/>
      <c r="AB33" s="8"/>
      <c r="AC33" s="8"/>
      <c r="AD33" s="8"/>
      <c r="AE33" s="8"/>
      <c r="AF33" s="8"/>
      <c r="AG33" s="8"/>
      <c r="AH33" s="8"/>
      <c r="AI33" s="8"/>
      <c r="AJ33" s="8"/>
      <c r="AK33" s="11"/>
      <c r="AL33" s="11"/>
      <c r="AM33" s="11"/>
      <c r="AN33" s="11"/>
      <c r="AO33" s="141"/>
      <c r="AP33" s="3"/>
    </row>
    <row r="34" spans="2:54" x14ac:dyDescent="0.3">
      <c r="B34" s="69"/>
      <c r="C34" s="113" t="s">
        <v>7</v>
      </c>
      <c r="D34" s="4">
        <v>0.53879999999999995</v>
      </c>
      <c r="E34" s="4">
        <f>D34+1.5</f>
        <v>2.0388000000000002</v>
      </c>
      <c r="F34" s="4">
        <v>1.3461000000000001</v>
      </c>
      <c r="G34" s="8"/>
      <c r="H34" s="4">
        <f>1.333</f>
        <v>1.333</v>
      </c>
      <c r="I34" s="4">
        <f>I36*0.1375</f>
        <v>8.6593997080699099E-3</v>
      </c>
      <c r="J34" s="4">
        <f>J36*0.16</f>
        <v>4.9283086732608526E-3</v>
      </c>
      <c r="K34" s="4">
        <f>SUM(H34:J34)</f>
        <v>1.3465877083813307</v>
      </c>
      <c r="L34" s="4">
        <v>0.64515831256346379</v>
      </c>
      <c r="M34" s="4">
        <f>I36*(E37/D37)</f>
        <v>0.2382935896945009</v>
      </c>
      <c r="N34" s="4">
        <f>J36*(E37/D37)</f>
        <v>0.11654809774203528</v>
      </c>
      <c r="O34" s="4">
        <f>SUM(L34:N34)</f>
        <v>1</v>
      </c>
      <c r="P34" s="8"/>
      <c r="Q34" s="137"/>
      <c r="R34" s="137"/>
      <c r="S34" s="137" t="s">
        <v>58</v>
      </c>
      <c r="T34" s="137" t="s">
        <v>10</v>
      </c>
      <c r="U34" s="137" t="s">
        <v>59</v>
      </c>
      <c r="V34" s="8"/>
      <c r="W34" s="343" t="s">
        <v>57</v>
      </c>
      <c r="X34" s="344"/>
      <c r="Y34" s="344"/>
      <c r="Z34" s="344"/>
      <c r="AA34" s="345"/>
      <c r="AB34" s="145"/>
      <c r="AC34" s="145"/>
      <c r="AD34" s="145"/>
      <c r="AE34" s="145"/>
      <c r="AF34" s="8"/>
      <c r="AG34" s="8"/>
      <c r="AH34" s="145"/>
      <c r="AI34" s="8"/>
      <c r="AJ34" s="8"/>
      <c r="AK34" s="11"/>
      <c r="AL34" s="11"/>
      <c r="AM34" s="11"/>
      <c r="AN34" s="11"/>
      <c r="AO34" s="141"/>
      <c r="AP34" s="3"/>
    </row>
    <row r="35" spans="2:54" x14ac:dyDescent="0.3">
      <c r="B35" s="69"/>
      <c r="C35" s="113" t="s">
        <v>8</v>
      </c>
      <c r="D35" s="4">
        <v>0.53920000000000001</v>
      </c>
      <c r="E35" s="4">
        <f>D35+1.5</f>
        <v>2.0392000000000001</v>
      </c>
      <c r="F35" s="63">
        <v>1.3483000000000001</v>
      </c>
      <c r="G35" s="64"/>
      <c r="H35" s="137" t="s">
        <v>48</v>
      </c>
      <c r="I35" s="137" t="s">
        <v>49</v>
      </c>
      <c r="J35" s="137" t="s">
        <v>50</v>
      </c>
      <c r="K35" s="137" t="s">
        <v>12</v>
      </c>
      <c r="L35" s="4"/>
      <c r="M35" s="4"/>
      <c r="N35" s="4"/>
      <c r="O35" s="4"/>
      <c r="P35" s="8"/>
      <c r="Q35" s="346" t="s">
        <v>6</v>
      </c>
      <c r="R35" s="137" t="s">
        <v>13</v>
      </c>
      <c r="S35" s="139">
        <f>K29</f>
        <v>0.12412702595862432</v>
      </c>
      <c r="T35" s="139">
        <f>J29</f>
        <v>0.16800632494399786</v>
      </c>
      <c r="U35" s="139">
        <f>L29</f>
        <v>0.70786664909737773</v>
      </c>
      <c r="V35" s="8"/>
      <c r="W35" s="137"/>
      <c r="X35" s="137" t="s">
        <v>0</v>
      </c>
      <c r="Y35" s="137" t="s">
        <v>52</v>
      </c>
      <c r="Z35" s="137" t="s">
        <v>20</v>
      </c>
      <c r="AA35" s="137" t="s">
        <v>12</v>
      </c>
      <c r="AB35" s="8"/>
      <c r="AC35" s="8"/>
      <c r="AD35" s="8"/>
      <c r="AE35" s="8"/>
      <c r="AF35" s="8"/>
      <c r="AG35" s="8"/>
      <c r="AH35" s="8"/>
      <c r="AI35" s="8"/>
      <c r="AJ35" s="8"/>
      <c r="AK35" s="11"/>
      <c r="AL35" s="11"/>
      <c r="AM35" s="11"/>
      <c r="AN35" s="11"/>
      <c r="AO35" s="141"/>
      <c r="AP35" s="3"/>
    </row>
    <row r="36" spans="2:54" x14ac:dyDescent="0.3">
      <c r="B36" s="69"/>
      <c r="C36" s="113" t="s">
        <v>9</v>
      </c>
      <c r="D36" s="4">
        <v>0.53849999999999998</v>
      </c>
      <c r="E36" s="4">
        <f>D36+1.5</f>
        <v>2.0385</v>
      </c>
      <c r="F36" s="4">
        <v>1.3461000000000001</v>
      </c>
      <c r="G36" s="8"/>
      <c r="H36" s="4">
        <f>(L34*D37+1.5)/E37</f>
        <v>0.90622061836979306</v>
      </c>
      <c r="I36" s="4">
        <v>6.2977452422326607E-2</v>
      </c>
      <c r="J36" s="4">
        <f>1-H36-I36</f>
        <v>3.080192920788033E-2</v>
      </c>
      <c r="K36" s="4">
        <f>SUM(H36:J36)</f>
        <v>1</v>
      </c>
      <c r="L36" s="4"/>
      <c r="M36" s="4"/>
      <c r="N36" s="4"/>
      <c r="O36" s="4"/>
      <c r="P36" s="8"/>
      <c r="Q36" s="346"/>
      <c r="R36" s="137" t="s">
        <v>3</v>
      </c>
      <c r="S36" s="139"/>
      <c r="T36" s="139"/>
      <c r="U36" s="139"/>
      <c r="V36" s="8"/>
      <c r="W36" s="137" t="s">
        <v>6</v>
      </c>
      <c r="X36" s="48">
        <f>D29</f>
        <v>5.0999999999999996</v>
      </c>
      <c r="Y36" s="48">
        <f>E29</f>
        <v>3.7680000000000002</v>
      </c>
      <c r="Z36" s="48">
        <f>F29</f>
        <v>21.488</v>
      </c>
      <c r="AA36" s="48">
        <f>SUM(X36:Z36)</f>
        <v>30.356000000000002</v>
      </c>
      <c r="AB36" s="8"/>
      <c r="AC36" s="8"/>
      <c r="AD36" s="8"/>
      <c r="AE36" s="8"/>
      <c r="AF36" s="8"/>
      <c r="AG36" s="8"/>
      <c r="AH36" s="8"/>
      <c r="AI36" s="8"/>
      <c r="AJ36" s="8"/>
      <c r="AK36" s="11"/>
      <c r="AL36" s="11"/>
      <c r="AM36" s="11"/>
      <c r="AN36" s="11"/>
      <c r="AO36" s="141"/>
      <c r="AP36" s="3"/>
    </row>
    <row r="37" spans="2:54" x14ac:dyDescent="0.3">
      <c r="B37" s="69"/>
      <c r="C37" s="113" t="s">
        <v>13</v>
      </c>
      <c r="D37" s="4">
        <f>AVERAGE(D34:D36)</f>
        <v>0.53883333333333328</v>
      </c>
      <c r="E37" s="4">
        <f>D37+1.5</f>
        <v>2.0388333333333333</v>
      </c>
      <c r="F37" s="4">
        <f>AVERAGE(F34:F36)</f>
        <v>1.3468333333333333</v>
      </c>
      <c r="G37" s="8"/>
      <c r="H37" s="8"/>
      <c r="I37" s="8"/>
      <c r="J37" s="8"/>
      <c r="K37" s="8"/>
      <c r="L37" s="8"/>
      <c r="M37" s="8"/>
      <c r="N37" s="8"/>
      <c r="O37" s="8"/>
      <c r="P37" s="8"/>
      <c r="Q37" s="346" t="s">
        <v>4</v>
      </c>
      <c r="R37" s="137" t="s">
        <v>13</v>
      </c>
      <c r="S37" s="146">
        <f>N34</f>
        <v>0.11654809774203528</v>
      </c>
      <c r="T37" s="146">
        <f>M34</f>
        <v>0.2382935896945009</v>
      </c>
      <c r="U37" s="146">
        <f>L34</f>
        <v>0.64515831256346379</v>
      </c>
      <c r="V37" s="8"/>
      <c r="W37" s="137" t="s">
        <v>4</v>
      </c>
      <c r="X37" s="48">
        <f>T37*$U$19</f>
        <v>4.963734904533017</v>
      </c>
      <c r="Y37" s="48">
        <f>S37*U43</f>
        <v>1.8840000000000003</v>
      </c>
      <c r="Z37" s="48">
        <f>U43*U37</f>
        <v>10.428984122588391</v>
      </c>
      <c r="AA37" s="48">
        <f>SUM(X37:Z37)</f>
        <v>17.276719027121409</v>
      </c>
      <c r="AB37" s="8"/>
      <c r="AC37" s="8"/>
      <c r="AD37" s="8"/>
      <c r="AE37" s="8"/>
      <c r="AF37" s="8"/>
      <c r="AG37" s="8"/>
      <c r="AH37" s="8"/>
      <c r="AI37" s="8"/>
      <c r="AJ37" s="8"/>
      <c r="AK37" s="11"/>
      <c r="AL37" s="11"/>
      <c r="AM37" s="11"/>
      <c r="AN37" s="11"/>
      <c r="AO37" s="141"/>
      <c r="AP37" s="3"/>
    </row>
    <row r="38" spans="2:54" x14ac:dyDescent="0.3">
      <c r="B38" s="69"/>
      <c r="C38" s="132" t="s">
        <v>3</v>
      </c>
      <c r="D38" s="88">
        <f>_xlfn.STDEV.S(D34:D36)</f>
        <v>3.5118845842844391E-4</v>
      </c>
      <c r="E38" s="88">
        <f>_xlfn.STDEV.S(E34:E36)</f>
        <v>3.5118845842849135E-4</v>
      </c>
      <c r="F38" s="88">
        <f>_xlfn.STDEV.S(F34:F36)</f>
        <v>1.270170592217165E-3</v>
      </c>
      <c r="G38" s="8"/>
      <c r="H38" s="8"/>
      <c r="I38" s="8"/>
      <c r="J38" s="8"/>
      <c r="K38" s="8"/>
      <c r="L38" s="8"/>
      <c r="M38" s="8"/>
      <c r="N38" s="8"/>
      <c r="O38" s="8"/>
      <c r="P38" s="8"/>
      <c r="Q38" s="346"/>
      <c r="R38" s="137" t="s">
        <v>3</v>
      </c>
      <c r="S38" s="139"/>
      <c r="T38" s="139"/>
      <c r="U38" s="139"/>
      <c r="V38" s="8"/>
      <c r="W38" s="137" t="s">
        <v>5</v>
      </c>
      <c r="X38" s="48">
        <f>X36-X37</f>
        <v>0.13626509546698262</v>
      </c>
      <c r="Y38" s="48">
        <f>Y36-Y37</f>
        <v>1.8839999999999999</v>
      </c>
      <c r="Z38" s="48">
        <f>U45*U39</f>
        <v>10.236858421017539</v>
      </c>
      <c r="AA38" s="48">
        <f>SUM(X38:Z38)</f>
        <v>12.257123516484521</v>
      </c>
      <c r="AB38" s="8"/>
      <c r="AC38" s="8"/>
      <c r="AD38" s="8"/>
      <c r="AE38" s="8"/>
      <c r="AF38" s="8"/>
      <c r="AG38" s="8"/>
      <c r="AH38" s="8"/>
      <c r="AI38" s="8"/>
      <c r="AJ38" s="8"/>
      <c r="AK38" s="11"/>
      <c r="AL38" s="11"/>
      <c r="AM38" s="11"/>
      <c r="AN38" s="11"/>
      <c r="AO38" s="141"/>
      <c r="AP38" s="3"/>
    </row>
    <row r="39" spans="2:54" x14ac:dyDescent="0.3">
      <c r="B39" s="69"/>
      <c r="C39" s="87"/>
      <c r="D39" s="89"/>
      <c r="E39" s="89"/>
      <c r="F39" s="89"/>
      <c r="G39" s="8"/>
      <c r="H39" s="8"/>
      <c r="I39" s="8"/>
      <c r="J39" s="8"/>
      <c r="K39" s="8"/>
      <c r="L39" s="8"/>
      <c r="M39" s="8"/>
      <c r="N39" s="8"/>
      <c r="O39" s="8"/>
      <c r="P39" s="8"/>
      <c r="Q39" s="346" t="s">
        <v>5</v>
      </c>
      <c r="R39" s="137" t="s">
        <v>13</v>
      </c>
      <c r="S39" s="139">
        <f>N42</f>
        <v>0.14762716179748839</v>
      </c>
      <c r="T39" s="139">
        <f>M42</f>
        <v>6.9101645182380322E-2</v>
      </c>
      <c r="U39" s="139">
        <f>L42</f>
        <v>0.78327119302013148</v>
      </c>
      <c r="V39" s="8"/>
      <c r="W39" s="137" t="s">
        <v>62</v>
      </c>
      <c r="X39" s="48">
        <f>SUM(X37:X38)</f>
        <v>5.0999999999999996</v>
      </c>
      <c r="Y39" s="48">
        <f>SUM(Y37:Y38)</f>
        <v>3.7680000000000002</v>
      </c>
      <c r="Z39" s="48">
        <f>SUM(Z37:Z38)</f>
        <v>20.66584254360593</v>
      </c>
      <c r="AA39" s="48">
        <f>SUM(X39:Z39)</f>
        <v>29.533842543605928</v>
      </c>
      <c r="AB39" s="8"/>
      <c r="AC39" s="8"/>
      <c r="AD39" s="8"/>
      <c r="AE39" s="8"/>
      <c r="AF39" s="8"/>
      <c r="AG39" s="8"/>
      <c r="AH39" s="8"/>
      <c r="AI39" s="8"/>
      <c r="AJ39" s="8"/>
      <c r="AK39" s="11"/>
      <c r="AL39" s="11"/>
      <c r="AM39" s="11"/>
      <c r="AN39" s="11"/>
      <c r="AO39" s="141"/>
      <c r="AP39" s="3"/>
    </row>
    <row r="40" spans="2:54" x14ac:dyDescent="0.3">
      <c r="B40" s="69"/>
      <c r="C40" s="21"/>
      <c r="D40" s="147"/>
      <c r="E40" s="147"/>
      <c r="F40" s="147"/>
      <c r="G40" s="8"/>
      <c r="H40" s="347" t="s">
        <v>131</v>
      </c>
      <c r="I40" s="347"/>
      <c r="J40" s="347"/>
      <c r="K40" s="8"/>
      <c r="L40" s="8"/>
      <c r="M40" s="8"/>
      <c r="N40" s="8"/>
      <c r="O40" s="8"/>
      <c r="P40" s="8"/>
      <c r="Q40" s="346"/>
      <c r="R40" s="137" t="s">
        <v>3</v>
      </c>
      <c r="S40" s="139"/>
      <c r="T40" s="139"/>
      <c r="U40" s="146"/>
      <c r="V40" s="8"/>
      <c r="W40" s="156"/>
      <c r="X40" s="8"/>
      <c r="Y40" s="8"/>
      <c r="Z40" s="8"/>
      <c r="AA40" s="8"/>
      <c r="AB40" s="8"/>
      <c r="AC40" s="8"/>
      <c r="AD40" s="8"/>
      <c r="AE40" s="8"/>
      <c r="AF40" s="8"/>
      <c r="AG40" s="8"/>
      <c r="AH40" s="8"/>
      <c r="AI40" s="8"/>
      <c r="AJ40" s="8"/>
      <c r="AK40" s="11"/>
      <c r="AL40" s="11"/>
      <c r="AM40" s="11"/>
      <c r="AN40" s="11"/>
      <c r="AO40" s="141"/>
      <c r="AP40" s="3"/>
      <c r="AW40" s="7"/>
      <c r="AX40" s="7"/>
      <c r="AY40" s="7"/>
      <c r="AZ40" s="7"/>
      <c r="BA40" s="7"/>
      <c r="BB40" s="7"/>
    </row>
    <row r="41" spans="2:54" x14ac:dyDescent="0.3">
      <c r="B41" s="69"/>
      <c r="C41" s="120" t="s">
        <v>5</v>
      </c>
      <c r="D41" s="148" t="s">
        <v>14</v>
      </c>
      <c r="E41" s="148" t="s">
        <v>17</v>
      </c>
      <c r="F41" s="148" t="s">
        <v>15</v>
      </c>
      <c r="G41" s="8"/>
      <c r="H41" s="137" t="s">
        <v>54</v>
      </c>
      <c r="I41" s="137" t="s">
        <v>55</v>
      </c>
      <c r="J41" s="137" t="s">
        <v>56</v>
      </c>
      <c r="K41" s="137" t="s">
        <v>12</v>
      </c>
      <c r="L41" s="137" t="s">
        <v>48</v>
      </c>
      <c r="M41" s="137" t="s">
        <v>49</v>
      </c>
      <c r="N41" s="137" t="s">
        <v>50</v>
      </c>
      <c r="O41" s="137" t="s">
        <v>12</v>
      </c>
      <c r="P41" s="8"/>
      <c r="Q41" s="8"/>
      <c r="R41" s="8"/>
      <c r="S41" s="8"/>
      <c r="T41" s="8"/>
      <c r="U41" s="8"/>
      <c r="V41" s="8"/>
      <c r="W41" s="137" t="s">
        <v>63</v>
      </c>
      <c r="X41" s="137" t="s">
        <v>64</v>
      </c>
      <c r="Y41" s="137" t="s">
        <v>65</v>
      </c>
      <c r="Z41" s="137" t="s">
        <v>66</v>
      </c>
      <c r="AA41" s="137" t="s">
        <v>121</v>
      </c>
      <c r="AB41" s="8" t="s">
        <v>122</v>
      </c>
      <c r="AC41" s="8"/>
      <c r="AD41" s="8"/>
      <c r="AE41" s="8"/>
      <c r="AF41" s="8"/>
      <c r="AG41" s="8"/>
      <c r="AH41" s="8"/>
      <c r="AI41" s="8"/>
      <c r="AJ41" s="8"/>
      <c r="AK41" s="11"/>
      <c r="AL41" s="11"/>
      <c r="AM41" s="11"/>
      <c r="AN41" s="11"/>
      <c r="AO41" s="141"/>
      <c r="AP41" s="3"/>
      <c r="AW41" s="7"/>
      <c r="AX41" s="7"/>
      <c r="AY41" s="7"/>
      <c r="AZ41" s="7"/>
      <c r="BA41" s="7"/>
      <c r="BB41" s="7"/>
    </row>
    <row r="42" spans="2:54" x14ac:dyDescent="0.3">
      <c r="B42" s="69"/>
      <c r="C42" s="113" t="s">
        <v>7</v>
      </c>
      <c r="D42" s="4">
        <v>0.56799999999999995</v>
      </c>
      <c r="E42" s="4">
        <f>D42+1.5</f>
        <v>2.0680000000000001</v>
      </c>
      <c r="F42" s="4">
        <v>1.3421000000000001</v>
      </c>
      <c r="G42" s="8"/>
      <c r="H42" s="4">
        <f>1.333</f>
        <v>1.333</v>
      </c>
      <c r="I42" s="4">
        <f>I44*0.1375</f>
        <v>2.6104673069738287E-3</v>
      </c>
      <c r="J42" s="4">
        <f>J44*0.16</f>
        <v>6.4895327146499504E-3</v>
      </c>
      <c r="K42" s="4">
        <f>SUM(H42:J42)</f>
        <v>1.3421000000216237</v>
      </c>
      <c r="L42" s="4">
        <v>0.78327119302013148</v>
      </c>
      <c r="M42" s="4">
        <f>I44*(E45/D45)</f>
        <v>6.9101645182380322E-2</v>
      </c>
      <c r="N42" s="4">
        <f>J44*(E45/D45)</f>
        <v>0.14762716179748839</v>
      </c>
      <c r="O42" s="4">
        <f>SUM(L42:N42)</f>
        <v>1.0000000000000002</v>
      </c>
      <c r="P42" s="8"/>
      <c r="Q42" s="137"/>
      <c r="R42" s="137"/>
      <c r="S42" s="137" t="s">
        <v>23</v>
      </c>
      <c r="T42" s="137" t="s">
        <v>60</v>
      </c>
      <c r="U42" s="137" t="s">
        <v>61</v>
      </c>
      <c r="V42" s="8"/>
      <c r="W42" s="4">
        <f>(K42-F45)^2/F45</f>
        <v>3.4839410073268963E-22</v>
      </c>
      <c r="X42" s="4">
        <f>(K34-F37)^2/F37</f>
        <v>4.4795161771786259E-8</v>
      </c>
      <c r="Y42" s="4">
        <f>(AA37-U43)^2/U43</f>
        <v>7.6456492128906539E-2</v>
      </c>
      <c r="Z42" s="4">
        <f>(AA38-U45)^2/U45</f>
        <v>5.0479793844982072E-2</v>
      </c>
      <c r="AA42" s="4">
        <f>SUM(W42:Z42)</f>
        <v>0.12693633076905039</v>
      </c>
      <c r="AB42" s="8"/>
      <c r="AC42" s="8"/>
      <c r="AD42" s="8"/>
      <c r="AE42" s="8"/>
      <c r="AF42" s="8"/>
      <c r="AG42" s="8"/>
      <c r="AH42" s="8"/>
      <c r="AI42" s="8"/>
      <c r="AJ42" s="8"/>
      <c r="AK42" s="11"/>
      <c r="AL42" s="11"/>
      <c r="AM42" s="11"/>
      <c r="AN42" s="11"/>
      <c r="AO42" s="141"/>
      <c r="AP42" s="3"/>
      <c r="AW42" s="7"/>
      <c r="AX42" s="7"/>
      <c r="AY42" s="7"/>
      <c r="AZ42" s="7"/>
      <c r="BA42" s="7"/>
      <c r="BB42" s="7"/>
    </row>
    <row r="43" spans="2:54" x14ac:dyDescent="0.3">
      <c r="B43" s="69"/>
      <c r="C43" s="113" t="s">
        <v>8</v>
      </c>
      <c r="D43" s="4">
        <v>0.56850000000000001</v>
      </c>
      <c r="E43" s="4">
        <f>D43+1.5</f>
        <v>2.0685000000000002</v>
      </c>
      <c r="F43" s="4">
        <v>1.3421000000000001</v>
      </c>
      <c r="G43" s="8"/>
      <c r="H43" s="137" t="s">
        <v>48</v>
      </c>
      <c r="I43" s="137" t="s">
        <v>49</v>
      </c>
      <c r="J43" s="137" t="s">
        <v>50</v>
      </c>
      <c r="K43" s="137" t="s">
        <v>12</v>
      </c>
      <c r="L43" s="4"/>
      <c r="M43" s="4"/>
      <c r="N43" s="4"/>
      <c r="O43" s="4"/>
      <c r="P43" s="8"/>
      <c r="Q43" s="346" t="s">
        <v>4</v>
      </c>
      <c r="R43" s="137" t="s">
        <v>13</v>
      </c>
      <c r="S43" s="4">
        <f>AVERAGE(D34:D36)*2</f>
        <v>1.0776666666666666</v>
      </c>
      <c r="T43" s="4">
        <v>15</v>
      </c>
      <c r="U43" s="4">
        <f>S43*T43</f>
        <v>16.164999999999999</v>
      </c>
      <c r="V43" s="8"/>
      <c r="W43" s="8"/>
      <c r="X43" s="8"/>
      <c r="Y43" s="8"/>
      <c r="Z43" s="8"/>
      <c r="AA43" s="8"/>
      <c r="AB43" s="8"/>
      <c r="AC43" s="8"/>
      <c r="AD43" s="8"/>
      <c r="AE43" s="8"/>
      <c r="AF43" s="8"/>
      <c r="AG43" s="8"/>
      <c r="AH43" s="8"/>
      <c r="AI43" s="8"/>
      <c r="AJ43" s="8"/>
      <c r="AK43" s="11"/>
      <c r="AL43" s="11"/>
      <c r="AM43" s="11"/>
      <c r="AN43" s="11"/>
      <c r="AO43" s="141"/>
      <c r="AP43" s="3"/>
      <c r="AW43" s="7"/>
      <c r="AX43" s="7"/>
      <c r="AY43" s="7"/>
      <c r="AZ43" s="7"/>
      <c r="BA43" s="7"/>
      <c r="BB43" s="7"/>
    </row>
    <row r="44" spans="2:54" x14ac:dyDescent="0.3">
      <c r="B44" s="69"/>
      <c r="C44" s="113" t="s">
        <v>9</v>
      </c>
      <c r="D44" s="4">
        <v>0.56820000000000004</v>
      </c>
      <c r="E44" s="4">
        <f>D44+1.5</f>
        <v>2.0682</v>
      </c>
      <c r="F44" s="4">
        <v>1.3421000000000001</v>
      </c>
      <c r="G44" s="8"/>
      <c r="H44" s="4">
        <f>(L42*D45+1.5)/E45</f>
        <v>0.94045520375544633</v>
      </c>
      <c r="I44" s="4">
        <v>1.8985216777991479E-2</v>
      </c>
      <c r="J44" s="4">
        <f>1-H44-I44</f>
        <v>4.055957946656219E-2</v>
      </c>
      <c r="K44" s="4"/>
      <c r="L44" s="4"/>
      <c r="M44" s="4"/>
      <c r="N44" s="4"/>
      <c r="O44" s="4"/>
      <c r="P44" s="8"/>
      <c r="Q44" s="346"/>
      <c r="R44" s="137" t="s">
        <v>3</v>
      </c>
      <c r="S44" s="4">
        <f>D38*2</f>
        <v>7.0237691685688783E-4</v>
      </c>
      <c r="T44" s="4"/>
      <c r="U44" s="4"/>
      <c r="V44" s="8"/>
      <c r="W44" s="8"/>
      <c r="X44" s="8"/>
      <c r="Y44" s="8"/>
      <c r="Z44" s="8"/>
      <c r="AA44" s="8"/>
      <c r="AB44" s="8"/>
      <c r="AC44" s="8"/>
      <c r="AD44" s="8"/>
      <c r="AE44" s="8"/>
      <c r="AF44" s="8"/>
      <c r="AG44" s="8"/>
      <c r="AH44" s="8"/>
      <c r="AI44" s="8"/>
      <c r="AJ44" s="8"/>
      <c r="AK44" s="11"/>
      <c r="AL44" s="11"/>
      <c r="AM44" s="11"/>
      <c r="AN44" s="11"/>
      <c r="AO44" s="141"/>
      <c r="AP44" s="3"/>
      <c r="AW44" s="7"/>
      <c r="AX44" s="7"/>
      <c r="AY44" s="7"/>
      <c r="AZ44" s="7"/>
      <c r="BA44" s="7"/>
      <c r="BB44" s="7"/>
    </row>
    <row r="45" spans="2:54" x14ac:dyDescent="0.3">
      <c r="B45" s="69"/>
      <c r="C45" s="113" t="s">
        <v>13</v>
      </c>
      <c r="D45" s="4">
        <f>AVERAGE(D42:D44)</f>
        <v>0.56823333333333326</v>
      </c>
      <c r="E45" s="4">
        <f>D45+1.5</f>
        <v>2.0682333333333331</v>
      </c>
      <c r="F45" s="4">
        <f>AVERAGE(F42:F44)</f>
        <v>1.3421000000000001</v>
      </c>
      <c r="G45" s="8"/>
      <c r="H45" s="8"/>
      <c r="I45" s="8"/>
      <c r="J45" s="8"/>
      <c r="K45" s="8"/>
      <c r="L45" s="8"/>
      <c r="M45" s="8"/>
      <c r="N45" s="8"/>
      <c r="O45" s="8"/>
      <c r="P45" s="8"/>
      <c r="Q45" s="346" t="s">
        <v>5</v>
      </c>
      <c r="R45" s="137" t="s">
        <v>13</v>
      </c>
      <c r="S45" s="4">
        <f>AVERAGE(D42:D44)*2</f>
        <v>1.1364666666666665</v>
      </c>
      <c r="T45" s="4">
        <v>11.5</v>
      </c>
      <c r="U45" s="4">
        <f>S45*T45</f>
        <v>13.069366666666665</v>
      </c>
      <c r="V45" s="8"/>
      <c r="W45" s="8"/>
      <c r="X45" s="8"/>
      <c r="Y45" s="8"/>
      <c r="Z45" s="8"/>
      <c r="AA45" s="8"/>
      <c r="AB45" s="8"/>
      <c r="AC45" s="8"/>
      <c r="AD45" s="8"/>
      <c r="AE45" s="8"/>
      <c r="AF45" s="8"/>
      <c r="AG45" s="8"/>
      <c r="AH45" s="8"/>
      <c r="AI45" s="8"/>
      <c r="AJ45" s="8"/>
      <c r="AK45" s="11"/>
      <c r="AL45" s="11"/>
      <c r="AM45" s="11"/>
      <c r="AN45" s="11"/>
      <c r="AO45" s="141"/>
      <c r="AP45" s="3"/>
      <c r="AW45" s="7"/>
      <c r="AX45" s="7"/>
      <c r="AY45" s="7"/>
      <c r="AZ45" s="7"/>
      <c r="BA45" s="7"/>
      <c r="BB45" s="7"/>
    </row>
    <row r="46" spans="2:54" x14ac:dyDescent="0.3">
      <c r="B46" s="69"/>
      <c r="C46" s="113" t="s">
        <v>3</v>
      </c>
      <c r="D46" s="4">
        <f>_xlfn.STDEV.S(D42:D44)</f>
        <v>2.5166114784238208E-4</v>
      </c>
      <c r="E46" s="4">
        <f>_xlfn.STDEV.S(E42:E44)</f>
        <v>2.5166114784244827E-4</v>
      </c>
      <c r="F46" s="4">
        <f>_xlfn.STDEV.S(F42:F44)</f>
        <v>0</v>
      </c>
      <c r="G46" s="8"/>
      <c r="H46" s="8"/>
      <c r="I46" s="8"/>
      <c r="J46" s="8"/>
      <c r="K46" s="8"/>
      <c r="L46" s="8"/>
      <c r="M46" s="8"/>
      <c r="N46" s="8"/>
      <c r="O46" s="8"/>
      <c r="P46" s="8"/>
      <c r="Q46" s="346"/>
      <c r="R46" s="137" t="s">
        <v>3</v>
      </c>
      <c r="S46" s="4">
        <f>D46*2</f>
        <v>5.0332229568476417E-4</v>
      </c>
      <c r="T46" s="4"/>
      <c r="U46" s="4"/>
      <c r="V46" s="8"/>
      <c r="W46" s="8"/>
      <c r="X46" s="8"/>
      <c r="Y46" s="8"/>
      <c r="Z46" s="8"/>
      <c r="AA46" s="8"/>
      <c r="AB46" s="8"/>
      <c r="AC46" s="8"/>
      <c r="AD46" s="8"/>
      <c r="AE46" s="8"/>
      <c r="AF46" s="8"/>
      <c r="AG46" s="8"/>
      <c r="AH46" s="8"/>
      <c r="AI46" s="8"/>
      <c r="AJ46" s="8"/>
      <c r="AK46" s="11"/>
      <c r="AL46" s="11"/>
      <c r="AM46" s="11"/>
      <c r="AN46" s="11"/>
      <c r="AO46" s="141"/>
      <c r="AP46" s="3"/>
      <c r="AW46" s="7"/>
      <c r="AX46" s="7"/>
      <c r="AY46" s="7"/>
      <c r="AZ46" s="7"/>
      <c r="BA46" s="7"/>
      <c r="BB46" s="7"/>
    </row>
    <row r="47" spans="2:54" ht="15" thickBot="1" x14ac:dyDescent="0.35">
      <c r="B47" s="71"/>
      <c r="C47" s="16"/>
      <c r="D47" s="73"/>
      <c r="E47" s="73"/>
      <c r="F47" s="73"/>
      <c r="G47" s="73"/>
      <c r="H47" s="73"/>
      <c r="I47" s="73"/>
      <c r="J47" s="73"/>
      <c r="K47" s="73"/>
      <c r="L47" s="73"/>
      <c r="M47" s="73"/>
      <c r="N47" s="73"/>
      <c r="O47" s="73"/>
      <c r="P47" s="73"/>
      <c r="Q47" s="149"/>
      <c r="R47" s="73"/>
      <c r="S47" s="73"/>
      <c r="T47" s="73"/>
      <c r="U47" s="73"/>
      <c r="V47" s="73"/>
      <c r="W47" s="73"/>
      <c r="X47" s="73"/>
      <c r="Y47" s="73"/>
      <c r="Z47" s="73"/>
      <c r="AA47" s="73"/>
      <c r="AB47" s="73"/>
      <c r="AC47" s="73"/>
      <c r="AD47" s="73"/>
      <c r="AE47" s="73"/>
      <c r="AF47" s="73"/>
      <c r="AG47" s="73"/>
      <c r="AH47" s="73"/>
      <c r="AI47" s="73"/>
      <c r="AJ47" s="73"/>
      <c r="AK47" s="164"/>
      <c r="AL47" s="164"/>
      <c r="AM47" s="164"/>
      <c r="AN47" s="164"/>
      <c r="AO47" s="150"/>
      <c r="AP47" s="3"/>
      <c r="AW47" s="7"/>
      <c r="AX47" s="7"/>
      <c r="AY47" s="7"/>
      <c r="AZ47" s="7"/>
      <c r="BA47" s="7"/>
      <c r="BB47" s="7"/>
    </row>
    <row r="48" spans="2:54" ht="15" thickBot="1" x14ac:dyDescent="0.35">
      <c r="B48" s="76" t="s">
        <v>125</v>
      </c>
      <c r="C48" s="66"/>
      <c r="D48" s="67"/>
      <c r="E48" s="67"/>
      <c r="F48" s="67"/>
      <c r="G48" s="67"/>
      <c r="H48" s="67"/>
      <c r="I48" s="67"/>
      <c r="J48" s="67"/>
      <c r="K48" s="67"/>
      <c r="L48" s="67"/>
      <c r="M48" s="67"/>
      <c r="N48" s="67"/>
      <c r="O48" s="67"/>
      <c r="P48" s="67"/>
      <c r="Q48" s="151"/>
      <c r="R48" s="67"/>
      <c r="S48" s="67"/>
      <c r="T48" s="67"/>
      <c r="U48" s="67"/>
      <c r="V48" s="67"/>
      <c r="W48" s="67"/>
      <c r="X48" s="67"/>
      <c r="Y48" s="67"/>
      <c r="Z48" s="67"/>
      <c r="AA48" s="67"/>
      <c r="AB48" s="67"/>
      <c r="AC48" s="67"/>
      <c r="AD48" s="67"/>
      <c r="AE48" s="67"/>
      <c r="AF48" s="67"/>
      <c r="AG48" s="67"/>
      <c r="AH48" s="67"/>
      <c r="AI48" s="67"/>
      <c r="AJ48" s="67"/>
      <c r="AK48" s="165"/>
      <c r="AL48" s="165"/>
      <c r="AM48" s="165"/>
      <c r="AN48" s="165"/>
      <c r="AO48" s="152"/>
      <c r="AP48" s="3"/>
      <c r="AW48" s="7"/>
      <c r="AX48" s="7"/>
      <c r="AY48" s="7"/>
      <c r="AZ48" s="7"/>
      <c r="BA48" s="7"/>
      <c r="BB48" s="7"/>
    </row>
    <row r="49" spans="2:54" x14ac:dyDescent="0.3">
      <c r="B49" s="69"/>
      <c r="C49" s="1"/>
      <c r="D49" s="8"/>
      <c r="E49" s="8"/>
      <c r="F49" s="8"/>
      <c r="G49" s="8"/>
      <c r="H49" s="8"/>
      <c r="I49" s="8"/>
      <c r="J49" s="8"/>
      <c r="K49" s="8"/>
      <c r="L49" s="8"/>
      <c r="M49" s="8"/>
      <c r="N49" s="8"/>
      <c r="O49" s="8"/>
      <c r="P49" s="8"/>
      <c r="Q49" s="8"/>
      <c r="R49" s="8"/>
      <c r="S49" s="8"/>
      <c r="T49" s="8"/>
      <c r="U49" s="8"/>
      <c r="V49" s="8"/>
      <c r="W49" s="8"/>
      <c r="X49" s="8"/>
      <c r="Y49" s="8"/>
      <c r="Z49" s="8"/>
      <c r="AA49" s="8"/>
      <c r="AB49" s="8"/>
      <c r="AC49" s="8"/>
      <c r="AD49" s="153"/>
      <c r="AE49" s="336" t="s">
        <v>57</v>
      </c>
      <c r="AF49" s="336"/>
      <c r="AG49" s="336"/>
      <c r="AH49" s="336"/>
      <c r="AI49" s="341" t="s">
        <v>117</v>
      </c>
      <c r="AJ49" s="342"/>
      <c r="AK49" s="337" t="s">
        <v>77</v>
      </c>
      <c r="AL49" s="337"/>
      <c r="AM49" s="337"/>
      <c r="AN49" s="338"/>
      <c r="AO49" s="141"/>
      <c r="AP49" s="3"/>
      <c r="AW49" s="7"/>
      <c r="AX49" s="7"/>
      <c r="AY49" s="7"/>
      <c r="AZ49" s="7"/>
      <c r="BA49" s="7"/>
      <c r="BB49" s="7"/>
    </row>
    <row r="50" spans="2:54" x14ac:dyDescent="0.3">
      <c r="B50" s="69"/>
      <c r="C50" s="1"/>
      <c r="D50" s="8"/>
      <c r="E50" s="8"/>
      <c r="F50" s="8"/>
      <c r="G50" s="8"/>
      <c r="H50" s="8"/>
      <c r="I50" s="8"/>
      <c r="J50" s="8"/>
      <c r="K50" s="8"/>
      <c r="L50" s="8"/>
      <c r="M50" s="8"/>
      <c r="N50" s="8"/>
      <c r="O50" s="8"/>
      <c r="P50" s="8"/>
      <c r="Q50" s="8"/>
      <c r="R50" s="8"/>
      <c r="S50" s="8"/>
      <c r="T50" s="154" t="s">
        <v>111</v>
      </c>
      <c r="U50" s="154" t="s">
        <v>112</v>
      </c>
      <c r="V50" s="154" t="s">
        <v>71</v>
      </c>
      <c r="W50" s="154" t="s">
        <v>72</v>
      </c>
      <c r="X50" s="8"/>
      <c r="Y50" s="137"/>
      <c r="Z50" s="137" t="s">
        <v>68</v>
      </c>
      <c r="AA50" s="137" t="s">
        <v>67</v>
      </c>
      <c r="AB50" s="137" t="s">
        <v>73</v>
      </c>
      <c r="AC50" s="8"/>
      <c r="AD50" s="140"/>
      <c r="AE50" s="155" t="s">
        <v>0</v>
      </c>
      <c r="AF50" s="155" t="s">
        <v>52</v>
      </c>
      <c r="AG50" s="155" t="s">
        <v>20</v>
      </c>
      <c r="AH50" s="155" t="s">
        <v>12</v>
      </c>
      <c r="AI50" s="156" t="s">
        <v>15</v>
      </c>
      <c r="AJ50" s="156" t="s">
        <v>76</v>
      </c>
      <c r="AK50" s="166" t="s">
        <v>0</v>
      </c>
      <c r="AL50" s="166" t="s">
        <v>52</v>
      </c>
      <c r="AM50" s="166" t="s">
        <v>20</v>
      </c>
      <c r="AN50" s="166" t="s">
        <v>12</v>
      </c>
      <c r="AO50" s="141"/>
      <c r="AP50" s="3"/>
      <c r="AW50" s="7"/>
      <c r="AX50" s="7"/>
      <c r="AY50" s="7"/>
      <c r="AZ50" s="7"/>
      <c r="BA50" s="7"/>
      <c r="BB50" s="7"/>
    </row>
    <row r="51" spans="2:54" x14ac:dyDescent="0.3">
      <c r="B51" s="69"/>
      <c r="C51" s="113"/>
      <c r="D51" s="346" t="s">
        <v>57</v>
      </c>
      <c r="E51" s="346"/>
      <c r="F51" s="346"/>
      <c r="G51" s="158"/>
      <c r="H51" s="145"/>
      <c r="I51" s="137"/>
      <c r="J51" s="158" t="s">
        <v>11</v>
      </c>
      <c r="K51" s="158"/>
      <c r="L51" s="137"/>
      <c r="M51" s="8"/>
      <c r="N51" s="8"/>
      <c r="O51" s="8"/>
      <c r="P51" s="8"/>
      <c r="Q51" s="8"/>
      <c r="R51" s="8"/>
      <c r="S51" s="8"/>
      <c r="T51" s="154">
        <v>0.13750000000000001</v>
      </c>
      <c r="U51" s="154">
        <v>0.16</v>
      </c>
      <c r="V51" s="154">
        <f>F61</f>
        <v>1.3479333333333334</v>
      </c>
      <c r="W51" s="154">
        <f>F69</f>
        <v>1.3440000000000001</v>
      </c>
      <c r="X51" s="8"/>
      <c r="Y51" s="137" t="s">
        <v>6</v>
      </c>
      <c r="Z51" s="49">
        <f>J53</f>
        <v>0.18742601604629752</v>
      </c>
      <c r="AA51" s="49">
        <f>K53</f>
        <v>0.14421938708404577</v>
      </c>
      <c r="AB51" s="49">
        <f>L53</f>
        <v>0.6683545968696567</v>
      </c>
      <c r="AC51" s="8"/>
      <c r="AD51" s="140" t="s">
        <v>6</v>
      </c>
      <c r="AE51" s="48">
        <f>Z51*$AH51</f>
        <v>5.7</v>
      </c>
      <c r="AF51" s="48">
        <f>AA51*$AH51</f>
        <v>4.3860000000000001</v>
      </c>
      <c r="AG51" s="48">
        <f>AB51*$AH51</f>
        <v>20.326000000000001</v>
      </c>
      <c r="AH51" s="48">
        <f>AA60</f>
        <v>30.411999999999999</v>
      </c>
      <c r="AI51" s="48" t="s">
        <v>109</v>
      </c>
      <c r="AJ51" s="48" t="s">
        <v>109</v>
      </c>
      <c r="AK51" s="49">
        <f t="shared" ref="AK51:AN54" si="6">AE51/$AH51</f>
        <v>0.18742601604629752</v>
      </c>
      <c r="AL51" s="49">
        <f t="shared" si="6"/>
        <v>0.14421938708404577</v>
      </c>
      <c r="AM51" s="49">
        <f t="shared" si="6"/>
        <v>0.6683545968696567</v>
      </c>
      <c r="AN51" s="49">
        <f t="shared" si="6"/>
        <v>1</v>
      </c>
      <c r="AO51" s="141"/>
      <c r="AP51" s="3"/>
      <c r="AW51" s="7"/>
      <c r="AX51" s="7"/>
      <c r="AY51" s="7"/>
      <c r="AZ51" s="7"/>
      <c r="BA51" s="7"/>
      <c r="BB51" s="7"/>
    </row>
    <row r="52" spans="2:54" x14ac:dyDescent="0.3">
      <c r="B52" s="69"/>
      <c r="C52" s="113" t="s">
        <v>6</v>
      </c>
      <c r="D52" s="156" t="s">
        <v>0</v>
      </c>
      <c r="E52" s="137" t="s">
        <v>52</v>
      </c>
      <c r="F52" s="159" t="s">
        <v>20</v>
      </c>
      <c r="G52" s="137" t="s">
        <v>12</v>
      </c>
      <c r="H52" s="8"/>
      <c r="I52" s="137" t="s">
        <v>6</v>
      </c>
      <c r="J52" s="137" t="s">
        <v>10</v>
      </c>
      <c r="K52" s="137" t="s">
        <v>58</v>
      </c>
      <c r="L52" s="137" t="s">
        <v>59</v>
      </c>
      <c r="M52" s="8"/>
      <c r="N52" s="8"/>
      <c r="O52" s="8"/>
      <c r="P52" s="8"/>
      <c r="Q52" s="8"/>
      <c r="R52" s="8"/>
      <c r="S52" s="8"/>
      <c r="T52" s="8"/>
      <c r="U52" s="8"/>
      <c r="V52" s="8"/>
      <c r="W52" s="8"/>
      <c r="X52" s="8"/>
      <c r="Y52" s="137" t="s">
        <v>4</v>
      </c>
      <c r="Z52" s="49">
        <v>9.3916703466023169E-2</v>
      </c>
      <c r="AA52" s="49">
        <v>1.1417818140559937E-2</v>
      </c>
      <c r="AB52" s="49">
        <f>1-AA52-Z52</f>
        <v>0.89466547839341681</v>
      </c>
      <c r="AC52" s="8"/>
      <c r="AD52" s="140" t="s">
        <v>4</v>
      </c>
      <c r="AE52" s="48">
        <f>Z52*$AH52*E61/D61</f>
        <v>5.5575647553968714</v>
      </c>
      <c r="AF52" s="48">
        <f>AA52*$AH52*E61/D61</f>
        <v>0.67565471678276656</v>
      </c>
      <c r="AG52" s="48">
        <f>AH52-AE52-AF52</f>
        <v>9.442247194487031</v>
      </c>
      <c r="AH52" s="48">
        <f>U67</f>
        <v>15.675466666666669</v>
      </c>
      <c r="AI52" s="48">
        <f>Z52*$T$3+AA52*$U$3+1.333</f>
        <v>1.3477403976290678</v>
      </c>
      <c r="AJ52" s="48">
        <f>(V51-AI52)^2/V51</f>
        <v>2.761574705509272E-8</v>
      </c>
      <c r="AK52" s="49">
        <f t="shared" si="6"/>
        <v>0.35453903054859848</v>
      </c>
      <c r="AL52" s="49">
        <f t="shared" si="6"/>
        <v>4.3102685945517825E-2</v>
      </c>
      <c r="AM52" s="49">
        <f t="shared" si="6"/>
        <v>0.60235828350588372</v>
      </c>
      <c r="AN52" s="49">
        <f t="shared" si="6"/>
        <v>1</v>
      </c>
      <c r="AO52" s="141"/>
      <c r="AP52" s="3"/>
      <c r="AW52" s="7"/>
      <c r="AX52" s="7"/>
      <c r="AY52" s="7"/>
      <c r="AZ52" s="7"/>
      <c r="BA52" s="7"/>
      <c r="BB52" s="7"/>
    </row>
    <row r="53" spans="2:54" x14ac:dyDescent="0.3">
      <c r="B53" s="69"/>
      <c r="C53" s="113" t="s">
        <v>7</v>
      </c>
      <c r="D53" s="4">
        <v>5.7</v>
      </c>
      <c r="E53" s="4">
        <f>4.2+0.31*1.2/2</f>
        <v>4.3860000000000001</v>
      </c>
      <c r="F53" s="56">
        <f>20.14+0.31*1.2/2</f>
        <v>20.326000000000001</v>
      </c>
      <c r="G53" s="4">
        <f>SUM(D53:F53)</f>
        <v>30.411999999999999</v>
      </c>
      <c r="H53" s="8"/>
      <c r="I53" s="137" t="s">
        <v>7</v>
      </c>
      <c r="J53" s="139">
        <f>D53/G53</f>
        <v>0.18742601604629752</v>
      </c>
      <c r="K53" s="139">
        <f>E53/G53</f>
        <v>0.14421938708404577</v>
      </c>
      <c r="L53" s="139">
        <f>1-K53-J53</f>
        <v>0.6683545968696567</v>
      </c>
      <c r="M53" s="8"/>
      <c r="N53" s="8"/>
      <c r="O53" s="8"/>
      <c r="P53" s="8"/>
      <c r="Q53" s="8"/>
      <c r="R53" s="8"/>
      <c r="S53" s="8"/>
      <c r="T53" s="8"/>
      <c r="U53" s="8"/>
      <c r="V53" s="8"/>
      <c r="W53" s="8"/>
      <c r="X53" s="8"/>
      <c r="Y53" s="137" t="s">
        <v>5</v>
      </c>
      <c r="Z53" s="49">
        <v>1.9522466508557145E-3</v>
      </c>
      <c r="AA53" s="49">
        <v>7.0742863814331106E-2</v>
      </c>
      <c r="AB53" s="49">
        <f>1-AA53-Z53</f>
        <v>0.92730488953481316</v>
      </c>
      <c r="AC53" s="8"/>
      <c r="AD53" s="140" t="s">
        <v>5</v>
      </c>
      <c r="AE53" s="48">
        <f>Z53*$AH53*E69/D69</f>
        <v>0.10152333333333333</v>
      </c>
      <c r="AF53" s="48">
        <f>AA53*$AH53*E69/D69</f>
        <v>3.678864727891265</v>
      </c>
      <c r="AG53" s="48">
        <f>AH53-AE53-AF53</f>
        <v>10.722945272108737</v>
      </c>
      <c r="AH53" s="48">
        <f>U69</f>
        <v>14.503333333333334</v>
      </c>
      <c r="AI53" s="48">
        <f>Z53*$T$3+AA53*$U$3+1.333</f>
        <v>1.3445872921247857</v>
      </c>
      <c r="AJ53" s="48">
        <f>(W51-AI53)^2/W51</f>
        <v>2.5663098202021609E-7</v>
      </c>
      <c r="AK53" s="49">
        <f t="shared" si="6"/>
        <v>6.9999999999999993E-3</v>
      </c>
      <c r="AL53" s="49">
        <f t="shared" si="6"/>
        <v>0.25365649698170062</v>
      </c>
      <c r="AM53" s="49">
        <f t="shared" si="6"/>
        <v>0.73934350301829943</v>
      </c>
      <c r="AN53" s="49">
        <f t="shared" si="6"/>
        <v>1</v>
      </c>
      <c r="AO53" s="141"/>
      <c r="AP53" s="3"/>
      <c r="AW53" s="7"/>
      <c r="AX53" s="7"/>
      <c r="AY53" s="7"/>
      <c r="AZ53" s="7"/>
      <c r="BA53" s="7"/>
      <c r="BB53" s="7"/>
    </row>
    <row r="54" spans="2:54" x14ac:dyDescent="0.3">
      <c r="B54" s="69"/>
      <c r="C54" s="1"/>
      <c r="D54" s="8"/>
      <c r="E54" s="8"/>
      <c r="F54" s="8"/>
      <c r="G54" s="8"/>
      <c r="H54" s="8"/>
      <c r="I54" s="8"/>
      <c r="J54" s="8"/>
      <c r="K54" s="8"/>
      <c r="L54" s="8"/>
      <c r="M54" s="8"/>
      <c r="N54" s="142"/>
      <c r="O54" s="142"/>
      <c r="P54" s="142"/>
      <c r="Q54" s="8"/>
      <c r="R54" s="8"/>
      <c r="S54" s="8"/>
      <c r="T54" s="8"/>
      <c r="U54" s="8"/>
      <c r="V54" s="8"/>
      <c r="W54" s="8"/>
      <c r="X54" s="8"/>
      <c r="Y54" s="8"/>
      <c r="Z54" s="8"/>
      <c r="AA54" s="8"/>
      <c r="AB54" s="8"/>
      <c r="AC54" s="8"/>
      <c r="AD54" s="140" t="s">
        <v>75</v>
      </c>
      <c r="AE54" s="48">
        <f>SUM(AE52:AE53)</f>
        <v>5.6590880887302051</v>
      </c>
      <c r="AF54" s="48">
        <f>SUM(AF52:AF53)</f>
        <v>4.3545194446740316</v>
      </c>
      <c r="AG54" s="48">
        <f>SUM(AG52:AG53)</f>
        <v>20.165192466595769</v>
      </c>
      <c r="AH54" s="48">
        <f>SUM(AH52:AH53)</f>
        <v>30.178800000000003</v>
      </c>
      <c r="AI54" s="48"/>
      <c r="AJ54" s="48"/>
      <c r="AK54" s="49">
        <f t="shared" si="6"/>
        <v>0.18751865842015603</v>
      </c>
      <c r="AL54" s="49">
        <f t="shared" si="6"/>
        <v>0.14429067572845941</v>
      </c>
      <c r="AM54" s="49">
        <f t="shared" si="6"/>
        <v>0.66819066585138465</v>
      </c>
      <c r="AN54" s="49">
        <f t="shared" si="6"/>
        <v>1</v>
      </c>
      <c r="AO54" s="141"/>
      <c r="AP54" s="3"/>
      <c r="AW54" s="7"/>
      <c r="AX54" s="7"/>
      <c r="AY54" s="7"/>
      <c r="AZ54" s="7"/>
      <c r="BA54" s="7"/>
      <c r="BB54" s="7"/>
    </row>
    <row r="55" spans="2:54" x14ac:dyDescent="0.3">
      <c r="B55" s="69"/>
      <c r="C55" s="1" t="s">
        <v>16</v>
      </c>
      <c r="D55" s="8"/>
      <c r="E55" s="8"/>
      <c r="F55" s="8"/>
      <c r="G55" s="8"/>
      <c r="H55" s="8"/>
      <c r="I55" s="8"/>
      <c r="J55" s="8"/>
      <c r="K55" s="8"/>
      <c r="L55" s="8"/>
      <c r="M55" s="8"/>
      <c r="N55" s="8"/>
      <c r="O55" s="8"/>
      <c r="P55" s="8"/>
      <c r="Q55" s="8"/>
      <c r="R55" s="8"/>
      <c r="S55" s="8"/>
      <c r="T55" s="8"/>
      <c r="U55" s="8"/>
      <c r="V55" s="8"/>
      <c r="W55" s="8"/>
      <c r="X55" s="8"/>
      <c r="Y55" s="8"/>
      <c r="Z55" s="8"/>
      <c r="AA55" s="8"/>
      <c r="AB55" s="8"/>
      <c r="AC55" s="8"/>
      <c r="AD55" s="140" t="s">
        <v>76</v>
      </c>
      <c r="AE55" s="48">
        <f>(AE54-AE51)^2/AE51</f>
        <v>2.9364640065747139E-4</v>
      </c>
      <c r="AF55" s="48">
        <f>(AF54-AF51)^2/AF51</f>
        <v>2.2595197529214853E-4</v>
      </c>
      <c r="AG55" s="48">
        <f>(AG54-AG51)^2/AG51</f>
        <v>1.2722160188700638E-3</v>
      </c>
      <c r="AH55" s="48"/>
      <c r="AI55" s="48" t="s">
        <v>74</v>
      </c>
      <c r="AJ55" s="48">
        <f>AJ52+AJ53+AE55+AF55+AG55</f>
        <v>1.792098641548759E-3</v>
      </c>
      <c r="AK55" s="49"/>
      <c r="AL55" s="49" t="s">
        <v>118</v>
      </c>
      <c r="AM55" s="49">
        <f>ABS(U61-AM52)/U61</f>
        <v>1.1500012550808476E-2</v>
      </c>
      <c r="AN55" s="49"/>
      <c r="AO55" s="141"/>
      <c r="AP55" s="3"/>
      <c r="AW55" s="7"/>
      <c r="AX55" s="7"/>
      <c r="AY55" s="7"/>
      <c r="AZ55" s="7"/>
      <c r="BA55" s="7"/>
      <c r="BB55" s="7"/>
    </row>
    <row r="56" spans="2:54" ht="15" thickBot="1" x14ac:dyDescent="0.35">
      <c r="B56" s="69"/>
      <c r="C56" s="1">
        <v>1.5</v>
      </c>
      <c r="D56" s="8"/>
      <c r="E56" s="8"/>
      <c r="F56" s="8"/>
      <c r="G56" s="8"/>
      <c r="H56" s="347" t="s">
        <v>130</v>
      </c>
      <c r="I56" s="347"/>
      <c r="J56" s="347"/>
      <c r="K56" s="8"/>
      <c r="L56" s="8"/>
      <c r="M56" s="8"/>
      <c r="N56" s="8"/>
      <c r="O56" s="8"/>
      <c r="P56" s="8"/>
      <c r="Q56" s="8"/>
      <c r="R56" s="8"/>
      <c r="S56" s="8"/>
      <c r="T56" s="8"/>
      <c r="U56" s="8"/>
      <c r="V56" s="8"/>
      <c r="W56" s="8"/>
      <c r="X56" s="8"/>
      <c r="Y56" s="8"/>
      <c r="Z56" s="8"/>
      <c r="AA56" s="8"/>
      <c r="AB56" s="8"/>
      <c r="AC56" s="8"/>
      <c r="AD56" s="144" t="s">
        <v>110</v>
      </c>
      <c r="AE56" s="49">
        <f>ABS((AE51-AE54)/AE51)</f>
        <v>7.1775282929465081E-3</v>
      </c>
      <c r="AF56" s="49">
        <f>ABS((AF51-AF54)/AF51)</f>
        <v>7.1775091942472627E-3</v>
      </c>
      <c r="AG56" s="49">
        <f>ABS((AG51-AG54)/AG51)</f>
        <v>7.9114205158039522E-3</v>
      </c>
      <c r="AH56" s="49">
        <f>AVERAGE(AE56:AG56)</f>
        <v>7.4221526676659074E-3</v>
      </c>
      <c r="AI56" s="49"/>
      <c r="AJ56" s="49"/>
      <c r="AK56" s="49"/>
      <c r="AL56" s="49" t="s">
        <v>119</v>
      </c>
      <c r="AM56" s="49">
        <f>ABS(U63-AM53)/U63</f>
        <v>1.0665213818358934E-2</v>
      </c>
      <c r="AN56" s="49"/>
      <c r="AO56" s="141"/>
      <c r="AP56" s="3"/>
      <c r="AW56" s="7"/>
      <c r="AX56" s="7"/>
      <c r="AY56" s="7"/>
      <c r="AZ56" s="7"/>
      <c r="BA56" s="7"/>
      <c r="BB56" s="7"/>
    </row>
    <row r="57" spans="2:54" x14ac:dyDescent="0.3">
      <c r="B57" s="69"/>
      <c r="C57" s="113" t="s">
        <v>4</v>
      </c>
      <c r="D57" s="137" t="s">
        <v>14</v>
      </c>
      <c r="E57" s="137" t="s">
        <v>17</v>
      </c>
      <c r="F57" s="137" t="s">
        <v>15</v>
      </c>
      <c r="G57" s="8"/>
      <c r="H57" s="137" t="s">
        <v>54</v>
      </c>
      <c r="I57" s="137" t="s">
        <v>55</v>
      </c>
      <c r="J57" s="137" t="s">
        <v>56</v>
      </c>
      <c r="K57" s="137" t="s">
        <v>12</v>
      </c>
      <c r="L57" s="137" t="s">
        <v>48</v>
      </c>
      <c r="M57" s="137" t="s">
        <v>49</v>
      </c>
      <c r="N57" s="137" t="s">
        <v>50</v>
      </c>
      <c r="O57" s="137" t="s">
        <v>12</v>
      </c>
      <c r="P57" s="8"/>
      <c r="Q57" s="147"/>
      <c r="R57" s="147"/>
      <c r="S57" s="8"/>
      <c r="T57" s="8"/>
      <c r="U57" s="8"/>
      <c r="V57" s="8"/>
      <c r="W57" s="8"/>
      <c r="X57" s="8"/>
      <c r="Y57" s="8"/>
      <c r="Z57" s="8"/>
      <c r="AA57" s="8"/>
      <c r="AB57" s="8"/>
      <c r="AC57" s="8"/>
      <c r="AD57" s="8"/>
      <c r="AE57" s="8"/>
      <c r="AF57" s="8"/>
      <c r="AG57" s="8"/>
      <c r="AH57" s="8"/>
      <c r="AI57" s="8"/>
      <c r="AJ57" s="8"/>
      <c r="AK57" s="11"/>
      <c r="AL57" s="11"/>
      <c r="AM57" s="11"/>
      <c r="AN57" s="11"/>
      <c r="AO57" s="141"/>
      <c r="AP57" s="3"/>
      <c r="AW57" s="7"/>
      <c r="AX57" s="7"/>
      <c r="AY57" s="7"/>
      <c r="AZ57" s="7"/>
      <c r="BA57" s="7"/>
      <c r="BB57" s="7"/>
    </row>
    <row r="58" spans="2:54" x14ac:dyDescent="0.3">
      <c r="B58" s="69"/>
      <c r="C58" s="113" t="s">
        <v>7</v>
      </c>
      <c r="D58" s="4">
        <v>0.54039999999999999</v>
      </c>
      <c r="E58" s="4">
        <f>D58+1.5</f>
        <v>2.0404</v>
      </c>
      <c r="F58" s="4">
        <v>1.3480000000000001</v>
      </c>
      <c r="G58" s="8"/>
      <c r="H58" s="4">
        <f>1.333</f>
        <v>1.333</v>
      </c>
      <c r="I58" s="4">
        <f>I60*0.1375</f>
        <v>9.6372836243230186E-3</v>
      </c>
      <c r="J58" s="4">
        <f>J60*0.16</f>
        <v>5.9294890418779599E-3</v>
      </c>
      <c r="K58" s="4">
        <f>SUM(H58:J58)</f>
        <v>1.348566772666201</v>
      </c>
      <c r="L58" s="4">
        <v>0.59550991204325543</v>
      </c>
      <c r="M58" s="4">
        <f>I60*(E61/D61)</f>
        <v>0.26458983466231234</v>
      </c>
      <c r="N58" s="4">
        <f>J60*(E61/D61)</f>
        <v>0.13990025329443187</v>
      </c>
      <c r="O58" s="4">
        <f>SUM(L58:N58)</f>
        <v>0.99999999999999967</v>
      </c>
      <c r="P58" s="8"/>
      <c r="Q58" s="137"/>
      <c r="R58" s="137"/>
      <c r="S58" s="137" t="s">
        <v>58</v>
      </c>
      <c r="T58" s="137" t="s">
        <v>10</v>
      </c>
      <c r="U58" s="137" t="s">
        <v>59</v>
      </c>
      <c r="V58" s="8"/>
      <c r="W58" s="343" t="s">
        <v>57</v>
      </c>
      <c r="X58" s="344"/>
      <c r="Y58" s="344"/>
      <c r="Z58" s="344"/>
      <c r="AA58" s="345"/>
      <c r="AB58" s="145"/>
      <c r="AC58" s="145"/>
      <c r="AD58" s="145"/>
      <c r="AE58" s="145"/>
      <c r="AF58" s="145"/>
      <c r="AG58" s="145"/>
      <c r="AH58" s="145"/>
      <c r="AI58" s="8"/>
      <c r="AJ58" s="8"/>
      <c r="AK58" s="11"/>
      <c r="AL58" s="11"/>
      <c r="AM58" s="11"/>
      <c r="AN58" s="11"/>
      <c r="AO58" s="141"/>
      <c r="AP58" s="3"/>
      <c r="AW58" s="7"/>
      <c r="AX58" s="7"/>
      <c r="AY58" s="7"/>
      <c r="AZ58" s="7"/>
      <c r="BA58" s="7"/>
      <c r="BB58" s="7"/>
    </row>
    <row r="59" spans="2:54" x14ac:dyDescent="0.3">
      <c r="B59" s="69"/>
      <c r="C59" s="113" t="s">
        <v>8</v>
      </c>
      <c r="D59" s="4">
        <v>0.54110000000000003</v>
      </c>
      <c r="E59" s="4">
        <f>D59+1.5</f>
        <v>2.0411000000000001</v>
      </c>
      <c r="F59" s="4">
        <v>1.3479000000000001</v>
      </c>
      <c r="G59" s="8"/>
      <c r="H59" s="137" t="s">
        <v>48</v>
      </c>
      <c r="I59" s="137" t="s">
        <v>49</v>
      </c>
      <c r="J59" s="137" t="s">
        <v>50</v>
      </c>
      <c r="K59" s="137" t="s">
        <v>12</v>
      </c>
      <c r="L59" s="4"/>
      <c r="M59" s="4"/>
      <c r="N59" s="4"/>
      <c r="O59" s="4"/>
      <c r="P59" s="8"/>
      <c r="Q59" s="346" t="s">
        <v>6</v>
      </c>
      <c r="R59" s="137" t="s">
        <v>13</v>
      </c>
      <c r="S59" s="139">
        <f>K53</f>
        <v>0.14421938708404577</v>
      </c>
      <c r="T59" s="139">
        <f>J53</f>
        <v>0.18742601604629752</v>
      </c>
      <c r="U59" s="139">
        <f>L53</f>
        <v>0.6683545968696567</v>
      </c>
      <c r="V59" s="8"/>
      <c r="W59" s="137"/>
      <c r="X59" s="137" t="s">
        <v>0</v>
      </c>
      <c r="Y59" s="137" t="s">
        <v>52</v>
      </c>
      <c r="Z59" s="137" t="s">
        <v>20</v>
      </c>
      <c r="AA59" s="137" t="s">
        <v>12</v>
      </c>
      <c r="AB59" s="8"/>
      <c r="AC59" s="8"/>
      <c r="AD59" s="8"/>
      <c r="AE59" s="8"/>
      <c r="AF59" s="8"/>
      <c r="AG59" s="8"/>
      <c r="AH59" s="8"/>
      <c r="AI59" s="8"/>
      <c r="AJ59" s="8"/>
      <c r="AK59" s="11"/>
      <c r="AL59" s="11"/>
      <c r="AM59" s="11"/>
      <c r="AN59" s="11"/>
      <c r="AO59" s="141"/>
      <c r="AP59" s="3"/>
      <c r="AW59" s="7"/>
      <c r="AX59" s="7"/>
      <c r="AY59" s="7"/>
      <c r="AZ59" s="7"/>
      <c r="BA59" s="7"/>
      <c r="BB59" s="7"/>
    </row>
    <row r="60" spans="2:54" x14ac:dyDescent="0.3">
      <c r="B60" s="69"/>
      <c r="C60" s="113" t="s">
        <v>9</v>
      </c>
      <c r="D60" s="4">
        <v>0.54010000000000002</v>
      </c>
      <c r="E60" s="4">
        <f>D60+1.5</f>
        <v>2.0400999999999998</v>
      </c>
      <c r="F60" s="4">
        <v>1.3479000000000001</v>
      </c>
      <c r="G60" s="8"/>
      <c r="H60" s="4">
        <f>(L58*D61+1.5)/E61</f>
        <v>0.8928513580386408</v>
      </c>
      <c r="I60" s="4">
        <v>7.0089335449621953E-2</v>
      </c>
      <c r="J60" s="4">
        <f>1-H60-I60</f>
        <v>3.705930651173725E-2</v>
      </c>
      <c r="K60" s="4">
        <f>SUM(H60:J60)</f>
        <v>1</v>
      </c>
      <c r="L60" s="4"/>
      <c r="M60" s="4"/>
      <c r="N60" s="4"/>
      <c r="O60" s="4"/>
      <c r="P60" s="8"/>
      <c r="Q60" s="346"/>
      <c r="R60" s="137" t="s">
        <v>3</v>
      </c>
      <c r="S60" s="139"/>
      <c r="T60" s="139"/>
      <c r="U60" s="139"/>
      <c r="V60" s="8"/>
      <c r="W60" s="137" t="s">
        <v>6</v>
      </c>
      <c r="X60" s="48">
        <f>D53</f>
        <v>5.7</v>
      </c>
      <c r="Y60" s="48">
        <f>E53</f>
        <v>4.3860000000000001</v>
      </c>
      <c r="Z60" s="48">
        <f>F53</f>
        <v>20.326000000000001</v>
      </c>
      <c r="AA60" s="48">
        <f>SUM(X60:Z60)</f>
        <v>30.411999999999999</v>
      </c>
      <c r="AB60" s="8"/>
      <c r="AC60" s="8"/>
      <c r="AD60" s="8"/>
      <c r="AE60" s="8"/>
      <c r="AF60" s="8"/>
      <c r="AG60" s="8"/>
      <c r="AH60" s="8"/>
      <c r="AI60" s="8"/>
      <c r="AJ60" s="8"/>
      <c r="AK60" s="11"/>
      <c r="AL60" s="11"/>
      <c r="AM60" s="11"/>
      <c r="AN60" s="11"/>
      <c r="AO60" s="141"/>
      <c r="AP60" s="3"/>
      <c r="AW60" s="7"/>
      <c r="AX60" s="7"/>
      <c r="AY60" s="7"/>
      <c r="AZ60" s="7"/>
      <c r="BA60" s="7"/>
      <c r="BB60" s="7"/>
    </row>
    <row r="61" spans="2:54" x14ac:dyDescent="0.3">
      <c r="B61" s="69"/>
      <c r="C61" s="113" t="s">
        <v>13</v>
      </c>
      <c r="D61" s="4">
        <f>AVERAGE(D58:D60)</f>
        <v>0.54053333333333342</v>
      </c>
      <c r="E61" s="4">
        <f>D61+1.5</f>
        <v>2.0405333333333333</v>
      </c>
      <c r="F61" s="4">
        <f>AVERAGE(F58:F60)</f>
        <v>1.3479333333333334</v>
      </c>
      <c r="G61" s="8"/>
      <c r="H61" s="8"/>
      <c r="I61" s="8"/>
      <c r="J61" s="8"/>
      <c r="K61" s="8"/>
      <c r="L61" s="8"/>
      <c r="M61" s="8"/>
      <c r="N61" s="8"/>
      <c r="O61" s="8"/>
      <c r="P61" s="8"/>
      <c r="Q61" s="346" t="s">
        <v>4</v>
      </c>
      <c r="R61" s="137" t="s">
        <v>13</v>
      </c>
      <c r="S61" s="139">
        <f>N58</f>
        <v>0.13990025329443187</v>
      </c>
      <c r="T61" s="139">
        <f>M58</f>
        <v>0.26458983466231234</v>
      </c>
      <c r="U61" s="146">
        <f>L58</f>
        <v>0.59550991204325543</v>
      </c>
      <c r="V61" s="8"/>
      <c r="W61" s="137" t="s">
        <v>4</v>
      </c>
      <c r="X61" s="48">
        <f>T61*$U$19</f>
        <v>5.5114944526275185</v>
      </c>
      <c r="Y61" s="48">
        <f>S61*U67</f>
        <v>2.1930017571750904</v>
      </c>
      <c r="Z61" s="48">
        <f>U67*U61</f>
        <v>9.3348957759036502</v>
      </c>
      <c r="AA61" s="48">
        <f>SUM(X61:Z61)</f>
        <v>17.03939198570626</v>
      </c>
      <c r="AB61" s="8"/>
      <c r="AC61" s="8"/>
      <c r="AD61" s="8"/>
      <c r="AE61" s="8"/>
      <c r="AF61" s="8"/>
      <c r="AG61" s="8"/>
      <c r="AH61" s="8"/>
      <c r="AI61" s="8"/>
      <c r="AJ61" s="8"/>
      <c r="AK61" s="11"/>
      <c r="AL61" s="11"/>
      <c r="AM61" s="11"/>
      <c r="AN61" s="11"/>
      <c r="AO61" s="141"/>
      <c r="AP61" s="3"/>
    </row>
    <row r="62" spans="2:54" x14ac:dyDescent="0.3">
      <c r="B62" s="69"/>
      <c r="C62" s="132" t="s">
        <v>3</v>
      </c>
      <c r="D62" s="88">
        <f>_xlfn.STDEV.S(D58:D60)</f>
        <v>5.1316014394469321E-4</v>
      </c>
      <c r="E62" s="88">
        <f>_xlfn.STDEV.S(E58:E60)</f>
        <v>5.1316014394484826E-4</v>
      </c>
      <c r="F62" s="88">
        <f>_xlfn.STDEV.S(F58:F60)</f>
        <v>5.7735026918956222E-5</v>
      </c>
      <c r="G62" s="8"/>
      <c r="H62" s="8"/>
      <c r="I62" s="8"/>
      <c r="J62" s="8"/>
      <c r="K62" s="8"/>
      <c r="L62" s="8"/>
      <c r="M62" s="8"/>
      <c r="N62" s="8"/>
      <c r="O62" s="8"/>
      <c r="P62" s="8"/>
      <c r="Q62" s="346"/>
      <c r="R62" s="137" t="s">
        <v>3</v>
      </c>
      <c r="S62" s="139"/>
      <c r="T62" s="139"/>
      <c r="U62" s="139"/>
      <c r="V62" s="8"/>
      <c r="W62" s="137" t="s">
        <v>5</v>
      </c>
      <c r="X62" s="48">
        <f>X60-X61</f>
        <v>0.18850554737248171</v>
      </c>
      <c r="Y62" s="48">
        <f>Y60-Y61</f>
        <v>2.1929982428249097</v>
      </c>
      <c r="Z62" s="48">
        <f>U69*U63</f>
        <v>10.609789597483772</v>
      </c>
      <c r="AA62" s="48">
        <f>SUM(X62:Z62)</f>
        <v>12.991293387681164</v>
      </c>
      <c r="AB62" s="8"/>
      <c r="AC62" s="8"/>
      <c r="AD62" s="8"/>
      <c r="AE62" s="8"/>
      <c r="AF62" s="8"/>
      <c r="AG62" s="8"/>
      <c r="AH62" s="8"/>
      <c r="AI62" s="8"/>
      <c r="AJ62" s="8"/>
      <c r="AK62" s="11"/>
      <c r="AL62" s="11"/>
      <c r="AM62" s="11"/>
      <c r="AN62" s="11"/>
      <c r="AO62" s="141"/>
      <c r="AP62" s="3"/>
    </row>
    <row r="63" spans="2:54" x14ac:dyDescent="0.3">
      <c r="B63" s="69"/>
      <c r="C63" s="87"/>
      <c r="D63" s="89"/>
      <c r="E63" s="89"/>
      <c r="F63" s="89"/>
      <c r="G63" s="8"/>
      <c r="H63" s="8"/>
      <c r="I63" s="8"/>
      <c r="J63" s="8"/>
      <c r="K63" s="8"/>
      <c r="L63" s="8"/>
      <c r="M63" s="8"/>
      <c r="N63" s="8"/>
      <c r="O63" s="8"/>
      <c r="P63" s="8"/>
      <c r="Q63" s="346" t="s">
        <v>5</v>
      </c>
      <c r="R63" s="137" t="s">
        <v>13</v>
      </c>
      <c r="S63" s="139">
        <f>N66</f>
        <v>0.11238612639722562</v>
      </c>
      <c r="T63" s="139">
        <f>M66</f>
        <v>0.15607241663997715</v>
      </c>
      <c r="U63" s="139">
        <f>L66</f>
        <v>0.73154145696279738</v>
      </c>
      <c r="V63" s="8"/>
      <c r="W63" s="137" t="s">
        <v>62</v>
      </c>
      <c r="X63" s="48">
        <f>SUM(X61:X62)</f>
        <v>5.7</v>
      </c>
      <c r="Y63" s="48">
        <f>SUM(Y61:Y62)</f>
        <v>4.3860000000000001</v>
      </c>
      <c r="Z63" s="48">
        <f>SUM(Z61:Z62)</f>
        <v>19.944685373387422</v>
      </c>
      <c r="AA63" s="48">
        <f>SUM(X63:Z63)</f>
        <v>30.030685373387421</v>
      </c>
      <c r="AB63" s="8"/>
      <c r="AC63" s="8"/>
      <c r="AD63" s="8"/>
      <c r="AE63" s="8"/>
      <c r="AF63" s="8"/>
      <c r="AG63" s="8"/>
      <c r="AH63" s="8"/>
      <c r="AI63" s="8"/>
      <c r="AJ63" s="8"/>
      <c r="AK63" s="11"/>
      <c r="AL63" s="11"/>
      <c r="AM63" s="11"/>
      <c r="AN63" s="11"/>
      <c r="AO63" s="141"/>
      <c r="AP63" s="3"/>
    </row>
    <row r="64" spans="2:54" x14ac:dyDescent="0.3">
      <c r="B64" s="69"/>
      <c r="C64" s="21"/>
      <c r="D64" s="147"/>
      <c r="E64" s="147"/>
      <c r="F64" s="147"/>
      <c r="G64" s="8"/>
      <c r="H64" s="347" t="s">
        <v>131</v>
      </c>
      <c r="I64" s="347"/>
      <c r="J64" s="347"/>
      <c r="K64" s="8"/>
      <c r="L64" s="8"/>
      <c r="M64" s="8"/>
      <c r="N64" s="8"/>
      <c r="O64" s="8"/>
      <c r="P64" s="8"/>
      <c r="Q64" s="346"/>
      <c r="R64" s="137" t="s">
        <v>3</v>
      </c>
      <c r="S64" s="139"/>
      <c r="T64" s="139"/>
      <c r="U64" s="146"/>
      <c r="V64" s="8"/>
      <c r="W64" s="8"/>
      <c r="X64" s="8"/>
      <c r="Y64" s="8"/>
      <c r="Z64" s="8"/>
      <c r="AA64" s="8"/>
      <c r="AB64" s="8"/>
      <c r="AC64" s="8"/>
      <c r="AD64" s="8"/>
      <c r="AE64" s="8"/>
      <c r="AF64" s="8"/>
      <c r="AG64" s="8"/>
      <c r="AH64" s="8"/>
      <c r="AI64" s="8"/>
      <c r="AJ64" s="8"/>
      <c r="AK64" s="11"/>
      <c r="AL64" s="11"/>
      <c r="AM64" s="11"/>
      <c r="AN64" s="11"/>
      <c r="AO64" s="141"/>
      <c r="AP64" s="3"/>
    </row>
    <row r="65" spans="2:58" x14ac:dyDescent="0.3">
      <c r="B65" s="69"/>
      <c r="C65" s="120" t="s">
        <v>5</v>
      </c>
      <c r="D65" s="148" t="s">
        <v>14</v>
      </c>
      <c r="E65" s="148" t="s">
        <v>17</v>
      </c>
      <c r="F65" s="148" t="s">
        <v>15</v>
      </c>
      <c r="G65" s="8"/>
      <c r="H65" s="137" t="s">
        <v>54</v>
      </c>
      <c r="I65" s="137" t="s">
        <v>55</v>
      </c>
      <c r="J65" s="137" t="s">
        <v>56</v>
      </c>
      <c r="K65" s="137" t="s">
        <v>12</v>
      </c>
      <c r="L65" s="137" t="s">
        <v>48</v>
      </c>
      <c r="M65" s="137" t="s">
        <v>49</v>
      </c>
      <c r="N65" s="137" t="s">
        <v>50</v>
      </c>
      <c r="O65" s="137" t="s">
        <v>12</v>
      </c>
      <c r="P65" s="8"/>
      <c r="Q65" s="8"/>
      <c r="R65" s="8"/>
      <c r="S65" s="8"/>
      <c r="T65" s="8"/>
      <c r="U65" s="8"/>
      <c r="V65" s="8"/>
      <c r="W65" s="137" t="s">
        <v>63</v>
      </c>
      <c r="X65" s="137" t="s">
        <v>64</v>
      </c>
      <c r="Y65" s="137" t="s">
        <v>65</v>
      </c>
      <c r="Z65" s="137" t="s">
        <v>66</v>
      </c>
      <c r="AA65" s="137" t="s">
        <v>121</v>
      </c>
      <c r="AB65" s="8" t="s">
        <v>122</v>
      </c>
      <c r="AC65" s="8"/>
      <c r="AD65" s="8"/>
      <c r="AE65" s="8"/>
      <c r="AF65" s="8"/>
      <c r="AG65" s="8"/>
      <c r="AH65" s="8"/>
      <c r="AI65" s="8"/>
      <c r="AJ65" s="8"/>
      <c r="AK65" s="11"/>
      <c r="AL65" s="11"/>
      <c r="AM65" s="11"/>
      <c r="AN65" s="11"/>
      <c r="AO65" s="141"/>
      <c r="AP65" s="3"/>
      <c r="BA65" s="25"/>
      <c r="BE65" s="7"/>
      <c r="BF65" s="7"/>
    </row>
    <row r="66" spans="2:58" x14ac:dyDescent="0.3">
      <c r="B66" s="69"/>
      <c r="C66" s="113" t="s">
        <v>7</v>
      </c>
      <c r="D66" s="4">
        <v>0.57979999999999998</v>
      </c>
      <c r="E66" s="4">
        <f>D66+1.5</f>
        <v>2.0798000000000001</v>
      </c>
      <c r="F66" s="4">
        <v>1.3440000000000001</v>
      </c>
      <c r="G66" s="8"/>
      <c r="H66" s="4">
        <f>1.333</f>
        <v>1.333</v>
      </c>
      <c r="I66" s="4">
        <f>I68*0.1375</f>
        <v>5.9850185347140785E-3</v>
      </c>
      <c r="J66" s="4">
        <f>J68*0.16</f>
        <v>5.0149814596944162E-3</v>
      </c>
      <c r="K66" s="4">
        <f>SUM(H66:J66)</f>
        <v>1.3439999999944086</v>
      </c>
      <c r="L66" s="4">
        <v>0.73154145696279738</v>
      </c>
      <c r="M66" s="4">
        <f>I68*(E69/D69)</f>
        <v>0.15607241663997715</v>
      </c>
      <c r="N66" s="4">
        <f>J68*(E69/D69)</f>
        <v>0.11238612639722562</v>
      </c>
      <c r="O66" s="4">
        <f>SUM(L66:N66)</f>
        <v>1.0000000000000002</v>
      </c>
      <c r="P66" s="8"/>
      <c r="Q66" s="137"/>
      <c r="R66" s="137"/>
      <c r="S66" s="137" t="s">
        <v>23</v>
      </c>
      <c r="T66" s="137" t="s">
        <v>60</v>
      </c>
      <c r="U66" s="137" t="s">
        <v>61</v>
      </c>
      <c r="V66" s="8"/>
      <c r="W66" s="4">
        <f>(K66-F69)^2/F69</f>
        <v>2.3262780423608077E-23</v>
      </c>
      <c r="X66" s="4">
        <f>(K58-F61)^2/F61</f>
        <v>2.9767450548270547E-7</v>
      </c>
      <c r="Y66" s="4">
        <f>(AA61-U67)^2/U67</f>
        <v>0.11867539994028357</v>
      </c>
      <c r="Z66" s="4">
        <f>(AA62-U69)^2/U69</f>
        <v>0.15763719585712357</v>
      </c>
      <c r="AA66" s="4">
        <f>SUM(W66:Z66)</f>
        <v>0.27631289347191262</v>
      </c>
      <c r="AB66" s="8"/>
      <c r="AC66" s="8"/>
      <c r="AD66" s="8"/>
      <c r="AE66" s="8"/>
      <c r="AF66" s="8"/>
      <c r="AG66" s="8"/>
      <c r="AH66" s="8"/>
      <c r="AI66" s="8"/>
      <c r="AJ66" s="8"/>
      <c r="AK66" s="11"/>
      <c r="AL66" s="11"/>
      <c r="AM66" s="11"/>
      <c r="AN66" s="11"/>
      <c r="AO66" s="141"/>
      <c r="AP66" s="3"/>
      <c r="BE66" s="7"/>
      <c r="BF66" s="7"/>
    </row>
    <row r="67" spans="2:58" x14ac:dyDescent="0.3">
      <c r="B67" s="69"/>
      <c r="C67" s="113" t="s">
        <v>8</v>
      </c>
      <c r="D67" s="4">
        <v>0.58040000000000003</v>
      </c>
      <c r="E67" s="4">
        <f>D67+1.5</f>
        <v>2.0804</v>
      </c>
      <c r="F67" s="4">
        <v>1.3440000000000001</v>
      </c>
      <c r="G67" s="8"/>
      <c r="H67" s="137" t="s">
        <v>48</v>
      </c>
      <c r="I67" s="137" t="s">
        <v>49</v>
      </c>
      <c r="J67" s="137" t="s">
        <v>50</v>
      </c>
      <c r="K67" s="137" t="s">
        <v>12</v>
      </c>
      <c r="L67" s="4"/>
      <c r="M67" s="4"/>
      <c r="N67" s="4"/>
      <c r="O67" s="4"/>
      <c r="P67" s="8"/>
      <c r="Q67" s="346" t="s">
        <v>4</v>
      </c>
      <c r="R67" s="137" t="s">
        <v>13</v>
      </c>
      <c r="S67" s="4">
        <f>AVERAGE(D58:D60)*2</f>
        <v>1.0810666666666668</v>
      </c>
      <c r="T67" s="4">
        <v>14.5</v>
      </c>
      <c r="U67" s="4">
        <f>S67*T67</f>
        <v>15.675466666666669</v>
      </c>
      <c r="V67" s="8"/>
      <c r="W67" s="8"/>
      <c r="X67" s="8"/>
      <c r="Y67" s="8"/>
      <c r="Z67" s="8"/>
      <c r="AA67" s="8"/>
      <c r="AB67" s="8"/>
      <c r="AC67" s="8"/>
      <c r="AD67" s="8"/>
      <c r="AE67" s="8"/>
      <c r="AF67" s="8"/>
      <c r="AG67" s="8"/>
      <c r="AH67" s="8"/>
      <c r="AI67" s="8"/>
      <c r="AJ67" s="8"/>
      <c r="AK67" s="11"/>
      <c r="AL67" s="11"/>
      <c r="AM67" s="11"/>
      <c r="AN67" s="11"/>
      <c r="AO67" s="141"/>
      <c r="AP67" s="3"/>
      <c r="AW67" s="25"/>
      <c r="AX67" s="25"/>
      <c r="BE67" s="7"/>
      <c r="BF67" s="7"/>
    </row>
    <row r="68" spans="2:58" x14ac:dyDescent="0.3">
      <c r="B68" s="69"/>
      <c r="C68" s="113" t="s">
        <v>9</v>
      </c>
      <c r="D68" s="4">
        <v>0.58020000000000005</v>
      </c>
      <c r="E68" s="4">
        <f>D68+1.5</f>
        <v>2.0802</v>
      </c>
      <c r="F68" s="4">
        <v>1.3440000000000001</v>
      </c>
      <c r="G68" s="8"/>
      <c r="H68" s="4">
        <f>(L66*D69+1.5)/E69</f>
        <v>0.9251289583517166</v>
      </c>
      <c r="I68" s="4">
        <v>4.3527407525193296E-2</v>
      </c>
      <c r="J68" s="4">
        <f>1-H68-I68</f>
        <v>3.1343634123090103E-2</v>
      </c>
      <c r="K68" s="4">
        <f>SUM(H68:J68)</f>
        <v>1</v>
      </c>
      <c r="L68" s="4"/>
      <c r="M68" s="4"/>
      <c r="N68" s="4"/>
      <c r="O68" s="4"/>
      <c r="P68" s="8"/>
      <c r="Q68" s="346"/>
      <c r="R68" s="137" t="s">
        <v>3</v>
      </c>
      <c r="S68" s="4">
        <f>D62*2</f>
        <v>1.0263202878893864E-3</v>
      </c>
      <c r="T68" s="4"/>
      <c r="U68" s="4"/>
      <c r="V68" s="8"/>
      <c r="W68" s="8"/>
      <c r="X68" s="8"/>
      <c r="Y68" s="8"/>
      <c r="Z68" s="8"/>
      <c r="AA68" s="8"/>
      <c r="AB68" s="8"/>
      <c r="AC68" s="8"/>
      <c r="AD68" s="8"/>
      <c r="AE68" s="8"/>
      <c r="AF68" s="8"/>
      <c r="AG68" s="8"/>
      <c r="AH68" s="8"/>
      <c r="AI68" s="8"/>
      <c r="AJ68" s="8"/>
      <c r="AK68" s="11"/>
      <c r="AL68" s="11"/>
      <c r="AM68" s="11"/>
      <c r="AN68" s="11"/>
      <c r="AO68" s="141"/>
      <c r="AP68" s="3"/>
      <c r="AW68" s="25"/>
      <c r="AX68" s="25"/>
      <c r="BE68" s="7"/>
      <c r="BF68" s="7"/>
    </row>
    <row r="69" spans="2:58" x14ac:dyDescent="0.3">
      <c r="B69" s="69"/>
      <c r="C69" s="113" t="s">
        <v>13</v>
      </c>
      <c r="D69" s="4">
        <f>AVERAGE(D66:D68)</f>
        <v>0.58013333333333339</v>
      </c>
      <c r="E69" s="4">
        <f>D69+1.5</f>
        <v>2.0801333333333334</v>
      </c>
      <c r="F69" s="4">
        <f>AVERAGE(F66:F68)</f>
        <v>1.3440000000000001</v>
      </c>
      <c r="G69" s="8"/>
      <c r="H69" s="8"/>
      <c r="I69" s="8"/>
      <c r="J69" s="8"/>
      <c r="K69" s="8"/>
      <c r="L69" s="8"/>
      <c r="M69" s="8"/>
      <c r="N69" s="8"/>
      <c r="O69" s="8"/>
      <c r="P69" s="8"/>
      <c r="Q69" s="346" t="s">
        <v>5</v>
      </c>
      <c r="R69" s="137" t="s">
        <v>13</v>
      </c>
      <c r="S69" s="4">
        <f>AVERAGE(D66:D68)*2</f>
        <v>1.1602666666666668</v>
      </c>
      <c r="T69" s="4">
        <v>12.5</v>
      </c>
      <c r="U69" s="4">
        <f>S69*T69</f>
        <v>14.503333333333334</v>
      </c>
      <c r="V69" s="8"/>
      <c r="W69" s="8"/>
      <c r="X69" s="8"/>
      <c r="Y69" s="8"/>
      <c r="Z69" s="8"/>
      <c r="AA69" s="8"/>
      <c r="AB69" s="8"/>
      <c r="AC69" s="8"/>
      <c r="AD69" s="8"/>
      <c r="AE69" s="8"/>
      <c r="AF69" s="8"/>
      <c r="AG69" s="8"/>
      <c r="AH69" s="8"/>
      <c r="AI69" s="8"/>
      <c r="AJ69" s="8"/>
      <c r="AK69" s="11"/>
      <c r="AL69" s="11"/>
      <c r="AM69" s="11"/>
      <c r="AN69" s="11"/>
      <c r="AO69" s="141"/>
      <c r="AP69" s="3"/>
      <c r="AW69" s="25"/>
      <c r="AX69" s="25"/>
      <c r="BE69" s="7"/>
      <c r="BF69" s="7"/>
    </row>
    <row r="70" spans="2:58" x14ac:dyDescent="0.3">
      <c r="B70" s="69"/>
      <c r="C70" s="113" t="s">
        <v>3</v>
      </c>
      <c r="D70" s="4">
        <f>_xlfn.STDEV.S(D66:D68)</f>
        <v>3.0550504633041625E-4</v>
      </c>
      <c r="E70" s="4">
        <f>_xlfn.STDEV.S(E66:E68)</f>
        <v>3.055050463303557E-4</v>
      </c>
      <c r="F70" s="4">
        <f>_xlfn.STDEV.S(F66:F68)</f>
        <v>0</v>
      </c>
      <c r="G70" s="8"/>
      <c r="H70" s="8"/>
      <c r="I70" s="8"/>
      <c r="J70" s="8"/>
      <c r="K70" s="8"/>
      <c r="L70" s="8"/>
      <c r="M70" s="8"/>
      <c r="N70" s="8"/>
      <c r="O70" s="8"/>
      <c r="P70" s="8"/>
      <c r="Q70" s="346"/>
      <c r="R70" s="137" t="s">
        <v>3</v>
      </c>
      <c r="S70" s="4">
        <f>D70*2</f>
        <v>6.110100926608325E-4</v>
      </c>
      <c r="T70" s="4"/>
      <c r="U70" s="4"/>
      <c r="V70" s="8"/>
      <c r="W70" s="8"/>
      <c r="X70" s="8"/>
      <c r="Y70" s="8"/>
      <c r="Z70" s="8"/>
      <c r="AA70" s="8"/>
      <c r="AB70" s="8"/>
      <c r="AC70" s="8"/>
      <c r="AD70" s="8"/>
      <c r="AE70" s="8"/>
      <c r="AF70" s="8"/>
      <c r="AG70" s="8"/>
      <c r="AH70" s="8"/>
      <c r="AI70" s="8"/>
      <c r="AJ70" s="8"/>
      <c r="AK70" s="11"/>
      <c r="AL70" s="11"/>
      <c r="AM70" s="11"/>
      <c r="AN70" s="11"/>
      <c r="AO70" s="141"/>
      <c r="AP70" s="3"/>
      <c r="AW70" s="25"/>
      <c r="AX70" s="25"/>
      <c r="BE70" s="7"/>
      <c r="BF70" s="7"/>
    </row>
    <row r="71" spans="2:58" ht="15" thickBot="1" x14ac:dyDescent="0.35">
      <c r="B71" s="71"/>
      <c r="C71" s="16"/>
      <c r="D71" s="73"/>
      <c r="E71" s="73"/>
      <c r="F71" s="73"/>
      <c r="G71" s="73"/>
      <c r="H71" s="73"/>
      <c r="I71" s="73"/>
      <c r="J71" s="73"/>
      <c r="K71" s="73"/>
      <c r="L71" s="73"/>
      <c r="M71" s="73"/>
      <c r="N71" s="73"/>
      <c r="O71" s="73"/>
      <c r="P71" s="73"/>
      <c r="Q71" s="149"/>
      <c r="R71" s="73"/>
      <c r="S71" s="73"/>
      <c r="T71" s="73"/>
      <c r="U71" s="73"/>
      <c r="V71" s="73"/>
      <c r="W71" s="73"/>
      <c r="X71" s="73"/>
      <c r="Y71" s="73"/>
      <c r="Z71" s="73"/>
      <c r="AA71" s="73"/>
      <c r="AB71" s="73"/>
      <c r="AC71" s="73"/>
      <c r="AD71" s="73"/>
      <c r="AE71" s="73"/>
      <c r="AF71" s="73"/>
      <c r="AG71" s="73"/>
      <c r="AH71" s="73"/>
      <c r="AI71" s="73"/>
      <c r="AJ71" s="73"/>
      <c r="AK71" s="164"/>
      <c r="AL71" s="164"/>
      <c r="AM71" s="164"/>
      <c r="AN71" s="164"/>
      <c r="AO71" s="150"/>
      <c r="AP71" s="3"/>
      <c r="AW71" s="25"/>
      <c r="AX71" s="25"/>
      <c r="BE71" s="7"/>
      <c r="BF71" s="7"/>
    </row>
    <row r="72" spans="2:58" ht="15" thickBot="1" x14ac:dyDescent="0.35">
      <c r="B72" s="74" t="s">
        <v>126</v>
      </c>
      <c r="C72" s="66"/>
      <c r="D72" s="67"/>
      <c r="E72" s="67"/>
      <c r="F72" s="67"/>
      <c r="G72" s="67"/>
      <c r="H72" s="67"/>
      <c r="I72" s="67"/>
      <c r="J72" s="67"/>
      <c r="K72" s="67"/>
      <c r="L72" s="67"/>
      <c r="M72" s="67"/>
      <c r="N72" s="67"/>
      <c r="O72" s="67"/>
      <c r="P72" s="67"/>
      <c r="Q72" s="151"/>
      <c r="R72" s="67"/>
      <c r="S72" s="67"/>
      <c r="T72" s="67"/>
      <c r="U72" s="67"/>
      <c r="V72" s="67"/>
      <c r="W72" s="67"/>
      <c r="X72" s="67"/>
      <c r="Y72" s="67"/>
      <c r="Z72" s="67"/>
      <c r="AA72" s="67"/>
      <c r="AB72" s="67"/>
      <c r="AC72" s="67"/>
      <c r="AD72" s="67"/>
      <c r="AE72" s="67"/>
      <c r="AF72" s="67"/>
      <c r="AG72" s="67"/>
      <c r="AH72" s="67"/>
      <c r="AI72" s="67"/>
      <c r="AJ72" s="67"/>
      <c r="AK72" s="165"/>
      <c r="AL72" s="165"/>
      <c r="AM72" s="165"/>
      <c r="AN72" s="165"/>
      <c r="AO72" s="152"/>
      <c r="AP72" s="3"/>
      <c r="AW72" s="25"/>
      <c r="AX72" s="25"/>
      <c r="BE72" s="7"/>
      <c r="BF72" s="7"/>
    </row>
    <row r="73" spans="2:58" x14ac:dyDescent="0.3">
      <c r="B73" s="69"/>
      <c r="C73" s="1"/>
      <c r="D73" s="8"/>
      <c r="E73" s="8"/>
      <c r="F73" s="8"/>
      <c r="G73" s="8"/>
      <c r="H73" s="8"/>
      <c r="I73" s="8"/>
      <c r="J73" s="8"/>
      <c r="K73" s="8"/>
      <c r="L73" s="8"/>
      <c r="M73" s="8"/>
      <c r="N73" s="8"/>
      <c r="O73" s="8"/>
      <c r="P73" s="8"/>
      <c r="Q73" s="8"/>
      <c r="R73" s="8"/>
      <c r="S73" s="8"/>
      <c r="T73" s="8"/>
      <c r="U73" s="8"/>
      <c r="V73" s="8"/>
      <c r="W73" s="8"/>
      <c r="X73" s="8"/>
      <c r="Y73" s="8"/>
      <c r="Z73" s="8"/>
      <c r="AA73" s="8"/>
      <c r="AB73" s="8"/>
      <c r="AC73" s="8"/>
      <c r="AD73" s="153"/>
      <c r="AE73" s="336" t="s">
        <v>57</v>
      </c>
      <c r="AF73" s="336"/>
      <c r="AG73" s="336"/>
      <c r="AH73" s="336"/>
      <c r="AI73" s="341" t="s">
        <v>117</v>
      </c>
      <c r="AJ73" s="342"/>
      <c r="AK73" s="337" t="s">
        <v>77</v>
      </c>
      <c r="AL73" s="337"/>
      <c r="AM73" s="337"/>
      <c r="AN73" s="338"/>
      <c r="AO73" s="141"/>
      <c r="AP73" s="3"/>
      <c r="AW73" s="25"/>
      <c r="AX73" s="25"/>
      <c r="BE73" s="7"/>
      <c r="BF73" s="7"/>
    </row>
    <row r="74" spans="2:58" x14ac:dyDescent="0.3">
      <c r="B74" s="69"/>
      <c r="C74" s="1"/>
      <c r="D74" s="8"/>
      <c r="E74" s="8"/>
      <c r="F74" s="8"/>
      <c r="G74" s="8"/>
      <c r="H74" s="8"/>
      <c r="I74" s="8"/>
      <c r="J74" s="8"/>
      <c r="K74" s="8"/>
      <c r="L74" s="8"/>
      <c r="M74" s="8"/>
      <c r="N74" s="8"/>
      <c r="O74" s="8"/>
      <c r="P74" s="8"/>
      <c r="Q74" s="8"/>
      <c r="R74" s="8"/>
      <c r="S74" s="8"/>
      <c r="T74" s="154" t="s">
        <v>111</v>
      </c>
      <c r="U74" s="154" t="s">
        <v>112</v>
      </c>
      <c r="V74" s="154" t="s">
        <v>71</v>
      </c>
      <c r="W74" s="154" t="s">
        <v>72</v>
      </c>
      <c r="X74" s="8"/>
      <c r="Y74" s="137"/>
      <c r="Z74" s="137" t="s">
        <v>68</v>
      </c>
      <c r="AA74" s="137" t="s">
        <v>67</v>
      </c>
      <c r="AB74" s="137" t="s">
        <v>73</v>
      </c>
      <c r="AC74" s="8"/>
      <c r="AD74" s="140"/>
      <c r="AE74" s="155" t="s">
        <v>0</v>
      </c>
      <c r="AF74" s="155" t="s">
        <v>52</v>
      </c>
      <c r="AG74" s="155" t="s">
        <v>20</v>
      </c>
      <c r="AH74" s="155" t="s">
        <v>12</v>
      </c>
      <c r="AI74" s="156" t="s">
        <v>15</v>
      </c>
      <c r="AJ74" s="156" t="s">
        <v>76</v>
      </c>
      <c r="AK74" s="166" t="s">
        <v>0</v>
      </c>
      <c r="AL74" s="166" t="s">
        <v>52</v>
      </c>
      <c r="AM74" s="166" t="s">
        <v>20</v>
      </c>
      <c r="AN74" s="166" t="s">
        <v>12</v>
      </c>
      <c r="AO74" s="141"/>
      <c r="AP74" s="3"/>
      <c r="AW74" s="25"/>
      <c r="AX74" s="25"/>
      <c r="BE74" s="7"/>
      <c r="BF74" s="7"/>
    </row>
    <row r="75" spans="2:58" x14ac:dyDescent="0.3">
      <c r="B75" s="69"/>
      <c r="C75" s="113"/>
      <c r="D75" s="346" t="s">
        <v>57</v>
      </c>
      <c r="E75" s="346"/>
      <c r="F75" s="346"/>
      <c r="G75" s="158"/>
      <c r="H75" s="145"/>
      <c r="I75" s="137"/>
      <c r="J75" s="158" t="s">
        <v>11</v>
      </c>
      <c r="K75" s="158"/>
      <c r="L75" s="137"/>
      <c r="M75" s="8"/>
      <c r="N75" s="8"/>
      <c r="O75" s="8"/>
      <c r="P75" s="8"/>
      <c r="Q75" s="8"/>
      <c r="R75" s="8"/>
      <c r="S75" s="8"/>
      <c r="T75" s="154">
        <v>0.13750000000000001</v>
      </c>
      <c r="U75" s="154">
        <v>0.16</v>
      </c>
      <c r="V75" s="154">
        <f>F85</f>
        <v>1.3513666666666666</v>
      </c>
      <c r="W75" s="154">
        <f>F93</f>
        <v>1.347966666666667</v>
      </c>
      <c r="X75" s="8"/>
      <c r="Y75" s="137" t="s">
        <v>6</v>
      </c>
      <c r="Z75" s="49">
        <f>J77</f>
        <v>0.22664564446196295</v>
      </c>
      <c r="AA75" s="49">
        <f>K77</f>
        <v>0.18466692944422547</v>
      </c>
      <c r="AB75" s="49">
        <f>L77</f>
        <v>0.58868742609381153</v>
      </c>
      <c r="AC75" s="8"/>
      <c r="AD75" s="140" t="s">
        <v>6</v>
      </c>
      <c r="AE75" s="48">
        <f>Z75*$AH75</f>
        <v>6.9</v>
      </c>
      <c r="AF75" s="48">
        <f>AA75*$AH75</f>
        <v>5.6220000000000008</v>
      </c>
      <c r="AG75" s="48">
        <f>AB75*$AH75</f>
        <v>17.922000000000001</v>
      </c>
      <c r="AH75" s="48">
        <f>AA84</f>
        <v>30.444000000000003</v>
      </c>
      <c r="AI75" s="48" t="s">
        <v>109</v>
      </c>
      <c r="AJ75" s="48" t="s">
        <v>109</v>
      </c>
      <c r="AK75" s="49">
        <f t="shared" ref="AK75:AN78" si="7">AE75/$AH75</f>
        <v>0.22664564446196295</v>
      </c>
      <c r="AL75" s="49">
        <f t="shared" si="7"/>
        <v>0.18466692944422547</v>
      </c>
      <c r="AM75" s="49">
        <f t="shared" si="7"/>
        <v>0.58868742609381153</v>
      </c>
      <c r="AN75" s="49">
        <f t="shared" si="7"/>
        <v>1</v>
      </c>
      <c r="AO75" s="141"/>
      <c r="AP75" s="3"/>
      <c r="AW75" s="25"/>
      <c r="AX75" s="25"/>
      <c r="BE75" s="7"/>
      <c r="BF75" s="7"/>
    </row>
    <row r="76" spans="2:58" x14ac:dyDescent="0.3">
      <c r="B76" s="69"/>
      <c r="C76" s="113" t="s">
        <v>6</v>
      </c>
      <c r="D76" s="156" t="s">
        <v>0</v>
      </c>
      <c r="E76" s="137" t="s">
        <v>52</v>
      </c>
      <c r="F76" s="159" t="s">
        <v>20</v>
      </c>
      <c r="G76" s="137" t="s">
        <v>12</v>
      </c>
      <c r="H76" s="8"/>
      <c r="I76" s="137" t="s">
        <v>6</v>
      </c>
      <c r="J76" s="137" t="s">
        <v>10</v>
      </c>
      <c r="K76" s="137" t="s">
        <v>58</v>
      </c>
      <c r="L76" s="137" t="s">
        <v>59</v>
      </c>
      <c r="M76" s="8"/>
      <c r="N76" s="8"/>
      <c r="O76" s="8"/>
      <c r="P76" s="8"/>
      <c r="Q76" s="8"/>
      <c r="R76" s="8"/>
      <c r="S76" s="8"/>
      <c r="T76" s="8"/>
      <c r="U76" s="8"/>
      <c r="V76" s="8"/>
      <c r="W76" s="8"/>
      <c r="X76" s="8"/>
      <c r="Y76" s="137" t="s">
        <v>4</v>
      </c>
      <c r="Z76" s="49">
        <v>0.12173003025970684</v>
      </c>
      <c r="AA76" s="49">
        <v>1.0515775720872342E-2</v>
      </c>
      <c r="AB76" s="49">
        <f>1-AA76-Z76</f>
        <v>0.86775419401942078</v>
      </c>
      <c r="AC76" s="8"/>
      <c r="AD76" s="140" t="s">
        <v>4</v>
      </c>
      <c r="AE76" s="48">
        <f>Z76*$AH76*E85/D85</f>
        <v>6.7431254692092271</v>
      </c>
      <c r="AF76" s="48">
        <f>AA76*$AH76*E85/D85</f>
        <v>0.58251193185957473</v>
      </c>
      <c r="AG76" s="48">
        <f>AH76-AE76-AF76</f>
        <v>7.5684625989311982</v>
      </c>
      <c r="AH76" s="48">
        <f>U91</f>
        <v>14.8941</v>
      </c>
      <c r="AI76" s="48">
        <f>Z76*$T$3+AA76*$U$3+1.333</f>
        <v>1.3514204032760493</v>
      </c>
      <c r="AJ76" s="48">
        <f>(V75-AI76)^2/V75</f>
        <v>2.1368169418220573E-9</v>
      </c>
      <c r="AK76" s="49">
        <f t="shared" si="7"/>
        <v>0.45273802842798339</v>
      </c>
      <c r="AL76" s="49">
        <f t="shared" si="7"/>
        <v>3.911024713541434E-2</v>
      </c>
      <c r="AM76" s="49">
        <f t="shared" si="7"/>
        <v>0.50815172443660228</v>
      </c>
      <c r="AN76" s="49">
        <f t="shared" si="7"/>
        <v>1</v>
      </c>
      <c r="AO76" s="141"/>
      <c r="AP76" s="3"/>
      <c r="AW76" s="25"/>
      <c r="AX76" s="25"/>
      <c r="BE76" s="7"/>
      <c r="BF76" s="7"/>
    </row>
    <row r="77" spans="2:58" x14ac:dyDescent="0.3">
      <c r="B77" s="69"/>
      <c r="C77" s="113" t="s">
        <v>7</v>
      </c>
      <c r="D77" s="4">
        <v>6.9</v>
      </c>
      <c r="E77" s="4">
        <f>5.4+0.37*1.2/2</f>
        <v>5.6220000000000008</v>
      </c>
      <c r="F77" s="56">
        <f>17.7+0.37*1.2/2</f>
        <v>17.922000000000001</v>
      </c>
      <c r="G77" s="4">
        <f>SUM(D77:F77)</f>
        <v>30.444000000000003</v>
      </c>
      <c r="H77" s="8"/>
      <c r="I77" s="137" t="s">
        <v>7</v>
      </c>
      <c r="J77" s="139">
        <f>D77/G77</f>
        <v>0.22664564446196295</v>
      </c>
      <c r="K77" s="139">
        <f>E77/G77</f>
        <v>0.18466692944422547</v>
      </c>
      <c r="L77" s="139">
        <f>1-K77-J77</f>
        <v>0.58868742609381153</v>
      </c>
      <c r="M77" s="8"/>
      <c r="N77" s="8"/>
      <c r="O77" s="8"/>
      <c r="P77" s="8"/>
      <c r="Q77" s="8"/>
      <c r="R77" s="8"/>
      <c r="S77" s="8"/>
      <c r="T77" s="8"/>
      <c r="U77" s="8"/>
      <c r="V77" s="8"/>
      <c r="W77" s="8"/>
      <c r="X77" s="8"/>
      <c r="Y77" s="137" t="s">
        <v>5</v>
      </c>
      <c r="Z77" s="49">
        <v>1.4417313744405607E-3</v>
      </c>
      <c r="AA77" s="49">
        <v>9.4370144583647134E-2</v>
      </c>
      <c r="AB77" s="49">
        <f>1-AA77-Z77</f>
        <v>0.90418812404191229</v>
      </c>
      <c r="AC77" s="8"/>
      <c r="AD77" s="140" t="s">
        <v>5</v>
      </c>
      <c r="AE77" s="48">
        <f>Z77*$AH77*E93/D93</f>
        <v>7.5970833333333307E-2</v>
      </c>
      <c r="AF77" s="48">
        <f>AA77*$AH77*E93/D93</f>
        <v>4.9727561270481324</v>
      </c>
      <c r="AG77" s="48">
        <f>AH77-AE77-AF77</f>
        <v>10.145439706285199</v>
      </c>
      <c r="AH77" s="48">
        <f>U93</f>
        <v>15.194166666666664</v>
      </c>
      <c r="AI77" s="48">
        <f>Z77*$T$3+AA77*$U$3+1.333</f>
        <v>1.348297461197369</v>
      </c>
      <c r="AJ77" s="48">
        <f>(W75-AI77)^2/W75</f>
        <v>8.1177839369714938E-8</v>
      </c>
      <c r="AK77" s="49">
        <f t="shared" si="7"/>
        <v>4.9999999999999992E-3</v>
      </c>
      <c r="AL77" s="49">
        <f t="shared" si="7"/>
        <v>0.32728060946952009</v>
      </c>
      <c r="AM77" s="49">
        <f t="shared" si="7"/>
        <v>0.66771939053047991</v>
      </c>
      <c r="AN77" s="49">
        <f t="shared" si="7"/>
        <v>1</v>
      </c>
      <c r="AO77" s="141"/>
      <c r="AP77" s="3"/>
      <c r="BE77" s="7"/>
      <c r="BF77" s="7"/>
    </row>
    <row r="78" spans="2:58" x14ac:dyDescent="0.3">
      <c r="B78" s="69"/>
      <c r="C78" s="1"/>
      <c r="D78" s="8"/>
      <c r="E78" s="8"/>
      <c r="F78" s="8"/>
      <c r="G78" s="8"/>
      <c r="H78" s="8"/>
      <c r="I78" s="8"/>
      <c r="J78" s="8"/>
      <c r="K78" s="8"/>
      <c r="L78" s="8"/>
      <c r="M78" s="8"/>
      <c r="N78" s="142"/>
      <c r="O78" s="142"/>
      <c r="P78" s="142"/>
      <c r="Q78" s="8"/>
      <c r="R78" s="8"/>
      <c r="S78" s="8"/>
      <c r="T78" s="8"/>
      <c r="U78" s="8"/>
      <c r="V78" s="8"/>
      <c r="W78" s="8"/>
      <c r="X78" s="8"/>
      <c r="Y78" s="8"/>
      <c r="Z78" s="8"/>
      <c r="AA78" s="8"/>
      <c r="AB78" s="8"/>
      <c r="AC78" s="8"/>
      <c r="AD78" s="140" t="s">
        <v>75</v>
      </c>
      <c r="AE78" s="48">
        <f>SUM(AE76:AE77)</f>
        <v>6.8190963025425599</v>
      </c>
      <c r="AF78" s="48">
        <f>SUM(AF76:AF77)</f>
        <v>5.555268058907707</v>
      </c>
      <c r="AG78" s="48">
        <f>SUM(AG76:AG77)</f>
        <v>17.713902305216397</v>
      </c>
      <c r="AH78" s="48">
        <f>SUM(AH76:AH77)</f>
        <v>30.088266666666662</v>
      </c>
      <c r="AI78" s="48"/>
      <c r="AJ78" s="48"/>
      <c r="AK78" s="49">
        <f t="shared" si="7"/>
        <v>0.22663639544570732</v>
      </c>
      <c r="AL78" s="49">
        <f t="shared" si="7"/>
        <v>0.18463237249429593</v>
      </c>
      <c r="AM78" s="49">
        <f t="shared" si="7"/>
        <v>0.58873123205999678</v>
      </c>
      <c r="AN78" s="49">
        <f t="shared" si="7"/>
        <v>1</v>
      </c>
      <c r="AO78" s="141"/>
      <c r="AP78" s="3"/>
      <c r="BE78" s="7"/>
      <c r="BF78" s="7"/>
    </row>
    <row r="79" spans="2:58" x14ac:dyDescent="0.3">
      <c r="B79" s="69"/>
      <c r="C79" s="1" t="s">
        <v>16</v>
      </c>
      <c r="D79" s="8"/>
      <c r="E79" s="8"/>
      <c r="F79" s="8"/>
      <c r="G79" s="8"/>
      <c r="H79" s="8"/>
      <c r="I79" s="8"/>
      <c r="J79" s="8"/>
      <c r="K79" s="8"/>
      <c r="L79" s="8"/>
      <c r="M79" s="8"/>
      <c r="N79" s="8"/>
      <c r="O79" s="8"/>
      <c r="P79" s="8"/>
      <c r="Q79" s="8"/>
      <c r="R79" s="8"/>
      <c r="S79" s="8"/>
      <c r="T79" s="8"/>
      <c r="U79" s="8"/>
      <c r="V79" s="8"/>
      <c r="W79" s="8"/>
      <c r="X79" s="8"/>
      <c r="Y79" s="8"/>
      <c r="Z79" s="8"/>
      <c r="AA79" s="8"/>
      <c r="AB79" s="8"/>
      <c r="AC79" s="8"/>
      <c r="AD79" s="140" t="s">
        <v>76</v>
      </c>
      <c r="AE79" s="48">
        <f>(AE78-AE75)^2/AE75</f>
        <v>9.4860989308478982E-4</v>
      </c>
      <c r="AF79" s="48">
        <f>(AF78-AF75)^2/AF75</f>
        <v>7.9209390998672389E-4</v>
      </c>
      <c r="AG79" s="48">
        <f>(AG78-AG75)^2/AG75</f>
        <v>2.4162844869015628E-3</v>
      </c>
      <c r="AH79" s="48"/>
      <c r="AI79" s="48" t="s">
        <v>74</v>
      </c>
      <c r="AJ79" s="48">
        <f>AJ76+AJ77+AE79+AF79+AG79</f>
        <v>4.1570716046293883E-3</v>
      </c>
      <c r="AK79" s="49"/>
      <c r="AL79" s="49" t="s">
        <v>118</v>
      </c>
      <c r="AM79" s="49">
        <f>ABS(U85-AM76)/U85</f>
        <v>1.4248775756343574E-3</v>
      </c>
      <c r="AN79" s="49"/>
      <c r="AO79" s="141"/>
      <c r="AP79" s="3"/>
      <c r="BE79" s="7"/>
      <c r="BF79" s="7"/>
    </row>
    <row r="80" spans="2:58" ht="15" thickBot="1" x14ac:dyDescent="0.35">
      <c r="B80" s="69"/>
      <c r="C80" s="1">
        <v>1.5</v>
      </c>
      <c r="D80" s="8"/>
      <c r="E80" s="8"/>
      <c r="F80" s="8"/>
      <c r="G80" s="8"/>
      <c r="H80" s="347" t="s">
        <v>130</v>
      </c>
      <c r="I80" s="347"/>
      <c r="J80" s="347"/>
      <c r="K80" s="8"/>
      <c r="L80" s="8"/>
      <c r="M80" s="8"/>
      <c r="N80" s="8"/>
      <c r="O80" s="8"/>
      <c r="P80" s="8"/>
      <c r="Q80" s="8"/>
      <c r="R80" s="8"/>
      <c r="S80" s="8"/>
      <c r="T80" s="8"/>
      <c r="U80" s="8"/>
      <c r="V80" s="8"/>
      <c r="W80" s="8"/>
      <c r="X80" s="8"/>
      <c r="Y80" s="8"/>
      <c r="Z80" s="8"/>
      <c r="AA80" s="8"/>
      <c r="AB80" s="8"/>
      <c r="AC80" s="8"/>
      <c r="AD80" s="144" t="s">
        <v>110</v>
      </c>
      <c r="AE80" s="49">
        <f>ABS((AE75-AE78)/AE75)</f>
        <v>1.1725173544556581E-2</v>
      </c>
      <c r="AF80" s="49">
        <f>ABS((AF75-AF78)/AF75)</f>
        <v>1.1869786747117349E-2</v>
      </c>
      <c r="AG80" s="49">
        <f>ABS((AG75-AG78)/AG75)</f>
        <v>1.1611298671108331E-2</v>
      </c>
      <c r="AH80" s="49">
        <f>AVERAGE(AE80:AG80)</f>
        <v>1.1735419654260754E-2</v>
      </c>
      <c r="AI80" s="49"/>
      <c r="AJ80" s="49"/>
      <c r="AK80" s="49"/>
      <c r="AL80" s="49" t="s">
        <v>119</v>
      </c>
      <c r="AM80" s="49">
        <f>ABS(U87-AM77)/U87</f>
        <v>4.1351663602336414E-2</v>
      </c>
      <c r="AN80" s="49"/>
      <c r="AO80" s="141"/>
      <c r="AP80" s="3"/>
      <c r="BE80" s="7"/>
      <c r="BF80" s="7"/>
    </row>
    <row r="81" spans="2:58" x14ac:dyDescent="0.3">
      <c r="B81" s="69"/>
      <c r="C81" s="113" t="s">
        <v>4</v>
      </c>
      <c r="D81" s="137" t="s">
        <v>14</v>
      </c>
      <c r="E81" s="137" t="s">
        <v>17</v>
      </c>
      <c r="F81" s="137" t="s">
        <v>15</v>
      </c>
      <c r="G81" s="8"/>
      <c r="H81" s="137" t="s">
        <v>54</v>
      </c>
      <c r="I81" s="137" t="s">
        <v>55</v>
      </c>
      <c r="J81" s="137" t="s">
        <v>56</v>
      </c>
      <c r="K81" s="137" t="s">
        <v>12</v>
      </c>
      <c r="L81" s="137" t="s">
        <v>48</v>
      </c>
      <c r="M81" s="137" t="s">
        <v>49</v>
      </c>
      <c r="N81" s="137" t="s">
        <v>50</v>
      </c>
      <c r="O81" s="137" t="s">
        <v>12</v>
      </c>
      <c r="P81" s="8"/>
      <c r="Q81" s="147"/>
      <c r="R81" s="147"/>
      <c r="S81" s="8"/>
      <c r="T81" s="8"/>
      <c r="U81" s="8"/>
      <c r="V81" s="8"/>
      <c r="W81" s="8"/>
      <c r="X81" s="8"/>
      <c r="Y81" s="8"/>
      <c r="Z81" s="8"/>
      <c r="AA81" s="8"/>
      <c r="AB81" s="8"/>
      <c r="AC81" s="8"/>
      <c r="AD81" s="8"/>
      <c r="AE81" s="8"/>
      <c r="AF81" s="8"/>
      <c r="AG81" s="8"/>
      <c r="AH81" s="8"/>
      <c r="AI81" s="8"/>
      <c r="AJ81" s="8"/>
      <c r="AK81" s="11"/>
      <c r="AL81" s="11"/>
      <c r="AM81" s="11"/>
      <c r="AN81" s="11"/>
      <c r="AO81" s="141"/>
      <c r="AP81" s="3"/>
      <c r="AW81" s="47"/>
      <c r="AX81" s="47"/>
      <c r="AY81" s="47"/>
      <c r="BE81" s="7"/>
      <c r="BF81" s="7"/>
    </row>
    <row r="82" spans="2:58" x14ac:dyDescent="0.3">
      <c r="B82" s="69"/>
      <c r="C82" s="113" t="s">
        <v>7</v>
      </c>
      <c r="D82" s="4">
        <v>0.55130000000000001</v>
      </c>
      <c r="E82" s="4">
        <f>D82+1.5</f>
        <v>2.0512999999999999</v>
      </c>
      <c r="F82" s="4">
        <v>1.3513999999999999</v>
      </c>
      <c r="G82" s="8"/>
      <c r="H82" s="4">
        <f>1.333</f>
        <v>1.333</v>
      </c>
      <c r="I82" s="4">
        <f>I84*0.1375</f>
        <v>1.1179488583798297E-2</v>
      </c>
      <c r="J82" s="4">
        <f>J84*0.16</f>
        <v>8.119276240610462E-3</v>
      </c>
      <c r="K82" s="4">
        <f>SUM(H82:J82)</f>
        <v>1.3522987648244087</v>
      </c>
      <c r="L82" s="4">
        <v>0.50887681159420317</v>
      </c>
      <c r="M82" s="4">
        <f>I84*(E85/D85)</f>
        <v>0.30239073730099653</v>
      </c>
      <c r="N82" s="4">
        <f>J84*(E85/D85)</f>
        <v>0.18873245110479989</v>
      </c>
      <c r="O82" s="4">
        <f>SUM(L82:N82)</f>
        <v>0.99999999999999956</v>
      </c>
      <c r="P82" s="8"/>
      <c r="Q82" s="137"/>
      <c r="R82" s="137"/>
      <c r="S82" s="137" t="s">
        <v>58</v>
      </c>
      <c r="T82" s="137" t="s">
        <v>10</v>
      </c>
      <c r="U82" s="137" t="s">
        <v>59</v>
      </c>
      <c r="V82" s="8"/>
      <c r="W82" s="343" t="s">
        <v>57</v>
      </c>
      <c r="X82" s="344"/>
      <c r="Y82" s="344"/>
      <c r="Z82" s="344"/>
      <c r="AA82" s="345"/>
      <c r="AB82" s="145"/>
      <c r="AC82" s="145"/>
      <c r="AD82" s="145"/>
      <c r="AE82" s="145"/>
      <c r="AF82" s="8"/>
      <c r="AG82" s="8"/>
      <c r="AH82" s="145"/>
      <c r="AI82" s="8"/>
      <c r="AJ82" s="8"/>
      <c r="AK82" s="11"/>
      <c r="AL82" s="11"/>
      <c r="AM82" s="11"/>
      <c r="AN82" s="11"/>
      <c r="AO82" s="141"/>
      <c r="AP82" s="3"/>
      <c r="AW82" s="47"/>
      <c r="AX82" s="47"/>
      <c r="AY82" s="47"/>
      <c r="BE82" s="7"/>
      <c r="BF82" s="7"/>
    </row>
    <row r="83" spans="2:58" x14ac:dyDescent="0.3">
      <c r="B83" s="69"/>
      <c r="C83" s="113" t="s">
        <v>8</v>
      </c>
      <c r="D83" s="4">
        <v>0.55079999999999996</v>
      </c>
      <c r="E83" s="4">
        <f>D83+1.5</f>
        <v>2.0507999999999997</v>
      </c>
      <c r="F83" s="4">
        <v>1.3512999999999999</v>
      </c>
      <c r="G83" s="8"/>
      <c r="H83" s="137" t="s">
        <v>48</v>
      </c>
      <c r="I83" s="137" t="s">
        <v>49</v>
      </c>
      <c r="J83" s="137" t="s">
        <v>50</v>
      </c>
      <c r="K83" s="137" t="s">
        <v>12</v>
      </c>
      <c r="L83" s="4"/>
      <c r="M83" s="4"/>
      <c r="N83" s="4"/>
      <c r="O83" s="4"/>
      <c r="P83" s="8"/>
      <c r="Q83" s="346" t="s">
        <v>6</v>
      </c>
      <c r="R83" s="137" t="s">
        <v>13</v>
      </c>
      <c r="S83" s="139">
        <f>K77</f>
        <v>0.18466692944422547</v>
      </c>
      <c r="T83" s="139">
        <f>J77</f>
        <v>0.22664564446196295</v>
      </c>
      <c r="U83" s="139">
        <f>L77</f>
        <v>0.58868742609381153</v>
      </c>
      <c r="V83" s="8"/>
      <c r="W83" s="137"/>
      <c r="X83" s="137" t="s">
        <v>0</v>
      </c>
      <c r="Y83" s="137" t="s">
        <v>52</v>
      </c>
      <c r="Z83" s="137" t="s">
        <v>20</v>
      </c>
      <c r="AA83" s="137" t="s">
        <v>12</v>
      </c>
      <c r="AB83" s="8"/>
      <c r="AC83" s="8"/>
      <c r="AD83" s="8"/>
      <c r="AE83" s="8"/>
      <c r="AF83" s="8"/>
      <c r="AG83" s="8"/>
      <c r="AH83" s="8"/>
      <c r="AI83" s="8"/>
      <c r="AJ83" s="8"/>
      <c r="AK83" s="11"/>
      <c r="AL83" s="11"/>
      <c r="AM83" s="11"/>
      <c r="AN83" s="11"/>
      <c r="AO83" s="141"/>
      <c r="AP83" s="3"/>
      <c r="BE83" s="7"/>
      <c r="BF83" s="7"/>
    </row>
    <row r="84" spans="2:58" x14ac:dyDescent="0.3">
      <c r="B84" s="69"/>
      <c r="C84" s="113" t="s">
        <v>9</v>
      </c>
      <c r="D84" s="4">
        <v>0.55279999999999996</v>
      </c>
      <c r="E84" s="4">
        <f>D84+1.5</f>
        <v>2.0528</v>
      </c>
      <c r="F84" s="4">
        <v>1.3513999999999999</v>
      </c>
      <c r="G84" s="8"/>
      <c r="H84" s="4">
        <f>(L82*D85+1.5)/E85</f>
        <v>0.86794915197765155</v>
      </c>
      <c r="I84" s="4">
        <v>8.1305371518533065E-2</v>
      </c>
      <c r="J84" s="4">
        <f>1-H84-I84</f>
        <v>5.074547650381539E-2</v>
      </c>
      <c r="K84" s="4">
        <f>SUM(H84:J84)</f>
        <v>1</v>
      </c>
      <c r="L84" s="4"/>
      <c r="M84" s="4"/>
      <c r="N84" s="4"/>
      <c r="O84" s="4"/>
      <c r="P84" s="8"/>
      <c r="Q84" s="346"/>
      <c r="R84" s="137" t="s">
        <v>3</v>
      </c>
      <c r="S84" s="139"/>
      <c r="T84" s="139"/>
      <c r="U84" s="139"/>
      <c r="V84" s="8"/>
      <c r="W84" s="137" t="s">
        <v>6</v>
      </c>
      <c r="X84" s="59">
        <f>D77</f>
        <v>6.9</v>
      </c>
      <c r="Y84" s="59">
        <f>E77</f>
        <v>5.6220000000000008</v>
      </c>
      <c r="Z84" s="59">
        <f>F77</f>
        <v>17.922000000000001</v>
      </c>
      <c r="AA84" s="59">
        <f>SUM(X84:Z84)</f>
        <v>30.444000000000003</v>
      </c>
      <c r="AB84" s="8"/>
      <c r="AC84" s="8"/>
      <c r="AD84" s="8"/>
      <c r="AE84" s="8"/>
      <c r="AF84" s="8"/>
      <c r="AG84" s="8"/>
      <c r="AH84" s="8"/>
      <c r="AI84" s="8"/>
      <c r="AJ84" s="8"/>
      <c r="AK84" s="11"/>
      <c r="AL84" s="11"/>
      <c r="AM84" s="11"/>
      <c r="AN84" s="11"/>
      <c r="AO84" s="141"/>
      <c r="AP84" s="3"/>
      <c r="BE84" s="7"/>
      <c r="BF84" s="7"/>
    </row>
    <row r="85" spans="2:58" x14ac:dyDescent="0.3">
      <c r="B85" s="69"/>
      <c r="C85" s="113" t="s">
        <v>13</v>
      </c>
      <c r="D85" s="4">
        <f>AVERAGE(D82:D84)</f>
        <v>0.55163333333333331</v>
      </c>
      <c r="E85" s="4">
        <f>D85+1.5</f>
        <v>2.0516333333333332</v>
      </c>
      <c r="F85" s="4">
        <f>AVERAGE(F82:F84)</f>
        <v>1.3513666666666666</v>
      </c>
      <c r="G85" s="8"/>
      <c r="H85" s="8"/>
      <c r="I85" s="8"/>
      <c r="J85" s="8"/>
      <c r="K85" s="8"/>
      <c r="L85" s="8"/>
      <c r="M85" s="8"/>
      <c r="N85" s="8"/>
      <c r="O85" s="8"/>
      <c r="P85" s="8"/>
      <c r="Q85" s="346" t="s">
        <v>4</v>
      </c>
      <c r="R85" s="137" t="s">
        <v>13</v>
      </c>
      <c r="S85" s="139">
        <f>N82</f>
        <v>0.18873245110479989</v>
      </c>
      <c r="T85" s="139">
        <f>M82</f>
        <v>0.30239073730099653</v>
      </c>
      <c r="U85" s="146">
        <f>L82</f>
        <v>0.50887681159420317</v>
      </c>
      <c r="V85" s="8"/>
      <c r="W85" s="137" t="s">
        <v>4</v>
      </c>
      <c r="X85" s="59">
        <f>T85*$U$19</f>
        <v>6.2988998548921895</v>
      </c>
      <c r="Y85" s="59">
        <f>S85*U91</f>
        <v>2.8109999999999999</v>
      </c>
      <c r="Z85" s="59">
        <f>U91*U85</f>
        <v>7.5792621195652217</v>
      </c>
      <c r="AA85" s="59">
        <f>SUM(X85:Z85)</f>
        <v>16.689161974457413</v>
      </c>
      <c r="AB85" s="8"/>
      <c r="AC85" s="8"/>
      <c r="AD85" s="8"/>
      <c r="AE85" s="8"/>
      <c r="AF85" s="8"/>
      <c r="AG85" s="8"/>
      <c r="AH85" s="8"/>
      <c r="AI85" s="8"/>
      <c r="AJ85" s="8"/>
      <c r="AK85" s="11"/>
      <c r="AL85" s="11"/>
      <c r="AM85" s="11"/>
      <c r="AN85" s="11"/>
      <c r="AO85" s="141"/>
      <c r="AP85" s="3"/>
      <c r="BE85" s="7"/>
      <c r="BF85" s="7"/>
    </row>
    <row r="86" spans="2:58" x14ac:dyDescent="0.3">
      <c r="B86" s="69"/>
      <c r="C86" s="132" t="s">
        <v>3</v>
      </c>
      <c r="D86" s="88">
        <f>_xlfn.STDEV.S(D82:D84)</f>
        <v>1.0408329997330585E-3</v>
      </c>
      <c r="E86" s="88">
        <f>_xlfn.STDEV.S(E82:E84)</f>
        <v>1.0408329997331652E-3</v>
      </c>
      <c r="F86" s="88">
        <f>_xlfn.STDEV.S(F82:F84)</f>
        <v>5.7735026918956222E-5</v>
      </c>
      <c r="G86" s="8"/>
      <c r="H86" s="8"/>
      <c r="I86" s="8"/>
      <c r="J86" s="8"/>
      <c r="K86" s="8"/>
      <c r="L86" s="8"/>
      <c r="M86" s="8"/>
      <c r="N86" s="8"/>
      <c r="O86" s="8"/>
      <c r="P86" s="8"/>
      <c r="Q86" s="346"/>
      <c r="R86" s="137" t="s">
        <v>3</v>
      </c>
      <c r="S86" s="139"/>
      <c r="T86" s="139"/>
      <c r="U86" s="139"/>
      <c r="V86" s="8"/>
      <c r="W86" s="137" t="s">
        <v>5</v>
      </c>
      <c r="X86" s="59">
        <f>X84-X85</f>
        <v>0.60110014510781085</v>
      </c>
      <c r="Y86" s="59">
        <f>Y84-Y85</f>
        <v>2.8110000000000008</v>
      </c>
      <c r="Z86" s="59">
        <f>U93*U87</f>
        <v>9.7425682993477825</v>
      </c>
      <c r="AA86" s="59">
        <f>SUM(X86:Z86)</f>
        <v>13.154668444455595</v>
      </c>
      <c r="AB86" s="8"/>
      <c r="AC86" s="8"/>
      <c r="AD86" s="8"/>
      <c r="AE86" s="8"/>
      <c r="AF86" s="8"/>
      <c r="AG86" s="8"/>
      <c r="AH86" s="8"/>
      <c r="AI86" s="8"/>
      <c r="AJ86" s="8"/>
      <c r="AK86" s="11"/>
      <c r="AL86" s="11"/>
      <c r="AM86" s="11"/>
      <c r="AN86" s="11"/>
      <c r="AO86" s="141"/>
      <c r="AP86" s="3"/>
      <c r="BE86" s="7"/>
      <c r="BF86" s="7"/>
    </row>
    <row r="87" spans="2:58" x14ac:dyDescent="0.3">
      <c r="B87" s="69"/>
      <c r="C87" s="87"/>
      <c r="D87" s="89"/>
      <c r="E87" s="89"/>
      <c r="F87" s="89"/>
      <c r="G87" s="8"/>
      <c r="H87" s="8"/>
      <c r="I87" s="8"/>
      <c r="J87" s="8"/>
      <c r="K87" s="8"/>
      <c r="L87" s="8"/>
      <c r="M87" s="8"/>
      <c r="N87" s="8"/>
      <c r="O87" s="8"/>
      <c r="P87" s="8"/>
      <c r="Q87" s="346" t="s">
        <v>5</v>
      </c>
      <c r="R87" s="137" t="s">
        <v>13</v>
      </c>
      <c r="S87" s="139">
        <f>N90</f>
        <v>0.11425803702828234</v>
      </c>
      <c r="T87" s="139">
        <f>M90</f>
        <v>0.24453744593023571</v>
      </c>
      <c r="U87" s="139">
        <f>L90</f>
        <v>0.64120451704148196</v>
      </c>
      <c r="V87" s="8"/>
      <c r="W87" s="137" t="s">
        <v>62</v>
      </c>
      <c r="X87" s="59">
        <f>SUM(X85:X86)</f>
        <v>6.9</v>
      </c>
      <c r="Y87" s="59">
        <f>SUM(Y85:Y86)</f>
        <v>5.6220000000000008</v>
      </c>
      <c r="Z87" s="59">
        <f>SUM(Z85:Z86)</f>
        <v>17.321830418913002</v>
      </c>
      <c r="AA87" s="59">
        <f>SUM(X87:Z87)</f>
        <v>29.843830418913004</v>
      </c>
      <c r="AB87" s="8"/>
      <c r="AC87" s="8"/>
      <c r="AD87" s="8"/>
      <c r="AE87" s="8"/>
      <c r="AF87" s="8"/>
      <c r="AG87" s="8"/>
      <c r="AH87" s="8"/>
      <c r="AI87" s="8"/>
      <c r="AJ87" s="8"/>
      <c r="AK87" s="11"/>
      <c r="AL87" s="11"/>
      <c r="AM87" s="11"/>
      <c r="AN87" s="11"/>
      <c r="AO87" s="141"/>
      <c r="AP87" s="3"/>
      <c r="BE87" s="7"/>
      <c r="BF87" s="7"/>
    </row>
    <row r="88" spans="2:58" x14ac:dyDescent="0.3">
      <c r="B88" s="69"/>
      <c r="C88" s="21"/>
      <c r="D88" s="147"/>
      <c r="E88" s="147"/>
      <c r="F88" s="147"/>
      <c r="G88" s="8"/>
      <c r="H88" s="347" t="s">
        <v>131</v>
      </c>
      <c r="I88" s="347"/>
      <c r="J88" s="347"/>
      <c r="K88" s="8"/>
      <c r="L88" s="8"/>
      <c r="M88" s="8"/>
      <c r="N88" s="8"/>
      <c r="O88" s="8"/>
      <c r="P88" s="8"/>
      <c r="Q88" s="346"/>
      <c r="R88" s="137" t="s">
        <v>3</v>
      </c>
      <c r="S88" s="139"/>
      <c r="T88" s="139"/>
      <c r="U88" s="146"/>
      <c r="V88" s="8"/>
      <c r="W88" s="8"/>
      <c r="X88" s="8"/>
      <c r="Y88" s="8"/>
      <c r="Z88" s="8"/>
      <c r="AA88" s="8"/>
      <c r="AB88" s="8"/>
      <c r="AC88" s="8"/>
      <c r="AD88" s="8"/>
      <c r="AE88" s="8"/>
      <c r="AF88" s="8"/>
      <c r="AG88" s="8"/>
      <c r="AH88" s="8"/>
      <c r="AI88" s="8"/>
      <c r="AJ88" s="8"/>
      <c r="AK88" s="11"/>
      <c r="AL88" s="11"/>
      <c r="AM88" s="11"/>
      <c r="AN88" s="11"/>
      <c r="AO88" s="141"/>
      <c r="AP88" s="3"/>
      <c r="BE88" s="7"/>
      <c r="BF88" s="7"/>
    </row>
    <row r="89" spans="2:58" x14ac:dyDescent="0.3">
      <c r="B89" s="69"/>
      <c r="C89" s="120" t="s">
        <v>5</v>
      </c>
      <c r="D89" s="148" t="s">
        <v>14</v>
      </c>
      <c r="E89" s="148" t="s">
        <v>17</v>
      </c>
      <c r="F89" s="148" t="s">
        <v>15</v>
      </c>
      <c r="G89" s="8"/>
      <c r="H89" s="137" t="s">
        <v>54</v>
      </c>
      <c r="I89" s="137" t="s">
        <v>55</v>
      </c>
      <c r="J89" s="137" t="s">
        <v>56</v>
      </c>
      <c r="K89" s="137" t="s">
        <v>12</v>
      </c>
      <c r="L89" s="137" t="s">
        <v>48</v>
      </c>
      <c r="M89" s="137" t="s">
        <v>49</v>
      </c>
      <c r="N89" s="137" t="s">
        <v>50</v>
      </c>
      <c r="O89" s="137" t="s">
        <v>12</v>
      </c>
      <c r="P89" s="8"/>
      <c r="Q89" s="8"/>
      <c r="R89" s="8"/>
      <c r="S89" s="8"/>
      <c r="T89" s="8"/>
      <c r="U89" s="8"/>
      <c r="V89" s="8"/>
      <c r="W89" s="137" t="s">
        <v>63</v>
      </c>
      <c r="X89" s="137" t="s">
        <v>64</v>
      </c>
      <c r="Y89" s="137" t="s">
        <v>65</v>
      </c>
      <c r="Z89" s="137" t="s">
        <v>66</v>
      </c>
      <c r="AA89" s="137" t="s">
        <v>121</v>
      </c>
      <c r="AB89" s="8" t="s">
        <v>122</v>
      </c>
      <c r="AC89" s="8"/>
      <c r="AD89" s="8"/>
      <c r="AE89" s="8"/>
      <c r="AF89" s="8"/>
      <c r="AG89" s="8"/>
      <c r="AH89" s="8"/>
      <c r="AI89" s="8"/>
      <c r="AJ89" s="8"/>
      <c r="AK89" s="11"/>
      <c r="AL89" s="11"/>
      <c r="AM89" s="11"/>
      <c r="AN89" s="11"/>
      <c r="AO89" s="141"/>
      <c r="AP89" s="3"/>
      <c r="BE89" s="7"/>
      <c r="BF89" s="7"/>
    </row>
    <row r="90" spans="2:58" x14ac:dyDescent="0.3">
      <c r="B90" s="69"/>
      <c r="C90" s="113" t="s">
        <v>7</v>
      </c>
      <c r="D90" s="4">
        <v>0.60629999999999995</v>
      </c>
      <c r="E90" s="4">
        <f>D90+1.5</f>
        <v>2.1063000000000001</v>
      </c>
      <c r="F90" s="4">
        <v>1.3480000000000001</v>
      </c>
      <c r="G90" s="8"/>
      <c r="H90" s="4">
        <f>1.333</f>
        <v>1.333</v>
      </c>
      <c r="I90" s="4">
        <f>I92*0.1375</f>
        <v>9.6953259706375351E-3</v>
      </c>
      <c r="J90" s="4">
        <f>J92*0.16</f>
        <v>5.2713406965013126E-3</v>
      </c>
      <c r="K90" s="4">
        <f>SUM(H90:J90)</f>
        <v>1.3479666666671388</v>
      </c>
      <c r="L90" s="4">
        <v>0.64120451704148196</v>
      </c>
      <c r="M90" s="4">
        <f>I92*(E93/D93)</f>
        <v>0.24453744593023571</v>
      </c>
      <c r="N90" s="4">
        <f>J92*(E93/D93)</f>
        <v>0.11425803702828234</v>
      </c>
      <c r="O90" s="4">
        <f>SUM(L90:N90)</f>
        <v>1</v>
      </c>
      <c r="P90" s="8"/>
      <c r="Q90" s="137"/>
      <c r="R90" s="137"/>
      <c r="S90" s="137" t="s">
        <v>23</v>
      </c>
      <c r="T90" s="137" t="s">
        <v>60</v>
      </c>
      <c r="U90" s="137" t="s">
        <v>61</v>
      </c>
      <c r="V90" s="8"/>
      <c r="W90" s="4">
        <f>(K90-F93)^2/F93</f>
        <v>1.6516543552350286E-25</v>
      </c>
      <c r="X90" s="4">
        <f>(K82-F85)^2/F85</f>
        <v>6.4290987568106155E-7</v>
      </c>
      <c r="Y90" s="4">
        <f>(AA85-U91)^2/U91</f>
        <v>0.21634388732068041</v>
      </c>
      <c r="Z90" s="4">
        <f>(AA86-U93)^2/U93</f>
        <v>0.27375986387772361</v>
      </c>
      <c r="AA90" s="4">
        <f>SUM(W90:Z90)</f>
        <v>0.49010439410827966</v>
      </c>
      <c r="AB90" s="8"/>
      <c r="AC90" s="8"/>
      <c r="AD90" s="8"/>
      <c r="AE90" s="8"/>
      <c r="AF90" s="8"/>
      <c r="AG90" s="8"/>
      <c r="AH90" s="8"/>
      <c r="AI90" s="8"/>
      <c r="AJ90" s="8"/>
      <c r="AK90" s="11"/>
      <c r="AL90" s="11"/>
      <c r="AM90" s="11"/>
      <c r="AN90" s="11"/>
      <c r="AO90" s="141"/>
      <c r="AP90" s="3"/>
      <c r="BE90" s="7"/>
      <c r="BF90" s="7"/>
    </row>
    <row r="91" spans="2:58" x14ac:dyDescent="0.3">
      <c r="B91" s="69"/>
      <c r="C91" s="113" t="s">
        <v>8</v>
      </c>
      <c r="D91" s="4">
        <v>0.60699999999999998</v>
      </c>
      <c r="E91" s="4">
        <f>D91+1.5</f>
        <v>2.1070000000000002</v>
      </c>
      <c r="F91" s="4">
        <v>1.3480000000000001</v>
      </c>
      <c r="G91" s="8"/>
      <c r="H91" s="137" t="s">
        <v>48</v>
      </c>
      <c r="I91" s="137" t="s">
        <v>49</v>
      </c>
      <c r="J91" s="137" t="s">
        <v>50</v>
      </c>
      <c r="K91" s="137" t="s">
        <v>12</v>
      </c>
      <c r="L91" s="4"/>
      <c r="M91" s="4"/>
      <c r="N91" s="4"/>
      <c r="O91" s="4"/>
      <c r="P91" s="8"/>
      <c r="Q91" s="346" t="s">
        <v>4</v>
      </c>
      <c r="R91" s="137" t="s">
        <v>13</v>
      </c>
      <c r="S91" s="4">
        <f>AVERAGE(D82:D84)*2</f>
        <v>1.1032666666666666</v>
      </c>
      <c r="T91" s="4">
        <v>13.5</v>
      </c>
      <c r="U91" s="4">
        <f>S91*T91</f>
        <v>14.8941</v>
      </c>
      <c r="V91" s="8"/>
      <c r="W91" s="8"/>
      <c r="X91" s="8"/>
      <c r="Y91" s="8"/>
      <c r="Z91" s="8"/>
      <c r="AA91" s="8"/>
      <c r="AB91" s="8"/>
      <c r="AC91" s="8"/>
      <c r="AD91" s="8"/>
      <c r="AE91" s="8"/>
      <c r="AF91" s="8"/>
      <c r="AG91" s="8"/>
      <c r="AH91" s="8"/>
      <c r="AI91" s="8"/>
      <c r="AJ91" s="8"/>
      <c r="AK91" s="11"/>
      <c r="AL91" s="11"/>
      <c r="AM91" s="11"/>
      <c r="AN91" s="11"/>
      <c r="AO91" s="141"/>
      <c r="AP91" s="3"/>
      <c r="BE91" s="7"/>
      <c r="BF91" s="7"/>
    </row>
    <row r="92" spans="2:58" x14ac:dyDescent="0.3">
      <c r="B92" s="69"/>
      <c r="C92" s="113" t="s">
        <v>9</v>
      </c>
      <c r="D92" s="4">
        <v>0.61</v>
      </c>
      <c r="E92" s="4">
        <f>D92+1.5</f>
        <v>2.11</v>
      </c>
      <c r="F92" s="4">
        <v>1.3479000000000001</v>
      </c>
      <c r="G92" s="8"/>
      <c r="H92" s="4">
        <f>(L90*D93+1.5)/E93</f>
        <v>0.89654265904223018</v>
      </c>
      <c r="I92" s="4">
        <v>7.0511461604636616E-2</v>
      </c>
      <c r="J92" s="4">
        <f>1-H92-I92</f>
        <v>3.2945879353133201E-2</v>
      </c>
      <c r="K92" s="4">
        <f>SUM(H92:J92)</f>
        <v>1</v>
      </c>
      <c r="L92" s="4"/>
      <c r="M92" s="4"/>
      <c r="N92" s="4"/>
      <c r="O92" s="4"/>
      <c r="P92" s="8"/>
      <c r="Q92" s="346"/>
      <c r="R92" s="137" t="s">
        <v>3</v>
      </c>
      <c r="S92" s="4">
        <f>D86*2</f>
        <v>2.081665999466117E-3</v>
      </c>
      <c r="T92" s="4"/>
      <c r="U92" s="4"/>
      <c r="V92" s="8"/>
      <c r="W92" s="8"/>
      <c r="X92" s="8"/>
      <c r="Y92" s="8"/>
      <c r="Z92" s="8"/>
      <c r="AA92" s="8"/>
      <c r="AB92" s="8"/>
      <c r="AC92" s="8"/>
      <c r="AD92" s="8"/>
      <c r="AE92" s="8"/>
      <c r="AF92" s="8"/>
      <c r="AG92" s="8"/>
      <c r="AH92" s="8"/>
      <c r="AI92" s="8"/>
      <c r="AJ92" s="8"/>
      <c r="AK92" s="11"/>
      <c r="AL92" s="11"/>
      <c r="AM92" s="11"/>
      <c r="AN92" s="11"/>
      <c r="AO92" s="141"/>
      <c r="AP92" s="3"/>
      <c r="BE92" s="7"/>
      <c r="BF92" s="7"/>
    </row>
    <row r="93" spans="2:58" x14ac:dyDescent="0.3">
      <c r="B93" s="69"/>
      <c r="C93" s="113" t="s">
        <v>13</v>
      </c>
      <c r="D93" s="4">
        <f>AVERAGE(D90:D92)</f>
        <v>0.60776666666666657</v>
      </c>
      <c r="E93" s="4">
        <f>D93+1.5</f>
        <v>2.1077666666666666</v>
      </c>
      <c r="F93" s="4">
        <f>AVERAGE(F90:F92)</f>
        <v>1.347966666666667</v>
      </c>
      <c r="G93" s="8"/>
      <c r="H93" s="8"/>
      <c r="I93" s="8"/>
      <c r="J93" s="8"/>
      <c r="K93" s="8"/>
      <c r="L93" s="8"/>
      <c r="M93" s="8"/>
      <c r="N93" s="8"/>
      <c r="O93" s="8"/>
      <c r="P93" s="8"/>
      <c r="Q93" s="346" t="s">
        <v>5</v>
      </c>
      <c r="R93" s="137" t="s">
        <v>13</v>
      </c>
      <c r="S93" s="4">
        <f>AVERAGE(D90:D92)*2</f>
        <v>1.2155333333333331</v>
      </c>
      <c r="T93" s="4">
        <v>12.5</v>
      </c>
      <c r="U93" s="4">
        <f>S93*T93</f>
        <v>15.194166666666664</v>
      </c>
      <c r="V93" s="8"/>
      <c r="W93" s="8"/>
      <c r="X93" s="8"/>
      <c r="Y93" s="8"/>
      <c r="Z93" s="8"/>
      <c r="AA93" s="8"/>
      <c r="AB93" s="8"/>
      <c r="AC93" s="8"/>
      <c r="AD93" s="8"/>
      <c r="AE93" s="8"/>
      <c r="AF93" s="8"/>
      <c r="AG93" s="8"/>
      <c r="AH93" s="8"/>
      <c r="AI93" s="8"/>
      <c r="AJ93" s="8"/>
      <c r="AK93" s="11"/>
      <c r="AL93" s="11"/>
      <c r="AM93" s="11"/>
      <c r="AN93" s="11"/>
      <c r="AO93" s="141"/>
      <c r="AP93" s="3"/>
      <c r="BE93" s="7"/>
      <c r="BF93" s="7"/>
    </row>
    <row r="94" spans="2:58" x14ac:dyDescent="0.3">
      <c r="B94" s="69"/>
      <c r="C94" s="113" t="s">
        <v>3</v>
      </c>
      <c r="D94" s="4">
        <f>_xlfn.STDEV.S(D90:D92)</f>
        <v>1.9655363983740897E-3</v>
      </c>
      <c r="E94" s="4">
        <f>_xlfn.STDEV.S(E90:E92)</f>
        <v>1.9655363983739423E-3</v>
      </c>
      <c r="F94" s="4">
        <f>_xlfn.STDEV.S(F90:F92)</f>
        <v>5.7735026918956215E-5</v>
      </c>
      <c r="G94" s="8"/>
      <c r="H94" s="8"/>
      <c r="I94" s="8"/>
      <c r="J94" s="8"/>
      <c r="K94" s="8"/>
      <c r="L94" s="8"/>
      <c r="M94" s="8"/>
      <c r="N94" s="8"/>
      <c r="O94" s="8"/>
      <c r="P94" s="8"/>
      <c r="Q94" s="346"/>
      <c r="R94" s="137" t="s">
        <v>3</v>
      </c>
      <c r="S94" s="4">
        <f>D94*2</f>
        <v>3.9310727967481795E-3</v>
      </c>
      <c r="T94" s="4"/>
      <c r="U94" s="4"/>
      <c r="V94" s="8"/>
      <c r="W94" s="8"/>
      <c r="X94" s="8"/>
      <c r="Y94" s="8"/>
      <c r="Z94" s="8"/>
      <c r="AA94" s="8"/>
      <c r="AB94" s="8"/>
      <c r="AC94" s="8"/>
      <c r="AD94" s="8"/>
      <c r="AE94" s="8"/>
      <c r="AF94" s="8"/>
      <c r="AG94" s="8"/>
      <c r="AH94" s="8"/>
      <c r="AI94" s="8"/>
      <c r="AJ94" s="8"/>
      <c r="AK94" s="11"/>
      <c r="AL94" s="11"/>
      <c r="AM94" s="11"/>
      <c r="AN94" s="11"/>
      <c r="AO94" s="141"/>
      <c r="AP94" s="3"/>
      <c r="BE94" s="7"/>
      <c r="BF94" s="7"/>
    </row>
    <row r="95" spans="2:58" ht="15" thickBot="1" x14ac:dyDescent="0.35">
      <c r="B95" s="71"/>
      <c r="C95" s="16"/>
      <c r="D95" s="73"/>
      <c r="E95" s="73"/>
      <c r="F95" s="73"/>
      <c r="G95" s="73"/>
      <c r="H95" s="73"/>
      <c r="I95" s="73"/>
      <c r="J95" s="73"/>
      <c r="K95" s="73"/>
      <c r="L95" s="73"/>
      <c r="M95" s="73"/>
      <c r="N95" s="73"/>
      <c r="O95" s="73"/>
      <c r="P95" s="73"/>
      <c r="Q95" s="149"/>
      <c r="R95" s="73"/>
      <c r="S95" s="73"/>
      <c r="T95" s="73"/>
      <c r="U95" s="73"/>
      <c r="V95" s="73"/>
      <c r="W95" s="73"/>
      <c r="X95" s="73"/>
      <c r="Y95" s="73"/>
      <c r="Z95" s="73"/>
      <c r="AA95" s="73"/>
      <c r="AB95" s="73"/>
      <c r="AC95" s="73"/>
      <c r="AD95" s="73"/>
      <c r="AE95" s="73"/>
      <c r="AF95" s="73"/>
      <c r="AG95" s="73"/>
      <c r="AH95" s="73"/>
      <c r="AI95" s="73"/>
      <c r="AJ95" s="73"/>
      <c r="AK95" s="164"/>
      <c r="AL95" s="164"/>
      <c r="AM95" s="164"/>
      <c r="AN95" s="164"/>
      <c r="AO95" s="150"/>
      <c r="AP95" s="3"/>
      <c r="BE95" s="7"/>
      <c r="BF95" s="7"/>
    </row>
    <row r="96" spans="2:58" ht="15" thickBot="1" x14ac:dyDescent="0.35">
      <c r="B96" s="74" t="s">
        <v>127</v>
      </c>
      <c r="C96" s="1"/>
      <c r="D96" s="67"/>
      <c r="E96" s="67"/>
      <c r="F96" s="67"/>
      <c r="G96" s="67"/>
      <c r="H96" s="67"/>
      <c r="I96" s="67"/>
      <c r="J96" s="67"/>
      <c r="K96" s="67"/>
      <c r="L96" s="67"/>
      <c r="M96" s="67"/>
      <c r="N96" s="67"/>
      <c r="O96" s="67"/>
      <c r="P96" s="67"/>
      <c r="Q96" s="151"/>
      <c r="R96" s="67"/>
      <c r="S96" s="67"/>
      <c r="T96" s="67"/>
      <c r="U96" s="67"/>
      <c r="V96" s="67"/>
      <c r="W96" s="67"/>
      <c r="X96" s="67"/>
      <c r="Y96" s="67"/>
      <c r="Z96" s="67"/>
      <c r="AA96" s="67"/>
      <c r="AB96" s="67"/>
      <c r="AC96" s="67"/>
      <c r="AD96" s="67"/>
      <c r="AE96" s="67"/>
      <c r="AF96" s="67"/>
      <c r="AG96" s="67"/>
      <c r="AH96" s="67"/>
      <c r="AI96" s="67"/>
      <c r="AJ96" s="67"/>
      <c r="AK96" s="165"/>
      <c r="AL96" s="165"/>
      <c r="AM96" s="165"/>
      <c r="AN96" s="165"/>
      <c r="AO96" s="152"/>
      <c r="AP96" s="3"/>
      <c r="BE96" s="7"/>
      <c r="BF96" s="7"/>
    </row>
    <row r="97" spans="2:58" x14ac:dyDescent="0.3">
      <c r="B97" s="69"/>
      <c r="C97" s="1"/>
      <c r="D97" s="8"/>
      <c r="E97" s="8"/>
      <c r="F97" s="8"/>
      <c r="G97" s="8"/>
      <c r="H97" s="8"/>
      <c r="I97" s="8"/>
      <c r="J97" s="8"/>
      <c r="K97" s="8"/>
      <c r="L97" s="8"/>
      <c r="M97" s="8"/>
      <c r="N97" s="8"/>
      <c r="O97" s="8"/>
      <c r="P97" s="8"/>
      <c r="Q97" s="8"/>
      <c r="R97" s="8"/>
      <c r="S97" s="8"/>
      <c r="T97" s="8"/>
      <c r="U97" s="8"/>
      <c r="V97" s="8"/>
      <c r="W97" s="8"/>
      <c r="X97" s="8"/>
      <c r="Y97" s="8"/>
      <c r="Z97" s="8"/>
      <c r="AA97" s="8"/>
      <c r="AB97" s="8"/>
      <c r="AC97" s="8"/>
      <c r="AD97" s="153"/>
      <c r="AE97" s="336" t="s">
        <v>57</v>
      </c>
      <c r="AF97" s="336"/>
      <c r="AG97" s="336"/>
      <c r="AH97" s="336"/>
      <c r="AI97" s="341" t="s">
        <v>117</v>
      </c>
      <c r="AJ97" s="342"/>
      <c r="AK97" s="337" t="s">
        <v>77</v>
      </c>
      <c r="AL97" s="337"/>
      <c r="AM97" s="337"/>
      <c r="AN97" s="338"/>
      <c r="AO97" s="141"/>
      <c r="AP97" s="3"/>
      <c r="BE97" s="7"/>
      <c r="BF97" s="7"/>
    </row>
    <row r="98" spans="2:58" x14ac:dyDescent="0.3">
      <c r="B98" s="69"/>
      <c r="C98" s="1"/>
      <c r="D98" s="8"/>
      <c r="E98" s="8"/>
      <c r="F98" s="8"/>
      <c r="G98" s="8"/>
      <c r="H98" s="8"/>
      <c r="I98" s="8"/>
      <c r="J98" s="8"/>
      <c r="K98" s="8"/>
      <c r="L98" s="8"/>
      <c r="M98" s="8"/>
      <c r="N98" s="8"/>
      <c r="O98" s="8"/>
      <c r="P98" s="8"/>
      <c r="Q98" s="8"/>
      <c r="R98" s="8"/>
      <c r="S98" s="8"/>
      <c r="T98" s="154" t="s">
        <v>111</v>
      </c>
      <c r="U98" s="154" t="s">
        <v>112</v>
      </c>
      <c r="V98" s="154" t="s">
        <v>71</v>
      </c>
      <c r="W98" s="154" t="s">
        <v>72</v>
      </c>
      <c r="X98" s="8"/>
      <c r="Y98" s="137"/>
      <c r="Z98" s="137" t="s">
        <v>68</v>
      </c>
      <c r="AA98" s="137" t="s">
        <v>67</v>
      </c>
      <c r="AB98" s="137" t="s">
        <v>73</v>
      </c>
      <c r="AC98" s="8"/>
      <c r="AD98" s="140"/>
      <c r="AE98" s="155" t="s">
        <v>0</v>
      </c>
      <c r="AF98" s="155" t="s">
        <v>52</v>
      </c>
      <c r="AG98" s="155" t="s">
        <v>20</v>
      </c>
      <c r="AH98" s="155" t="s">
        <v>12</v>
      </c>
      <c r="AI98" s="156" t="s">
        <v>15</v>
      </c>
      <c r="AJ98" s="156" t="s">
        <v>76</v>
      </c>
      <c r="AK98" s="166" t="s">
        <v>0</v>
      </c>
      <c r="AL98" s="166" t="s">
        <v>52</v>
      </c>
      <c r="AM98" s="166" t="s">
        <v>20</v>
      </c>
      <c r="AN98" s="166" t="s">
        <v>12</v>
      </c>
      <c r="AO98" s="141"/>
      <c r="AP98" s="3"/>
      <c r="BE98" s="7"/>
      <c r="BF98" s="7"/>
    </row>
    <row r="99" spans="2:58" x14ac:dyDescent="0.3">
      <c r="B99" s="69"/>
      <c r="C99" s="113"/>
      <c r="D99" s="346" t="s">
        <v>57</v>
      </c>
      <c r="E99" s="346"/>
      <c r="F99" s="346"/>
      <c r="G99" s="158"/>
      <c r="H99" s="145"/>
      <c r="I99" s="346" t="s">
        <v>11</v>
      </c>
      <c r="J99" s="346"/>
      <c r="K99" s="346"/>
      <c r="L99" s="346"/>
      <c r="M99" s="8"/>
      <c r="N99" s="8"/>
      <c r="O99" s="8"/>
      <c r="P99" s="8"/>
      <c r="Q99" s="8"/>
      <c r="R99" s="8"/>
      <c r="S99" s="8"/>
      <c r="T99" s="154">
        <v>0.13750000000000001</v>
      </c>
      <c r="U99" s="154">
        <v>0.16</v>
      </c>
      <c r="V99" s="154">
        <f>F109</f>
        <v>1.3528666666666667</v>
      </c>
      <c r="W99" s="154">
        <f>F117</f>
        <v>1.3499666666666668</v>
      </c>
      <c r="X99" s="8"/>
      <c r="Y99" s="137" t="s">
        <v>6</v>
      </c>
      <c r="Z99" s="49">
        <f>J101</f>
        <v>0.24379144454557275</v>
      </c>
      <c r="AA99" s="49">
        <f>K101</f>
        <v>0.2071252112859186</v>
      </c>
      <c r="AB99" s="49">
        <f>L101</f>
        <v>0.54908334416850868</v>
      </c>
      <c r="AC99" s="8"/>
      <c r="AD99" s="140" t="s">
        <v>6</v>
      </c>
      <c r="AE99" s="48">
        <f>Z99*$AH99</f>
        <v>7.5</v>
      </c>
      <c r="AF99" s="48">
        <f>AA99*$AH99</f>
        <v>6.3719999999999999</v>
      </c>
      <c r="AG99" s="48">
        <f>AB99*$AH99</f>
        <v>16.891999999999999</v>
      </c>
      <c r="AH99" s="48">
        <f>AA108</f>
        <v>30.763999999999999</v>
      </c>
      <c r="AI99" s="48" t="s">
        <v>109</v>
      </c>
      <c r="AJ99" s="48" t="s">
        <v>109</v>
      </c>
      <c r="AK99" s="49">
        <f t="shared" ref="AK99:AN102" si="8">AE99/$AH99</f>
        <v>0.24379144454557275</v>
      </c>
      <c r="AL99" s="49">
        <f t="shared" si="8"/>
        <v>0.2071252112859186</v>
      </c>
      <c r="AM99" s="49">
        <f t="shared" si="8"/>
        <v>0.54908334416850868</v>
      </c>
      <c r="AN99" s="49">
        <f t="shared" si="8"/>
        <v>1</v>
      </c>
      <c r="AO99" s="141"/>
      <c r="AP99" s="3"/>
      <c r="BE99" s="7"/>
      <c r="BF99" s="7"/>
    </row>
    <row r="100" spans="2:58" x14ac:dyDescent="0.3">
      <c r="B100" s="69"/>
      <c r="C100" s="113" t="s">
        <v>6</v>
      </c>
      <c r="D100" s="156" t="s">
        <v>0</v>
      </c>
      <c r="E100" s="137" t="s">
        <v>52</v>
      </c>
      <c r="F100" s="159" t="s">
        <v>20</v>
      </c>
      <c r="G100" s="137" t="s">
        <v>12</v>
      </c>
      <c r="H100" s="64"/>
      <c r="I100" s="137" t="s">
        <v>6</v>
      </c>
      <c r="J100" s="137" t="s">
        <v>10</v>
      </c>
      <c r="K100" s="137" t="s">
        <v>58</v>
      </c>
      <c r="L100" s="137" t="s">
        <v>59</v>
      </c>
      <c r="M100" s="8"/>
      <c r="N100" s="8"/>
      <c r="O100" s="8"/>
      <c r="P100" s="8"/>
      <c r="Q100" s="8"/>
      <c r="R100" s="8"/>
      <c r="S100" s="8"/>
      <c r="T100" s="8"/>
      <c r="U100" s="8"/>
      <c r="V100" s="8"/>
      <c r="W100" s="8"/>
      <c r="X100" s="8"/>
      <c r="Y100" s="137" t="s">
        <v>4</v>
      </c>
      <c r="Z100" s="49">
        <v>0.13324596883987883</v>
      </c>
      <c r="AA100" s="49">
        <v>8.7208651778301095E-3</v>
      </c>
      <c r="AB100" s="49">
        <f>1-AA100-Z100</f>
        <v>0.85803316598229107</v>
      </c>
      <c r="AC100" s="8"/>
      <c r="AD100" s="140" t="s">
        <v>4</v>
      </c>
      <c r="AE100" s="48">
        <f>Z100*$AH100*E109/D109</f>
        <v>7.1230274699838843</v>
      </c>
      <c r="AF100" s="48">
        <f>AA100*$AH100*E109/D109</f>
        <v>0.46619768511239451</v>
      </c>
      <c r="AG100" s="48">
        <f>AH100-AE100-AF100</f>
        <v>6.8685081782370547</v>
      </c>
      <c r="AH100" s="48">
        <f>U115</f>
        <v>14.457733333333334</v>
      </c>
      <c r="AI100" s="48">
        <f>Z100*$T$3+AA100*$U$3+1.333</f>
        <v>1.3527166591439361</v>
      </c>
      <c r="AJ100" s="48">
        <f>(V99-AI100)^2/V99</f>
        <v>1.6633018929496425E-8</v>
      </c>
      <c r="AK100" s="49">
        <f t="shared" si="8"/>
        <v>0.49267940594541448</v>
      </c>
      <c r="AL100" s="49">
        <f t="shared" si="8"/>
        <v>3.2245558440170047E-2</v>
      </c>
      <c r="AM100" s="49">
        <f t="shared" si="8"/>
        <v>0.47507503561441544</v>
      </c>
      <c r="AN100" s="49">
        <f t="shared" si="8"/>
        <v>1</v>
      </c>
      <c r="AO100" s="141"/>
      <c r="AP100" s="3"/>
      <c r="BE100" s="7"/>
      <c r="BF100" s="7"/>
    </row>
    <row r="101" spans="2:58" x14ac:dyDescent="0.3">
      <c r="B101" s="69"/>
      <c r="C101" s="113" t="s">
        <v>7</v>
      </c>
      <c r="D101" s="4">
        <v>7.5</v>
      </c>
      <c r="E101" s="4">
        <f>6+0.62*1.2/2</f>
        <v>6.3719999999999999</v>
      </c>
      <c r="F101" s="56">
        <f>16.52+0.62*1.2/2</f>
        <v>16.891999999999999</v>
      </c>
      <c r="G101" s="4">
        <f>SUM(D101:F101)</f>
        <v>30.763999999999999</v>
      </c>
      <c r="H101" s="8"/>
      <c r="I101" s="137" t="s">
        <v>7</v>
      </c>
      <c r="J101" s="139">
        <f>D101/G101</f>
        <v>0.24379144454557275</v>
      </c>
      <c r="K101" s="139">
        <f>E101/G101</f>
        <v>0.2071252112859186</v>
      </c>
      <c r="L101" s="139">
        <f>1-K101-J101</f>
        <v>0.54908334416850868</v>
      </c>
      <c r="M101" s="8"/>
      <c r="N101" s="8"/>
      <c r="O101" s="8"/>
      <c r="P101" s="8"/>
      <c r="Q101" s="8"/>
      <c r="R101" s="8"/>
      <c r="S101" s="8"/>
      <c r="T101" s="8"/>
      <c r="U101" s="8"/>
      <c r="V101" s="8"/>
      <c r="W101" s="8"/>
      <c r="X101" s="8"/>
      <c r="Y101" s="137" t="s">
        <v>5</v>
      </c>
      <c r="Z101" s="49">
        <v>4.1263243735359927E-3</v>
      </c>
      <c r="AA101" s="49">
        <v>0.10855278779349443</v>
      </c>
      <c r="AB101" s="49">
        <f>1-AA101-Z101</f>
        <v>0.88732088783296958</v>
      </c>
      <c r="AC101" s="8"/>
      <c r="AD101" s="140" t="s">
        <v>5</v>
      </c>
      <c r="AE101" s="48">
        <f>Z101*$AH101*E117/D117</f>
        <v>0.21940354414819796</v>
      </c>
      <c r="AF101" s="48">
        <f>AA101*$AH101*E117/D117</f>
        <v>5.7719326482930873</v>
      </c>
      <c r="AG101" s="48">
        <f>AH101-AE101-AF101</f>
        <v>9.6803304742253786</v>
      </c>
      <c r="AH101" s="48">
        <f>U117</f>
        <v>15.671666666666665</v>
      </c>
      <c r="AI101" s="48">
        <f>Z101*$T$3+AA101*$U$3+1.333</f>
        <v>1.3509358156483202</v>
      </c>
      <c r="AJ101" s="48">
        <f>(W99-AI101)^2/W99</f>
        <v>6.9575773375139929E-7</v>
      </c>
      <c r="AK101" s="49">
        <f t="shared" si="8"/>
        <v>1.4000013451974772E-2</v>
      </c>
      <c r="AL101" s="49">
        <f t="shared" si="8"/>
        <v>0.3683036891391952</v>
      </c>
      <c r="AM101" s="49">
        <f t="shared" si="8"/>
        <v>0.61769629740882992</v>
      </c>
      <c r="AN101" s="49">
        <f t="shared" si="8"/>
        <v>1</v>
      </c>
      <c r="AO101" s="141"/>
      <c r="AP101" s="3"/>
      <c r="BE101" s="7"/>
      <c r="BF101" s="7"/>
    </row>
    <row r="102" spans="2:58" x14ac:dyDescent="0.3">
      <c r="B102" s="69"/>
      <c r="C102" s="1"/>
      <c r="D102" s="8"/>
      <c r="E102" s="8"/>
      <c r="F102" s="8"/>
      <c r="G102" s="8"/>
      <c r="H102" s="8"/>
      <c r="I102" s="8"/>
      <c r="J102" s="8"/>
      <c r="K102" s="8"/>
      <c r="L102" s="8"/>
      <c r="M102" s="8"/>
      <c r="N102" s="142"/>
      <c r="O102" s="142"/>
      <c r="P102" s="142"/>
      <c r="Q102" s="8"/>
      <c r="R102" s="8"/>
      <c r="S102" s="8"/>
      <c r="T102" s="8"/>
      <c r="U102" s="8"/>
      <c r="V102" s="8"/>
      <c r="W102" s="8"/>
      <c r="X102" s="8"/>
      <c r="Y102" s="8"/>
      <c r="Z102" s="8"/>
      <c r="AA102" s="8"/>
      <c r="AB102" s="8"/>
      <c r="AC102" s="8"/>
      <c r="AD102" s="140" t="s">
        <v>75</v>
      </c>
      <c r="AE102" s="48">
        <f>SUM(AE100:AE101)</f>
        <v>7.3424310141320825</v>
      </c>
      <c r="AF102" s="48">
        <f>SUM(AF100:AF101)</f>
        <v>6.2381303334054818</v>
      </c>
      <c r="AG102" s="48">
        <f>SUM(AG100:AG101)</f>
        <v>16.548838652462432</v>
      </c>
      <c r="AH102" s="48">
        <f>SUM(AH100:AH101)</f>
        <v>30.129399999999997</v>
      </c>
      <c r="AI102" s="48"/>
      <c r="AJ102" s="48"/>
      <c r="AK102" s="49">
        <f t="shared" si="8"/>
        <v>0.24369655599288678</v>
      </c>
      <c r="AL102" s="49">
        <f t="shared" si="8"/>
        <v>0.20704462529640427</v>
      </c>
      <c r="AM102" s="49">
        <f t="shared" si="8"/>
        <v>0.54925881871070892</v>
      </c>
      <c r="AN102" s="49">
        <f t="shared" si="8"/>
        <v>1</v>
      </c>
      <c r="AO102" s="141"/>
      <c r="AP102" s="3"/>
      <c r="BE102" s="7"/>
      <c r="BF102" s="7"/>
    </row>
    <row r="103" spans="2:58" x14ac:dyDescent="0.3">
      <c r="B103" s="69"/>
      <c r="C103" s="1" t="s">
        <v>16</v>
      </c>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140" t="s">
        <v>76</v>
      </c>
      <c r="AE103" s="48">
        <f>(AE102-AE99)^2/AE99</f>
        <v>3.3103980409925292E-3</v>
      </c>
      <c r="AF103" s="48">
        <f>(AF102-AF99)^2/AF99</f>
        <v>2.8124745188523887E-3</v>
      </c>
      <c r="AG103" s="48">
        <f>(AG102-AG99)^2/AG99</f>
        <v>6.9713302417593439E-3</v>
      </c>
      <c r="AH103" s="48"/>
      <c r="AI103" s="48" t="s">
        <v>74</v>
      </c>
      <c r="AJ103" s="48">
        <f>AJ100+AJ101+AE103+AF103+AG103</f>
        <v>1.3094915192356942E-2</v>
      </c>
      <c r="AK103" s="49"/>
      <c r="AL103" s="49" t="s">
        <v>118</v>
      </c>
      <c r="AM103" s="49">
        <f>ABS(U109-AM100)/U109</f>
        <v>1.0037891935107736E-2</v>
      </c>
      <c r="AN103" s="49"/>
      <c r="AO103" s="141"/>
      <c r="AP103" s="3"/>
      <c r="BE103" s="7"/>
      <c r="BF103" s="7"/>
    </row>
    <row r="104" spans="2:58" ht="15" thickBot="1" x14ac:dyDescent="0.35">
      <c r="B104" s="69"/>
      <c r="C104" s="1">
        <v>1.5</v>
      </c>
      <c r="D104" s="8"/>
      <c r="E104" s="8"/>
      <c r="F104" s="8"/>
      <c r="G104" s="8"/>
      <c r="H104" s="347" t="s">
        <v>130</v>
      </c>
      <c r="I104" s="347"/>
      <c r="J104" s="347"/>
      <c r="K104" s="8"/>
      <c r="L104" s="8"/>
      <c r="M104" s="8"/>
      <c r="N104" s="8"/>
      <c r="O104" s="8"/>
      <c r="P104" s="8"/>
      <c r="Q104" s="8"/>
      <c r="R104" s="8"/>
      <c r="S104" s="8"/>
      <c r="T104" s="8"/>
      <c r="U104" s="8"/>
      <c r="V104" s="8"/>
      <c r="W104" s="8"/>
      <c r="X104" s="8"/>
      <c r="Y104" s="8"/>
      <c r="Z104" s="8"/>
      <c r="AA104" s="8"/>
      <c r="AB104" s="8"/>
      <c r="AC104" s="8"/>
      <c r="AD104" s="144" t="s">
        <v>110</v>
      </c>
      <c r="AE104" s="49">
        <f>ABS((AE99-AE102)/AE99)</f>
        <v>2.1009198115722327E-2</v>
      </c>
      <c r="AF104" s="49">
        <f>ABS((AF99-AF102)/AF99)</f>
        <v>2.1009049999139683E-2</v>
      </c>
      <c r="AG104" s="49">
        <f>ABS((AG99-AG102)/AG99)</f>
        <v>2.0315021758084716E-2</v>
      </c>
      <c r="AH104" s="49">
        <f>AVERAGE(AE104:AG104)</f>
        <v>2.0777756624315576E-2</v>
      </c>
      <c r="AI104" s="48"/>
      <c r="AJ104" s="48"/>
      <c r="AK104" s="49"/>
      <c r="AL104" s="49" t="s">
        <v>119</v>
      </c>
      <c r="AM104" s="49">
        <f>ABS(U111-AM101)/U111</f>
        <v>6.5000000000000058E-2</v>
      </c>
      <c r="AN104" s="49"/>
      <c r="AO104" s="141"/>
      <c r="AP104" s="3"/>
      <c r="BE104" s="7"/>
      <c r="BF104" s="7"/>
    </row>
    <row r="105" spans="2:58" x14ac:dyDescent="0.3">
      <c r="B105" s="69"/>
      <c r="C105" s="113" t="s">
        <v>4</v>
      </c>
      <c r="D105" s="137" t="s">
        <v>14</v>
      </c>
      <c r="E105" s="137" t="s">
        <v>17</v>
      </c>
      <c r="F105" s="137" t="s">
        <v>15</v>
      </c>
      <c r="G105" s="8"/>
      <c r="H105" s="137" t="s">
        <v>54</v>
      </c>
      <c r="I105" s="137" t="s">
        <v>55</v>
      </c>
      <c r="J105" s="137" t="s">
        <v>56</v>
      </c>
      <c r="K105" s="137" t="s">
        <v>12</v>
      </c>
      <c r="L105" s="137" t="s">
        <v>48</v>
      </c>
      <c r="M105" s="137" t="s">
        <v>49</v>
      </c>
      <c r="N105" s="137" t="s">
        <v>50</v>
      </c>
      <c r="O105" s="137" t="s">
        <v>12</v>
      </c>
      <c r="P105" s="8"/>
      <c r="Q105" s="147"/>
      <c r="R105" s="147"/>
      <c r="S105" s="8"/>
      <c r="T105" s="8"/>
      <c r="U105" s="8"/>
      <c r="V105" s="8"/>
      <c r="W105" s="8"/>
      <c r="X105" s="8"/>
      <c r="Y105" s="8"/>
      <c r="Z105" s="8"/>
      <c r="AA105" s="8"/>
      <c r="AB105" s="8"/>
      <c r="AC105" s="8"/>
      <c r="AD105" s="8"/>
      <c r="AE105" s="8"/>
      <c r="AF105" s="8"/>
      <c r="AG105" s="8"/>
      <c r="AH105" s="8"/>
      <c r="AI105" s="8"/>
      <c r="AJ105" s="8"/>
      <c r="AK105" s="11"/>
      <c r="AL105" s="11"/>
      <c r="AM105" s="11"/>
      <c r="AN105" s="11"/>
      <c r="AO105" s="141"/>
      <c r="AP105" s="3"/>
    </row>
    <row r="106" spans="2:58" x14ac:dyDescent="0.3">
      <c r="B106" s="69"/>
      <c r="C106" s="113" t="s">
        <v>7</v>
      </c>
      <c r="D106" s="4">
        <v>0.55900000000000005</v>
      </c>
      <c r="E106" s="4">
        <f>D106+1.5</f>
        <v>2.0590000000000002</v>
      </c>
      <c r="F106" s="4">
        <v>1.353</v>
      </c>
      <c r="G106" s="8"/>
      <c r="H106" s="4">
        <f>1.333</f>
        <v>1.333</v>
      </c>
      <c r="I106" s="4">
        <f>I108*0.1375</f>
        <v>1.6118662189805844E-2</v>
      </c>
      <c r="J106" s="4">
        <f>J108*0.16</f>
        <v>3.7499849101942039E-3</v>
      </c>
      <c r="K106" s="4">
        <f>SUM(H106:J106)</f>
        <v>1.3528686471000002</v>
      </c>
      <c r="L106" s="4">
        <v>0.47989214106695299</v>
      </c>
      <c r="M106" s="4">
        <f>I108*(E109/D109)</f>
        <v>0.43344762288873318</v>
      </c>
      <c r="N106" s="4">
        <f>J108*(E109/D109)</f>
        <v>8.6660236044313804E-2</v>
      </c>
      <c r="O106" s="4">
        <f>SUM(L106:N106)</f>
        <v>1</v>
      </c>
      <c r="P106" s="8"/>
      <c r="Q106" s="137"/>
      <c r="R106" s="137"/>
      <c r="S106" s="137" t="s">
        <v>58</v>
      </c>
      <c r="T106" s="137" t="s">
        <v>10</v>
      </c>
      <c r="U106" s="137" t="s">
        <v>59</v>
      </c>
      <c r="V106" s="8"/>
      <c r="W106" s="343" t="s">
        <v>57</v>
      </c>
      <c r="X106" s="344"/>
      <c r="Y106" s="344"/>
      <c r="Z106" s="344"/>
      <c r="AA106" s="345"/>
      <c r="AB106" s="145"/>
      <c r="AC106" s="145"/>
      <c r="AD106" s="145"/>
      <c r="AE106" s="145"/>
      <c r="AF106" s="145"/>
      <c r="AG106" s="145"/>
      <c r="AH106" s="145"/>
      <c r="AI106" s="8"/>
      <c r="AJ106" s="8"/>
      <c r="AK106" s="11"/>
      <c r="AL106" s="11"/>
      <c r="AM106" s="11"/>
      <c r="AN106" s="11"/>
      <c r="AO106" s="141"/>
      <c r="AP106" s="3"/>
    </row>
    <row r="107" spans="2:58" x14ac:dyDescent="0.3">
      <c r="B107" s="69"/>
      <c r="C107" s="113" t="s">
        <v>8</v>
      </c>
      <c r="D107" s="4">
        <v>0.55169999999999997</v>
      </c>
      <c r="E107" s="4">
        <f>D107+1.5</f>
        <v>2.0516999999999999</v>
      </c>
      <c r="F107" s="4">
        <v>1.3527</v>
      </c>
      <c r="G107" s="8"/>
      <c r="H107" s="137" t="s">
        <v>48</v>
      </c>
      <c r="I107" s="137" t="s">
        <v>49</v>
      </c>
      <c r="J107" s="137" t="s">
        <v>50</v>
      </c>
      <c r="K107" s="137" t="s">
        <v>12</v>
      </c>
      <c r="L107" s="4"/>
      <c r="M107" s="4"/>
      <c r="N107" s="4"/>
      <c r="O107" s="4"/>
      <c r="P107" s="8"/>
      <c r="Q107" s="346" t="s">
        <v>6</v>
      </c>
      <c r="R107" s="137" t="s">
        <v>13</v>
      </c>
      <c r="S107" s="139">
        <f>K101</f>
        <v>0.2071252112859186</v>
      </c>
      <c r="T107" s="139">
        <f>J101</f>
        <v>0.24379144454557275</v>
      </c>
      <c r="U107" s="139">
        <f>L101</f>
        <v>0.54908334416850868</v>
      </c>
      <c r="V107" s="8"/>
      <c r="W107" s="137"/>
      <c r="X107" s="137" t="s">
        <v>0</v>
      </c>
      <c r="Y107" s="137" t="s">
        <v>52</v>
      </c>
      <c r="Z107" s="137" t="s">
        <v>20</v>
      </c>
      <c r="AA107" s="137" t="s">
        <v>12</v>
      </c>
      <c r="AB107" s="8"/>
      <c r="AC107" s="8"/>
      <c r="AD107" s="8"/>
      <c r="AE107" s="8"/>
      <c r="AF107" s="8"/>
      <c r="AG107" s="8"/>
      <c r="AH107" s="8"/>
      <c r="AI107" s="8"/>
      <c r="AJ107" s="8"/>
      <c r="AK107" s="11"/>
      <c r="AL107" s="11"/>
      <c r="AM107" s="11"/>
      <c r="AN107" s="11"/>
      <c r="AO107" s="141"/>
      <c r="AP107" s="3"/>
    </row>
    <row r="108" spans="2:58" x14ac:dyDescent="0.3">
      <c r="B108" s="69"/>
      <c r="C108" s="113" t="s">
        <v>9</v>
      </c>
      <c r="D108" s="4">
        <v>0.5575</v>
      </c>
      <c r="E108" s="4">
        <f>D108+1.5</f>
        <v>2.0575000000000001</v>
      </c>
      <c r="F108" s="4">
        <v>1.3529</v>
      </c>
      <c r="G108" s="8"/>
      <c r="H108" s="4">
        <f>(L106*D109+1.5)/E109</f>
        <v>0.85933596020360736</v>
      </c>
      <c r="I108" s="4">
        <v>0.11722663410767886</v>
      </c>
      <c r="J108" s="4">
        <f>1-H108-I108</f>
        <v>2.3437405688713775E-2</v>
      </c>
      <c r="K108" s="4">
        <f>SUM(H108:J108)</f>
        <v>1</v>
      </c>
      <c r="L108" s="4"/>
      <c r="M108" s="4"/>
      <c r="N108" s="4"/>
      <c r="O108" s="4"/>
      <c r="P108" s="8"/>
      <c r="Q108" s="346"/>
      <c r="R108" s="137" t="s">
        <v>3</v>
      </c>
      <c r="S108" s="139"/>
      <c r="T108" s="139"/>
      <c r="U108" s="139"/>
      <c r="V108" s="8"/>
      <c r="W108" s="137" t="s">
        <v>6</v>
      </c>
      <c r="X108" s="48">
        <f>D101</f>
        <v>7.5</v>
      </c>
      <c r="Y108" s="48">
        <f>E101</f>
        <v>6.3719999999999999</v>
      </c>
      <c r="Z108" s="48">
        <f>F101</f>
        <v>16.891999999999999</v>
      </c>
      <c r="AA108" s="48">
        <f>SUM(X108:Z108)</f>
        <v>30.763999999999999</v>
      </c>
      <c r="AB108" s="8"/>
      <c r="AC108" s="8"/>
      <c r="AD108" s="8"/>
      <c r="AE108" s="8"/>
      <c r="AF108" s="8"/>
      <c r="AG108" s="8"/>
      <c r="AH108" s="8"/>
      <c r="AI108" s="8"/>
      <c r="AJ108" s="8"/>
      <c r="AK108" s="8"/>
      <c r="AL108" s="8"/>
      <c r="AM108" s="8"/>
      <c r="AN108" s="8"/>
      <c r="AO108" s="141"/>
      <c r="AP108" s="3"/>
    </row>
    <row r="109" spans="2:58" x14ac:dyDescent="0.3">
      <c r="B109" s="69"/>
      <c r="C109" s="113" t="s">
        <v>13</v>
      </c>
      <c r="D109" s="4">
        <f>AVERAGE(D106:D108)</f>
        <v>0.55606666666666671</v>
      </c>
      <c r="E109" s="4">
        <f>D109+1.5</f>
        <v>2.0560666666666667</v>
      </c>
      <c r="F109" s="4">
        <f>AVERAGE(F106:F108)</f>
        <v>1.3528666666666667</v>
      </c>
      <c r="G109" s="8"/>
      <c r="H109" s="8"/>
      <c r="I109" s="8"/>
      <c r="J109" s="8"/>
      <c r="K109" s="8"/>
      <c r="L109" s="8"/>
      <c r="M109" s="8"/>
      <c r="N109" s="8"/>
      <c r="O109" s="8"/>
      <c r="P109" s="8"/>
      <c r="Q109" s="346" t="s">
        <v>4</v>
      </c>
      <c r="R109" s="137" t="s">
        <v>13</v>
      </c>
      <c r="S109" s="139">
        <f>N106</f>
        <v>8.6660236044313804E-2</v>
      </c>
      <c r="T109" s="139">
        <f>M106</f>
        <v>0.43344762288873318</v>
      </c>
      <c r="U109" s="146">
        <f>L106</f>
        <v>0.47989214106695299</v>
      </c>
      <c r="V109" s="8"/>
      <c r="W109" s="137" t="s">
        <v>4</v>
      </c>
      <c r="X109" s="48">
        <f>T109*$U$19</f>
        <v>9.0288584673132721</v>
      </c>
      <c r="Y109" s="48">
        <f>S109*U115</f>
        <v>1.2529105833324106</v>
      </c>
      <c r="Z109" s="48">
        <f>U115*U109</f>
        <v>6.9381526043083888</v>
      </c>
      <c r="AA109" s="48">
        <f>SUM(X109:Z109)</f>
        <v>17.219921654954071</v>
      </c>
      <c r="AB109" s="8"/>
      <c r="AC109" s="8"/>
      <c r="AD109" s="8"/>
      <c r="AE109" s="8"/>
      <c r="AF109" s="8"/>
      <c r="AG109" s="8"/>
      <c r="AH109" s="8"/>
      <c r="AI109" s="8"/>
      <c r="AJ109" s="8"/>
      <c r="AK109" s="8"/>
      <c r="AL109" s="8"/>
      <c r="AM109" s="8"/>
      <c r="AN109" s="8"/>
      <c r="AO109" s="141"/>
      <c r="AP109" s="3"/>
    </row>
    <row r="110" spans="2:58" x14ac:dyDescent="0.3">
      <c r="B110" s="69"/>
      <c r="C110" s="132" t="s">
        <v>3</v>
      </c>
      <c r="D110" s="88">
        <f>_xlfn.STDEV.S(D106:D108)</f>
        <v>3.8552993831003088E-3</v>
      </c>
      <c r="E110" s="88">
        <f>_xlfn.STDEV.S(E106:E108)</f>
        <v>3.8552993831004342E-3</v>
      </c>
      <c r="F110" s="88">
        <f>_xlfn.STDEV.S(F106:F108)</f>
        <v>1.5275252316517785E-4</v>
      </c>
      <c r="G110" s="8"/>
      <c r="H110" s="8"/>
      <c r="I110" s="8"/>
      <c r="J110" s="8"/>
      <c r="K110" s="8"/>
      <c r="L110" s="8"/>
      <c r="M110" s="8"/>
      <c r="N110" s="8"/>
      <c r="O110" s="8"/>
      <c r="P110" s="8"/>
      <c r="Q110" s="346"/>
      <c r="R110" s="137" t="s">
        <v>3</v>
      </c>
      <c r="S110" s="139"/>
      <c r="T110" s="139"/>
      <c r="U110" s="139"/>
      <c r="V110" s="8"/>
      <c r="W110" s="137" t="s">
        <v>5</v>
      </c>
      <c r="X110" s="48">
        <v>0</v>
      </c>
      <c r="Y110" s="48">
        <f>Y108-Y109</f>
        <v>5.1190894166675891</v>
      </c>
      <c r="Z110" s="48">
        <f>U117*U111</f>
        <v>9.0895121823712461</v>
      </c>
      <c r="AA110" s="48">
        <f>SUM(X110:Z110)</f>
        <v>14.208601599038836</v>
      </c>
      <c r="AB110" s="8"/>
      <c r="AC110" s="8"/>
      <c r="AD110" s="8"/>
      <c r="AE110" s="8"/>
      <c r="AF110" s="8"/>
      <c r="AG110" s="8"/>
      <c r="AH110" s="8"/>
      <c r="AI110" s="8"/>
      <c r="AJ110" s="8"/>
      <c r="AK110" s="8"/>
      <c r="AL110" s="8"/>
      <c r="AM110" s="8"/>
      <c r="AN110" s="8"/>
      <c r="AO110" s="141"/>
      <c r="AP110" s="3"/>
    </row>
    <row r="111" spans="2:58" x14ac:dyDescent="0.3">
      <c r="B111" s="69"/>
      <c r="C111" s="87"/>
      <c r="D111" s="89"/>
      <c r="E111" s="89"/>
      <c r="F111" s="89"/>
      <c r="G111" s="8"/>
      <c r="H111" s="8"/>
      <c r="I111" s="8"/>
      <c r="J111" s="8"/>
      <c r="K111" s="8"/>
      <c r="L111" s="8"/>
      <c r="M111" s="8"/>
      <c r="N111" s="8"/>
      <c r="O111" s="8"/>
      <c r="P111" s="8"/>
      <c r="Q111" s="346" t="s">
        <v>5</v>
      </c>
      <c r="R111" s="137" t="s">
        <v>13</v>
      </c>
      <c r="S111" s="139">
        <f>N114</f>
        <v>-3.1987188571633101E-3</v>
      </c>
      <c r="T111" s="139">
        <f>M114</f>
        <v>0.42320219546859061</v>
      </c>
      <c r="U111" s="139">
        <f>L114</f>
        <v>0.57999652338857266</v>
      </c>
      <c r="V111" s="8"/>
      <c r="W111" s="137" t="s">
        <v>62</v>
      </c>
      <c r="X111" s="48">
        <f>SUM(X109:X110)</f>
        <v>9.0288584673132721</v>
      </c>
      <c r="Y111" s="48">
        <f>SUM(Y109:Y110)</f>
        <v>6.3719999999999999</v>
      </c>
      <c r="Z111" s="48">
        <f>SUM(Z109:Z110)</f>
        <v>16.027664786679637</v>
      </c>
      <c r="AA111" s="48">
        <f>SUM(X111:Z111)</f>
        <v>31.428523253992907</v>
      </c>
      <c r="AB111" s="8"/>
      <c r="AC111" s="8"/>
      <c r="AD111" s="8"/>
      <c r="AE111" s="8"/>
      <c r="AF111" s="8"/>
      <c r="AG111" s="8"/>
      <c r="AH111" s="8"/>
      <c r="AI111" s="8"/>
      <c r="AJ111" s="8"/>
      <c r="AK111" s="8"/>
      <c r="AL111" s="8"/>
      <c r="AM111" s="8"/>
      <c r="AN111" s="8"/>
      <c r="AO111" s="141"/>
      <c r="AP111" s="3"/>
    </row>
    <row r="112" spans="2:58" x14ac:dyDescent="0.3">
      <c r="B112" s="69"/>
      <c r="C112" s="21"/>
      <c r="D112" s="147"/>
      <c r="E112" s="147"/>
      <c r="F112" s="147"/>
      <c r="G112" s="8"/>
      <c r="H112" s="347" t="s">
        <v>131</v>
      </c>
      <c r="I112" s="347"/>
      <c r="J112" s="347"/>
      <c r="K112" s="8"/>
      <c r="L112" s="8"/>
      <c r="M112" s="8"/>
      <c r="N112" s="8"/>
      <c r="O112" s="8"/>
      <c r="P112" s="8"/>
      <c r="Q112" s="346"/>
      <c r="R112" s="137" t="s">
        <v>3</v>
      </c>
      <c r="S112" s="139"/>
      <c r="T112" s="139"/>
      <c r="U112" s="146"/>
      <c r="V112" s="8"/>
      <c r="W112" s="8"/>
      <c r="X112" s="8"/>
      <c r="Y112" s="8"/>
      <c r="Z112" s="8"/>
      <c r="AA112" s="8"/>
      <c r="AB112" s="8"/>
      <c r="AC112" s="8"/>
      <c r="AD112" s="8"/>
      <c r="AE112" s="8"/>
      <c r="AF112" s="8"/>
      <c r="AG112" s="8"/>
      <c r="AH112" s="8"/>
      <c r="AI112" s="8"/>
      <c r="AJ112" s="8"/>
      <c r="AK112" s="8"/>
      <c r="AL112" s="8"/>
      <c r="AM112" s="8"/>
      <c r="AN112" s="8"/>
      <c r="AO112" s="141"/>
      <c r="AP112" s="3"/>
    </row>
    <row r="113" spans="2:42" x14ac:dyDescent="0.3">
      <c r="B113" s="69"/>
      <c r="C113" s="120" t="s">
        <v>5</v>
      </c>
      <c r="D113" s="148" t="s">
        <v>14</v>
      </c>
      <c r="E113" s="148" t="s">
        <v>17</v>
      </c>
      <c r="F113" s="148" t="s">
        <v>15</v>
      </c>
      <c r="G113" s="8"/>
      <c r="H113" s="137" t="s">
        <v>54</v>
      </c>
      <c r="I113" s="137" t="s">
        <v>55</v>
      </c>
      <c r="J113" s="137" t="s">
        <v>56</v>
      </c>
      <c r="K113" s="137" t="s">
        <v>12</v>
      </c>
      <c r="L113" s="137" t="s">
        <v>48</v>
      </c>
      <c r="M113" s="137" t="s">
        <v>49</v>
      </c>
      <c r="N113" s="137" t="s">
        <v>50</v>
      </c>
      <c r="O113" s="137" t="s">
        <v>12</v>
      </c>
      <c r="P113" s="8"/>
      <c r="Q113" s="8"/>
      <c r="R113" s="8"/>
      <c r="S113" s="8"/>
      <c r="T113" s="8"/>
      <c r="U113" s="8"/>
      <c r="V113" s="8"/>
      <c r="W113" s="137" t="s">
        <v>63</v>
      </c>
      <c r="X113" s="137" t="s">
        <v>64</v>
      </c>
      <c r="Y113" s="137" t="s">
        <v>65</v>
      </c>
      <c r="Z113" s="137" t="s">
        <v>66</v>
      </c>
      <c r="AA113" s="137" t="s">
        <v>121</v>
      </c>
      <c r="AB113" s="8" t="s">
        <v>122</v>
      </c>
      <c r="AC113" s="8"/>
      <c r="AD113" s="8"/>
      <c r="AE113" s="8"/>
      <c r="AF113" s="8"/>
      <c r="AG113" s="8"/>
      <c r="AH113" s="8"/>
      <c r="AI113" s="8"/>
      <c r="AJ113" s="8"/>
      <c r="AK113" s="8"/>
      <c r="AL113" s="8"/>
      <c r="AM113" s="8"/>
      <c r="AN113" s="8"/>
      <c r="AO113" s="141"/>
      <c r="AP113" s="3"/>
    </row>
    <row r="114" spans="2:42" x14ac:dyDescent="0.3">
      <c r="B114" s="69"/>
      <c r="C114" s="113" t="s">
        <v>7</v>
      </c>
      <c r="D114" s="4">
        <v>0.62690000000000001</v>
      </c>
      <c r="E114" s="4">
        <f>D114+1.5</f>
        <v>2.1269</v>
      </c>
      <c r="F114" s="4">
        <v>1.35</v>
      </c>
      <c r="G114" s="8"/>
      <c r="H114" s="4">
        <f>1.333</f>
        <v>1.333</v>
      </c>
      <c r="I114" s="4">
        <f>I116*0.1375</f>
        <v>1.7150845016104574E-2</v>
      </c>
      <c r="J114" s="4">
        <f>J116*0.16</f>
        <v>-1.5084501602435685E-4</v>
      </c>
      <c r="K114" s="4">
        <f>SUM(H114:J114)</f>
        <v>1.3500000000000802</v>
      </c>
      <c r="L114" s="4">
        <v>0.57999652338857266</v>
      </c>
      <c r="M114" s="4">
        <f>I116*(E117/D117)</f>
        <v>0.42320219546859061</v>
      </c>
      <c r="N114" s="4">
        <f>J116*(E117/D117)</f>
        <v>-3.1987188571633101E-3</v>
      </c>
      <c r="O114" s="4">
        <f>SUM(L114:N114)</f>
        <v>1</v>
      </c>
      <c r="P114" s="8"/>
      <c r="Q114" s="137"/>
      <c r="R114" s="137"/>
      <c r="S114" s="137" t="s">
        <v>23</v>
      </c>
      <c r="T114" s="137" t="s">
        <v>60</v>
      </c>
      <c r="U114" s="137" t="s">
        <v>61</v>
      </c>
      <c r="V114" s="8"/>
      <c r="W114" s="4">
        <f>(K114-F117)^2/F117</f>
        <v>8.2306559405521597E-10</v>
      </c>
      <c r="X114" s="4">
        <f>(K106-F109)^2/F109</f>
        <v>2.8991151051808707E-12</v>
      </c>
      <c r="Y114" s="4">
        <f>(AA109-U115)^2/U115</f>
        <v>0.52772340920877303</v>
      </c>
      <c r="Z114" s="4">
        <f>(AA110-U117)^2/U117</f>
        <v>0.13658785869059814</v>
      </c>
      <c r="AA114" s="4">
        <f>SUM(W114:Z114)</f>
        <v>0.66431126872533586</v>
      </c>
      <c r="AB114" s="8"/>
      <c r="AC114" s="8"/>
      <c r="AD114" s="8"/>
      <c r="AE114" s="8"/>
      <c r="AF114" s="8"/>
      <c r="AG114" s="8"/>
      <c r="AH114" s="8"/>
      <c r="AI114" s="8"/>
      <c r="AJ114" s="8"/>
      <c r="AK114" s="8"/>
      <c r="AL114" s="8"/>
      <c r="AM114" s="8"/>
      <c r="AN114" s="8"/>
      <c r="AO114" s="141"/>
      <c r="AP114" s="3"/>
    </row>
    <row r="115" spans="2:42" x14ac:dyDescent="0.3">
      <c r="B115" s="69"/>
      <c r="C115" s="113" t="s">
        <v>8</v>
      </c>
      <c r="D115" s="4">
        <v>0.62560000000000004</v>
      </c>
      <c r="E115" s="4">
        <f>D115+1.5</f>
        <v>2.1255999999999999</v>
      </c>
      <c r="F115" s="4">
        <v>1.35</v>
      </c>
      <c r="G115" s="8"/>
      <c r="H115" s="137" t="s">
        <v>48</v>
      </c>
      <c r="I115" s="137" t="s">
        <v>49</v>
      </c>
      <c r="J115" s="137" t="s">
        <v>50</v>
      </c>
      <c r="K115" s="137" t="s">
        <v>12</v>
      </c>
      <c r="L115" s="4"/>
      <c r="M115" s="4"/>
      <c r="N115" s="4"/>
      <c r="O115" s="4"/>
      <c r="P115" s="8"/>
      <c r="Q115" s="346" t="s">
        <v>4</v>
      </c>
      <c r="R115" s="137" t="s">
        <v>13</v>
      </c>
      <c r="S115" s="4">
        <f>AVERAGE(D106:D108)*2</f>
        <v>1.1121333333333334</v>
      </c>
      <c r="T115" s="4">
        <v>13</v>
      </c>
      <c r="U115" s="4">
        <f>S115*T115</f>
        <v>14.457733333333334</v>
      </c>
      <c r="V115" s="8"/>
      <c r="W115" s="8"/>
      <c r="X115" s="8"/>
      <c r="Y115" s="8"/>
      <c r="Z115" s="8"/>
      <c r="AA115" s="8"/>
      <c r="AB115" s="8"/>
      <c r="AC115" s="8"/>
      <c r="AD115" s="8"/>
      <c r="AE115" s="8"/>
      <c r="AF115" s="8"/>
      <c r="AG115" s="8"/>
      <c r="AH115" s="8"/>
      <c r="AI115" s="8"/>
      <c r="AJ115" s="8"/>
      <c r="AK115" s="8"/>
      <c r="AL115" s="8"/>
      <c r="AM115" s="8"/>
      <c r="AN115" s="8"/>
      <c r="AO115" s="141"/>
      <c r="AP115" s="3"/>
    </row>
    <row r="116" spans="2:42" x14ac:dyDescent="0.3">
      <c r="B116" s="69"/>
      <c r="C116" s="113" t="s">
        <v>9</v>
      </c>
      <c r="D116" s="4">
        <v>0.62809999999999999</v>
      </c>
      <c r="E116" s="4">
        <f>D116+1.5</f>
        <v>2.1280999999999999</v>
      </c>
      <c r="F116" s="4">
        <v>1.3499000000000001</v>
      </c>
      <c r="G116" s="8"/>
      <c r="H116" s="4">
        <f>(L114*D117+1.5)/E117</f>
        <v>0.87620936305120989</v>
      </c>
      <c r="I116" s="4">
        <v>0.12473341829894234</v>
      </c>
      <c r="J116" s="4">
        <f>1-H116-I116</f>
        <v>-9.427813501522303E-4</v>
      </c>
      <c r="K116" s="4">
        <f>SUM(H116:J116)</f>
        <v>0.99999999999999989</v>
      </c>
      <c r="L116" s="4"/>
      <c r="M116" s="4"/>
      <c r="N116" s="4"/>
      <c r="O116" s="4"/>
      <c r="P116" s="8"/>
      <c r="Q116" s="346"/>
      <c r="R116" s="137" t="s">
        <v>3</v>
      </c>
      <c r="S116" s="4">
        <f>D110*2</f>
        <v>7.7105987662006176E-3</v>
      </c>
      <c r="T116" s="4"/>
      <c r="U116" s="4"/>
      <c r="V116" s="8"/>
      <c r="W116" s="8"/>
      <c r="X116" s="8"/>
      <c r="Y116" s="8"/>
      <c r="Z116" s="8"/>
      <c r="AA116" s="8"/>
      <c r="AB116" s="8"/>
      <c r="AC116" s="8"/>
      <c r="AD116" s="8"/>
      <c r="AE116" s="8"/>
      <c r="AF116" s="8"/>
      <c r="AG116" s="8"/>
      <c r="AH116" s="8"/>
      <c r="AI116" s="8"/>
      <c r="AJ116" s="8"/>
      <c r="AK116" s="8"/>
      <c r="AL116" s="8"/>
      <c r="AM116" s="8"/>
      <c r="AN116" s="8"/>
      <c r="AO116" s="141"/>
      <c r="AP116" s="3"/>
    </row>
    <row r="117" spans="2:42" x14ac:dyDescent="0.3">
      <c r="B117" s="69"/>
      <c r="C117" s="113" t="s">
        <v>13</v>
      </c>
      <c r="D117" s="4">
        <f>AVERAGE(D114:D116)</f>
        <v>0.62686666666666657</v>
      </c>
      <c r="E117" s="4">
        <f>D117+1.5</f>
        <v>2.1268666666666665</v>
      </c>
      <c r="F117" s="4">
        <f>AVERAGE(F114:F116)</f>
        <v>1.3499666666666668</v>
      </c>
      <c r="G117" s="8"/>
      <c r="H117" s="8"/>
      <c r="I117" s="8"/>
      <c r="J117" s="8"/>
      <c r="K117" s="8"/>
      <c r="L117" s="8"/>
      <c r="M117" s="8"/>
      <c r="N117" s="8"/>
      <c r="O117" s="8"/>
      <c r="P117" s="8"/>
      <c r="Q117" s="346" t="s">
        <v>5</v>
      </c>
      <c r="R117" s="137" t="s">
        <v>13</v>
      </c>
      <c r="S117" s="4">
        <f>AVERAGE(D114:D116)*2</f>
        <v>1.2537333333333331</v>
      </c>
      <c r="T117" s="4">
        <v>12.5</v>
      </c>
      <c r="U117" s="4">
        <f>S117*T117</f>
        <v>15.671666666666665</v>
      </c>
      <c r="V117" s="8"/>
      <c r="W117" s="8"/>
      <c r="X117" s="8"/>
      <c r="Y117" s="8"/>
      <c r="Z117" s="8"/>
      <c r="AA117" s="8"/>
      <c r="AB117" s="8"/>
      <c r="AC117" s="8"/>
      <c r="AD117" s="8"/>
      <c r="AE117" s="8"/>
      <c r="AF117" s="8"/>
      <c r="AG117" s="8"/>
      <c r="AH117" s="8"/>
      <c r="AI117" s="8"/>
      <c r="AJ117" s="8"/>
      <c r="AK117" s="8"/>
      <c r="AL117" s="8"/>
      <c r="AM117" s="8"/>
      <c r="AN117" s="8"/>
      <c r="AO117" s="141"/>
      <c r="AP117" s="3"/>
    </row>
    <row r="118" spans="2:42" x14ac:dyDescent="0.3">
      <c r="B118" s="69"/>
      <c r="C118" s="113" t="s">
        <v>3</v>
      </c>
      <c r="D118" s="4">
        <f>_xlfn.STDEV.S(D114:D116)</f>
        <v>1.25033328890071E-3</v>
      </c>
      <c r="E118" s="4">
        <f>_xlfn.STDEV.S(E114:E116)</f>
        <v>1.2503332889007115E-3</v>
      </c>
      <c r="F118" s="4">
        <f>_xlfn.STDEV.S(F114:F116)</f>
        <v>5.7735026918956222E-5</v>
      </c>
      <c r="G118" s="8"/>
      <c r="H118" s="8"/>
      <c r="I118" s="8"/>
      <c r="J118" s="8"/>
      <c r="K118" s="8"/>
      <c r="L118" s="8"/>
      <c r="M118" s="8"/>
      <c r="N118" s="8"/>
      <c r="O118" s="8"/>
      <c r="P118" s="8"/>
      <c r="Q118" s="346"/>
      <c r="R118" s="137" t="s">
        <v>3</v>
      </c>
      <c r="S118" s="4">
        <f>D118*2</f>
        <v>2.5006665778014199E-3</v>
      </c>
      <c r="T118" s="4"/>
      <c r="U118" s="4"/>
      <c r="V118" s="8"/>
      <c r="W118" s="8"/>
      <c r="X118" s="8"/>
      <c r="Y118" s="8"/>
      <c r="Z118" s="8"/>
      <c r="AA118" s="8"/>
      <c r="AB118" s="8"/>
      <c r="AC118" s="8"/>
      <c r="AD118" s="8"/>
      <c r="AE118" s="8"/>
      <c r="AF118" s="8"/>
      <c r="AG118" s="8"/>
      <c r="AH118" s="8"/>
      <c r="AI118" s="8"/>
      <c r="AJ118" s="8"/>
      <c r="AK118" s="8"/>
      <c r="AL118" s="8"/>
      <c r="AM118" s="8"/>
      <c r="AN118" s="8"/>
      <c r="AO118" s="141"/>
      <c r="AP118" s="3"/>
    </row>
    <row r="119" spans="2:42" x14ac:dyDescent="0.3">
      <c r="B119" s="69"/>
      <c r="C119" s="1"/>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141"/>
      <c r="AP119" s="3"/>
    </row>
    <row r="120" spans="2:42" ht="15" thickBot="1" x14ac:dyDescent="0.35">
      <c r="B120" s="71"/>
      <c r="C120" s="16"/>
      <c r="D120" s="73"/>
      <c r="E120" s="73"/>
      <c r="F120" s="73"/>
      <c r="G120" s="73"/>
      <c r="H120" s="73"/>
      <c r="I120" s="73"/>
      <c r="J120" s="73"/>
      <c r="K120" s="73"/>
      <c r="L120" s="73"/>
      <c r="M120" s="73"/>
      <c r="N120" s="73"/>
      <c r="O120" s="73"/>
      <c r="P120" s="73"/>
      <c r="Q120" s="73"/>
      <c r="R120" s="73"/>
      <c r="S120" s="73"/>
      <c r="T120" s="73"/>
      <c r="U120" s="73"/>
      <c r="V120" s="73"/>
      <c r="W120" s="73"/>
      <c r="X120" s="73"/>
      <c r="Y120" s="73"/>
      <c r="Z120" s="73"/>
      <c r="AA120" s="73"/>
      <c r="AB120" s="73"/>
      <c r="AC120" s="73"/>
      <c r="AD120" s="73"/>
      <c r="AE120" s="73"/>
      <c r="AF120" s="73"/>
      <c r="AG120" s="73"/>
      <c r="AH120" s="73"/>
      <c r="AI120" s="73"/>
      <c r="AJ120" s="73"/>
      <c r="AK120" s="73"/>
      <c r="AL120" s="73"/>
      <c r="AM120" s="73"/>
      <c r="AN120" s="73"/>
      <c r="AO120" s="150"/>
      <c r="AP120" s="3"/>
    </row>
    <row r="121" spans="2:42" x14ac:dyDescent="0.3">
      <c r="D121" s="3"/>
      <c r="E121" s="3"/>
      <c r="F121" s="3"/>
      <c r="G121" s="8"/>
      <c r="H121" s="8"/>
      <c r="I121" s="8"/>
      <c r="J121" s="8"/>
      <c r="K121" s="8"/>
      <c r="L121" s="8"/>
      <c r="M121" s="8"/>
      <c r="N121" s="8"/>
      <c r="O121" s="8"/>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row>
    <row r="122" spans="2:42" x14ac:dyDescent="0.3">
      <c r="D122" s="3"/>
      <c r="E122" s="3"/>
      <c r="F122" s="3"/>
      <c r="G122" s="8"/>
      <c r="H122" s="8"/>
      <c r="I122" s="8"/>
      <c r="J122" s="8"/>
      <c r="K122" s="8"/>
      <c r="L122" s="8"/>
      <c r="M122" s="8"/>
      <c r="N122" s="8"/>
      <c r="O122" s="8"/>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row>
    <row r="123" spans="2:42" x14ac:dyDescent="0.3">
      <c r="D123" s="3"/>
      <c r="E123" s="3"/>
      <c r="F123" s="3"/>
      <c r="G123" s="8"/>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row>
    <row r="124" spans="2:42" x14ac:dyDescent="0.3">
      <c r="D124" s="3"/>
      <c r="E124" s="3"/>
      <c r="F124" s="3"/>
      <c r="G124" s="8"/>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row>
    <row r="125" spans="2:42" x14ac:dyDescent="0.3">
      <c r="D125" s="3"/>
      <c r="E125" s="3"/>
      <c r="F125" s="3"/>
      <c r="G125" s="8"/>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row>
    <row r="126" spans="2:42" x14ac:dyDescent="0.3">
      <c r="D126" s="3"/>
      <c r="E126" s="3"/>
      <c r="F126" s="3"/>
      <c r="G126" s="8"/>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row>
    <row r="127" spans="2:42" x14ac:dyDescent="0.3">
      <c r="D127" s="3"/>
      <c r="E127" s="3"/>
      <c r="F127" s="3"/>
      <c r="G127" s="8"/>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row>
    <row r="128" spans="2:42" x14ac:dyDescent="0.3">
      <c r="D128" s="3"/>
      <c r="E128" s="3"/>
      <c r="F128" s="3"/>
      <c r="G128" s="8"/>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row>
    <row r="129" spans="4:42" x14ac:dyDescent="0.3">
      <c r="D129" s="3"/>
      <c r="E129" s="3"/>
      <c r="F129" s="3"/>
      <c r="G129" s="8"/>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row>
    <row r="130" spans="4:42" x14ac:dyDescent="0.3">
      <c r="D130" s="3"/>
      <c r="E130" s="3"/>
      <c r="F130" s="3"/>
      <c r="G130" s="8"/>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row>
    <row r="131" spans="4:42" x14ac:dyDescent="0.3">
      <c r="D131" s="3"/>
      <c r="E131" s="3"/>
      <c r="F131" s="3"/>
      <c r="G131" s="8"/>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row>
  </sheetData>
  <mergeCells count="73">
    <mergeCell ref="H112:J112"/>
    <mergeCell ref="H88:J88"/>
    <mergeCell ref="H64:J64"/>
    <mergeCell ref="H40:J40"/>
    <mergeCell ref="D75:F75"/>
    <mergeCell ref="H80:J80"/>
    <mergeCell ref="D99:F99"/>
    <mergeCell ref="H104:J104"/>
    <mergeCell ref="H8:J8"/>
    <mergeCell ref="D27:F27"/>
    <mergeCell ref="H32:J32"/>
    <mergeCell ref="D51:F51"/>
    <mergeCell ref="H16:J16"/>
    <mergeCell ref="D3:G3"/>
    <mergeCell ref="I99:L99"/>
    <mergeCell ref="Q13:Q14"/>
    <mergeCell ref="Q15:Q16"/>
    <mergeCell ref="Q11:Q12"/>
    <mergeCell ref="Q35:Q36"/>
    <mergeCell ref="H56:J56"/>
    <mergeCell ref="Q37:Q38"/>
    <mergeCell ref="Q39:Q40"/>
    <mergeCell ref="Q19:Q20"/>
    <mergeCell ref="Q21:Q22"/>
    <mergeCell ref="Q43:Q44"/>
    <mergeCell ref="Q45:Q46"/>
    <mergeCell ref="Q59:Q60"/>
    <mergeCell ref="Q61:Q62"/>
    <mergeCell ref="Q63:Q64"/>
    <mergeCell ref="Q107:Q108"/>
    <mergeCell ref="Q109:Q110"/>
    <mergeCell ref="Q115:Q116"/>
    <mergeCell ref="Q117:Q118"/>
    <mergeCell ref="Q111:Q112"/>
    <mergeCell ref="Q91:Q92"/>
    <mergeCell ref="Q93:Q94"/>
    <mergeCell ref="W10:AA10"/>
    <mergeCell ref="W34:AA34"/>
    <mergeCell ref="W58:AA58"/>
    <mergeCell ref="W82:AA82"/>
    <mergeCell ref="Q83:Q84"/>
    <mergeCell ref="Q85:Q86"/>
    <mergeCell ref="Q67:Q68"/>
    <mergeCell ref="Q69:Q70"/>
    <mergeCell ref="Q87:Q88"/>
    <mergeCell ref="W106:AA106"/>
    <mergeCell ref="AE73:AH73"/>
    <mergeCell ref="AK73:AN73"/>
    <mergeCell ref="AE97:AH97"/>
    <mergeCell ref="AK97:AN97"/>
    <mergeCell ref="AI73:AJ73"/>
    <mergeCell ref="AI97:AJ97"/>
    <mergeCell ref="AE1:AH1"/>
    <mergeCell ref="AK1:AN1"/>
    <mergeCell ref="AE25:AH25"/>
    <mergeCell ref="AK25:AN25"/>
    <mergeCell ref="AE49:AH49"/>
    <mergeCell ref="AK49:AN49"/>
    <mergeCell ref="AI1:AJ1"/>
    <mergeCell ref="AI25:AJ25"/>
    <mergeCell ref="AI49:AJ49"/>
    <mergeCell ref="AZ6:AZ8"/>
    <mergeCell ref="BA6:BA8"/>
    <mergeCell ref="AZ9:AZ11"/>
    <mergeCell ref="AX6:AX8"/>
    <mergeCell ref="AX9:AX11"/>
    <mergeCell ref="AX12:AX14"/>
    <mergeCell ref="AX15:AX17"/>
    <mergeCell ref="BA12:BA14"/>
    <mergeCell ref="BA9:BA11"/>
    <mergeCell ref="BA15:BA17"/>
    <mergeCell ref="AZ15:AZ17"/>
    <mergeCell ref="AZ12:AZ14"/>
  </mergeCells>
  <phoneticPr fontId="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9745E-6AC1-4714-8156-C27E941BD997}">
  <dimension ref="B1:BC128"/>
  <sheetViews>
    <sheetView zoomScale="40" zoomScaleNormal="40" workbookViewId="0">
      <selection activeCell="U76" sqref="U76"/>
    </sheetView>
  </sheetViews>
  <sheetFormatPr defaultRowHeight="14.4" x14ac:dyDescent="0.3"/>
  <cols>
    <col min="3" max="3" width="12.44140625" bestFit="1" customWidth="1"/>
    <col min="4" max="5" width="12.88671875" bestFit="1" customWidth="1"/>
    <col min="6" max="7" width="9.33203125" customWidth="1"/>
    <col min="8" max="8" width="10.6640625" customWidth="1"/>
    <col min="9" max="9" width="10.44140625" customWidth="1"/>
    <col min="10" max="10" width="11.5546875" customWidth="1"/>
    <col min="11" max="11" width="10.6640625" customWidth="1"/>
    <col min="12" max="13" width="12.88671875" bestFit="1" customWidth="1"/>
    <col min="14" max="14" width="14.77734375" bestFit="1" customWidth="1"/>
    <col min="15" max="15" width="12.44140625" bestFit="1" customWidth="1"/>
    <col min="16" max="16" width="12.88671875" bestFit="1" customWidth="1"/>
    <col min="18" max="18" width="12.44140625" bestFit="1" customWidth="1"/>
    <col min="19" max="19" width="14.77734375" bestFit="1" customWidth="1"/>
    <col min="20" max="21" width="13.6640625" bestFit="1" customWidth="1"/>
    <col min="24" max="24" width="13.6640625" bestFit="1" customWidth="1"/>
    <col min="25" max="25" width="12" customWidth="1"/>
    <col min="26" max="26" width="12.88671875" customWidth="1"/>
    <col min="27" max="27" width="14" bestFit="1" customWidth="1"/>
    <col min="30" max="31" width="14.77734375" bestFit="1" customWidth="1"/>
    <col min="32" max="32" width="15.109375" bestFit="1" customWidth="1"/>
    <col min="33" max="33" width="14" bestFit="1" customWidth="1"/>
    <col min="34" max="34" width="12.44140625" bestFit="1" customWidth="1"/>
    <col min="35" max="35" width="14.77734375" bestFit="1" customWidth="1"/>
    <col min="36" max="36" width="12.88671875" bestFit="1" customWidth="1"/>
    <col min="37" max="37" width="15.21875" bestFit="1" customWidth="1"/>
    <col min="38" max="38" width="25.109375" bestFit="1" customWidth="1"/>
    <col min="39" max="39" width="13.77734375" bestFit="1" customWidth="1"/>
    <col min="41" max="41" width="10.109375" bestFit="1" customWidth="1"/>
    <col min="42" max="42" width="14.88671875" bestFit="1" customWidth="1"/>
    <col min="44" max="44" width="11" bestFit="1" customWidth="1"/>
    <col min="45" max="45" width="11.6640625" bestFit="1" customWidth="1"/>
    <col min="46" max="46" width="15" bestFit="1" customWidth="1"/>
    <col min="47" max="47" width="12.88671875" bestFit="1" customWidth="1"/>
    <col min="48" max="48" width="15" bestFit="1" customWidth="1"/>
    <col min="49" max="49" width="14" bestFit="1" customWidth="1"/>
    <col min="50" max="50" width="33" bestFit="1" customWidth="1"/>
    <col min="51" max="51" width="25" bestFit="1" customWidth="1"/>
    <col min="52" max="52" width="23.88671875" bestFit="1" customWidth="1"/>
    <col min="53" max="53" width="14.88671875" customWidth="1"/>
    <col min="54" max="54" width="12.33203125" bestFit="1" customWidth="1"/>
    <col min="55" max="55" width="18" bestFit="1" customWidth="1"/>
  </cols>
  <sheetData>
    <row r="1" spans="2:52" ht="15" thickBot="1" x14ac:dyDescent="0.35">
      <c r="B1" s="65"/>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8"/>
    </row>
    <row r="2" spans="2:52" x14ac:dyDescent="0.3">
      <c r="B2" s="69"/>
      <c r="C2" s="83" t="s">
        <v>27</v>
      </c>
      <c r="D2" s="83" t="s">
        <v>51</v>
      </c>
      <c r="E2" s="83"/>
      <c r="F2" s="83" t="s">
        <v>52</v>
      </c>
      <c r="G2" s="83"/>
      <c r="H2" s="83" t="s">
        <v>53</v>
      </c>
      <c r="I2" s="83"/>
      <c r="J2" s="1"/>
      <c r="K2" s="1"/>
      <c r="L2" s="1"/>
      <c r="M2" s="1"/>
      <c r="N2" s="1"/>
      <c r="O2" s="1"/>
      <c r="P2" s="1"/>
      <c r="Q2" s="1"/>
      <c r="R2" s="1"/>
      <c r="S2" s="1"/>
      <c r="T2" s="1"/>
      <c r="U2" s="1"/>
      <c r="V2" s="1"/>
      <c r="W2" s="1"/>
      <c r="X2" s="1"/>
      <c r="Y2" s="1"/>
      <c r="Z2" s="1"/>
      <c r="AA2" s="1"/>
      <c r="AB2" s="1"/>
      <c r="AC2" s="168"/>
      <c r="AD2" s="356" t="s">
        <v>57</v>
      </c>
      <c r="AE2" s="356"/>
      <c r="AF2" s="356"/>
      <c r="AG2" s="356"/>
      <c r="AH2" s="364" t="s">
        <v>117</v>
      </c>
      <c r="AI2" s="365"/>
      <c r="AJ2" s="356" t="s">
        <v>77</v>
      </c>
      <c r="AK2" s="356"/>
      <c r="AL2" s="356"/>
      <c r="AM2" s="357"/>
      <c r="AN2" s="70"/>
    </row>
    <row r="3" spans="2:52" ht="18" x14ac:dyDescent="0.35">
      <c r="B3" s="74" t="s">
        <v>123</v>
      </c>
      <c r="C3" s="1"/>
      <c r="D3" s="1"/>
      <c r="E3" s="1"/>
      <c r="F3" s="1"/>
      <c r="G3" s="1"/>
      <c r="H3" s="1"/>
      <c r="I3" s="1"/>
      <c r="J3" s="1"/>
      <c r="K3" s="1"/>
      <c r="L3" s="1"/>
      <c r="M3" s="1"/>
      <c r="N3" s="1"/>
      <c r="O3" s="1"/>
      <c r="P3" s="1"/>
      <c r="Q3" s="1"/>
      <c r="R3" s="114" t="s">
        <v>69</v>
      </c>
      <c r="S3" s="114" t="s">
        <v>70</v>
      </c>
      <c r="T3" s="114" t="s">
        <v>71</v>
      </c>
      <c r="U3" s="114" t="s">
        <v>72</v>
      </c>
      <c r="V3" s="1"/>
      <c r="W3" s="1"/>
      <c r="X3" s="114"/>
      <c r="Y3" s="114" t="s">
        <v>68</v>
      </c>
      <c r="Z3" s="114" t="s">
        <v>67</v>
      </c>
      <c r="AA3" s="114" t="s">
        <v>73</v>
      </c>
      <c r="AB3" s="1"/>
      <c r="AC3" s="169"/>
      <c r="AD3" s="114" t="s">
        <v>0</v>
      </c>
      <c r="AE3" s="114" t="s">
        <v>52</v>
      </c>
      <c r="AF3" s="114" t="s">
        <v>20</v>
      </c>
      <c r="AG3" s="114" t="s">
        <v>12</v>
      </c>
      <c r="AH3" s="114" t="s">
        <v>15</v>
      </c>
      <c r="AI3" s="114" t="s">
        <v>76</v>
      </c>
      <c r="AJ3" s="114" t="s">
        <v>0</v>
      </c>
      <c r="AK3" s="114" t="s">
        <v>52</v>
      </c>
      <c r="AL3" s="114" t="s">
        <v>20</v>
      </c>
      <c r="AM3" s="170" t="s">
        <v>12</v>
      </c>
      <c r="AN3" s="70"/>
      <c r="AR3" s="96" t="s">
        <v>132</v>
      </c>
    </row>
    <row r="4" spans="2:52" x14ac:dyDescent="0.3">
      <c r="B4" s="69"/>
      <c r="C4" s="167"/>
      <c r="D4" s="348" t="s">
        <v>57</v>
      </c>
      <c r="E4" s="348"/>
      <c r="F4" s="349"/>
      <c r="G4" s="173"/>
      <c r="H4" s="145"/>
      <c r="I4" s="145"/>
      <c r="J4" s="145"/>
      <c r="K4" s="8"/>
      <c r="L4" s="145"/>
      <c r="M4" s="167"/>
      <c r="N4" s="174" t="s">
        <v>11</v>
      </c>
      <c r="O4" s="174"/>
      <c r="P4" s="167"/>
      <c r="Q4" s="8"/>
      <c r="R4" s="59">
        <v>0.13780000000000001</v>
      </c>
      <c r="S4" s="59">
        <v>0.16</v>
      </c>
      <c r="T4" s="59">
        <f>F14</f>
        <v>1.3439333333333334</v>
      </c>
      <c r="U4" s="59">
        <f>F22</f>
        <v>1.3406333333333336</v>
      </c>
      <c r="V4" s="8"/>
      <c r="W4" s="8"/>
      <c r="X4" s="167" t="s">
        <v>6</v>
      </c>
      <c r="Y4" s="59">
        <f>N6</f>
        <v>0.14833860759493672</v>
      </c>
      <c r="Z4" s="59">
        <f>O6</f>
        <v>0.10443037974683546</v>
      </c>
      <c r="AA4" s="59">
        <f>P6</f>
        <v>0.74723101265822778</v>
      </c>
      <c r="AB4" s="8"/>
      <c r="AC4" s="175" t="s">
        <v>6</v>
      </c>
      <c r="AD4" s="59">
        <f>Y4*$AG4</f>
        <v>4.5</v>
      </c>
      <c r="AE4" s="59">
        <f>Z4*$AG4</f>
        <v>3.1680000000000001</v>
      </c>
      <c r="AF4" s="59">
        <f>AA4*$AG4</f>
        <v>22.667999999999996</v>
      </c>
      <c r="AG4" s="59">
        <f>AA13</f>
        <v>30.335999999999999</v>
      </c>
      <c r="AH4" s="59"/>
      <c r="AI4" s="59"/>
      <c r="AJ4" s="79">
        <f>AD4/$AG4</f>
        <v>0.14833860759493672</v>
      </c>
      <c r="AK4" s="79">
        <f t="shared" ref="AK4:AM7" si="0">AE4/$AG4</f>
        <v>0.10443037974683546</v>
      </c>
      <c r="AL4" s="79">
        <f t="shared" si="0"/>
        <v>0.74723101265822778</v>
      </c>
      <c r="AM4" s="183">
        <f t="shared" si="0"/>
        <v>1</v>
      </c>
      <c r="AN4" s="70"/>
    </row>
    <row r="5" spans="2:52" x14ac:dyDescent="0.3">
      <c r="B5" s="69"/>
      <c r="C5" s="167" t="s">
        <v>6</v>
      </c>
      <c r="D5" s="176" t="s">
        <v>0</v>
      </c>
      <c r="E5" s="167" t="s">
        <v>52</v>
      </c>
      <c r="F5" s="177" t="s">
        <v>20</v>
      </c>
      <c r="G5" s="167" t="s">
        <v>12</v>
      </c>
      <c r="H5" s="64"/>
      <c r="I5" s="64"/>
      <c r="J5" s="64"/>
      <c r="K5" s="8"/>
      <c r="L5" s="8"/>
      <c r="M5" s="167" t="s">
        <v>6</v>
      </c>
      <c r="N5" s="167" t="s">
        <v>10</v>
      </c>
      <c r="O5" s="167" t="s">
        <v>58</v>
      </c>
      <c r="P5" s="167" t="s">
        <v>59</v>
      </c>
      <c r="Q5" s="8"/>
      <c r="R5" s="8"/>
      <c r="S5" s="8"/>
      <c r="T5" s="8"/>
      <c r="U5" s="8"/>
      <c r="V5" s="8"/>
      <c r="W5" s="8"/>
      <c r="X5" s="167" t="s">
        <v>4</v>
      </c>
      <c r="Y5" s="59">
        <v>5.6163347478118075E-2</v>
      </c>
      <c r="Z5" s="59">
        <v>1.84075747583776E-2</v>
      </c>
      <c r="AA5" s="59">
        <f>1-Z5-Y5</f>
        <v>0.92542907776350436</v>
      </c>
      <c r="AB5" s="8"/>
      <c r="AC5" s="175" t="s">
        <v>4</v>
      </c>
      <c r="AD5" s="59">
        <f>Y5*$AG5*E14/D14</f>
        <v>4.2385860544913445</v>
      </c>
      <c r="AE5" s="59">
        <f>Z5*$AG5*E14/D14</f>
        <v>1.3891994186825229</v>
      </c>
      <c r="AF5" s="59">
        <f>AG5-AD5-AE5</f>
        <v>14.34111452682613</v>
      </c>
      <c r="AG5" s="59">
        <f>U20</f>
        <v>19.968899999999998</v>
      </c>
      <c r="AH5" s="59">
        <f>Y5*$R$4+Z5*$S$4+1.333</f>
        <v>1.3436845212438251</v>
      </c>
      <c r="AI5" s="59">
        <f>(T4-AH5)^2/T4</f>
        <v>4.6064380092392266E-8</v>
      </c>
      <c r="AJ5" s="79">
        <f>AD5/$AG5</f>
        <v>0.21225936603875753</v>
      </c>
      <c r="AK5" s="79">
        <f t="shared" si="0"/>
        <v>6.9568149406453186E-2</v>
      </c>
      <c r="AL5" s="79">
        <f t="shared" si="0"/>
        <v>0.71817248455478933</v>
      </c>
      <c r="AM5" s="183">
        <f t="shared" si="0"/>
        <v>1</v>
      </c>
      <c r="AN5" s="70"/>
      <c r="AO5" s="27"/>
      <c r="AP5" s="27"/>
    </row>
    <row r="6" spans="2:52" x14ac:dyDescent="0.3">
      <c r="B6" s="69"/>
      <c r="C6" s="4" t="s">
        <v>7</v>
      </c>
      <c r="D6" s="4">
        <v>4.5</v>
      </c>
      <c r="E6" s="4">
        <f>3+0.28*1.2/2</f>
        <v>3.1680000000000001</v>
      </c>
      <c r="F6" s="56">
        <f>22.5+0.28*1.2/2</f>
        <v>22.667999999999999</v>
      </c>
      <c r="G6" s="4">
        <f>SUM(D6:F6)</f>
        <v>30.335999999999999</v>
      </c>
      <c r="H6" s="8"/>
      <c r="I6" s="8"/>
      <c r="J6" s="8"/>
      <c r="K6" s="8"/>
      <c r="L6" s="8"/>
      <c r="M6" s="167" t="s">
        <v>7</v>
      </c>
      <c r="N6" s="139">
        <f>D6/G6</f>
        <v>0.14833860759493672</v>
      </c>
      <c r="O6" s="139">
        <f>E6/G6</f>
        <v>0.10443037974683546</v>
      </c>
      <c r="P6" s="139">
        <f>1-O6-N6</f>
        <v>0.74723101265822778</v>
      </c>
      <c r="Q6" s="8"/>
      <c r="R6" s="8"/>
      <c r="S6" s="8"/>
      <c r="T6" s="8"/>
      <c r="U6" s="8"/>
      <c r="V6" s="8"/>
      <c r="W6" s="8"/>
      <c r="X6" s="167" t="s">
        <v>5</v>
      </c>
      <c r="Y6" s="59">
        <v>5.6809692786927764E-3</v>
      </c>
      <c r="Z6" s="59">
        <v>4.5491305209395441E-2</v>
      </c>
      <c r="AA6" s="59">
        <f>1-Z6-Y6</f>
        <v>0.94882772551191175</v>
      </c>
      <c r="AB6" s="8"/>
      <c r="AC6" s="175" t="s">
        <v>5</v>
      </c>
      <c r="AD6" s="59">
        <f>Y6*$AG6*E22/D22</f>
        <v>0.21026857971840002</v>
      </c>
      <c r="AE6" s="59">
        <f>Z6*$AG6*E22/D22</f>
        <v>1.6837605814543115</v>
      </c>
      <c r="AF6" s="59">
        <f>AG6-AD6-AE6</f>
        <v>8.1187708388272863</v>
      </c>
      <c r="AG6" s="59">
        <f>U22</f>
        <v>10.012799999999999</v>
      </c>
      <c r="AH6" s="59">
        <f>Y6*$R$4+Z6*$S$4+1.333</f>
        <v>1.3410614464001072</v>
      </c>
      <c r="AI6" s="59">
        <f>(U4-AH6)^2/U4</f>
        <v>1.3671209971080239E-7</v>
      </c>
      <c r="AJ6" s="79">
        <f>AD6/$AG6</f>
        <v>2.0999978000000006E-2</v>
      </c>
      <c r="AK6" s="79">
        <f t="shared" si="0"/>
        <v>0.16816081230567989</v>
      </c>
      <c r="AL6" s="79">
        <f t="shared" si="0"/>
        <v>0.81083920969432</v>
      </c>
      <c r="AM6" s="183">
        <f t="shared" si="0"/>
        <v>1</v>
      </c>
      <c r="AN6" s="70"/>
      <c r="AO6" s="27"/>
      <c r="AP6" s="27"/>
      <c r="AR6" s="114" t="s">
        <v>27</v>
      </c>
      <c r="AS6" s="114" t="s">
        <v>95</v>
      </c>
      <c r="AT6" s="114" t="s">
        <v>104</v>
      </c>
      <c r="AU6" s="114" t="s">
        <v>105</v>
      </c>
      <c r="AV6" s="114" t="s">
        <v>104</v>
      </c>
      <c r="AW6" s="114" t="s">
        <v>87</v>
      </c>
      <c r="AX6" s="114" t="s">
        <v>108</v>
      </c>
      <c r="AY6" s="114" t="s">
        <v>106</v>
      </c>
      <c r="AZ6" s="114" t="s">
        <v>107</v>
      </c>
    </row>
    <row r="7" spans="2:52" x14ac:dyDescent="0.3">
      <c r="B7" s="69"/>
      <c r="C7" s="8"/>
      <c r="D7" s="8"/>
      <c r="E7" s="8"/>
      <c r="F7" s="8"/>
      <c r="G7" s="8"/>
      <c r="H7" s="8"/>
      <c r="I7" s="8"/>
      <c r="J7" s="8"/>
      <c r="K7" s="8"/>
      <c r="L7" s="8"/>
      <c r="M7" s="8"/>
      <c r="N7" s="142"/>
      <c r="O7" s="142"/>
      <c r="P7" s="142"/>
      <c r="Q7" s="8"/>
      <c r="R7" s="8"/>
      <c r="S7" s="8"/>
      <c r="T7" s="8"/>
      <c r="U7" s="8"/>
      <c r="V7" s="8"/>
      <c r="W7" s="8"/>
      <c r="X7" s="8"/>
      <c r="Y7" s="8"/>
      <c r="Z7" s="8"/>
      <c r="AA7" s="8"/>
      <c r="AB7" s="8"/>
      <c r="AC7" s="175" t="s">
        <v>75</v>
      </c>
      <c r="AD7" s="59">
        <f>SUM(AD5:AD6)</f>
        <v>4.4488546342097441</v>
      </c>
      <c r="AE7" s="59">
        <f>SUM(AE5:AE6)</f>
        <v>3.0729600001368347</v>
      </c>
      <c r="AF7" s="59">
        <f>SUM(AF5:AF6)</f>
        <v>22.459885365653417</v>
      </c>
      <c r="AG7" s="59">
        <f>SUM(AG5:AG6)</f>
        <v>29.981699999999996</v>
      </c>
      <c r="AH7" s="59"/>
      <c r="AI7" s="59"/>
      <c r="AJ7" s="79">
        <f>AD7/$AG7</f>
        <v>0.1483856697321948</v>
      </c>
      <c r="AK7" s="79">
        <f t="shared" si="0"/>
        <v>0.10249452166277546</v>
      </c>
      <c r="AL7" s="79">
        <f t="shared" si="0"/>
        <v>0.74911980860502969</v>
      </c>
      <c r="AM7" s="183">
        <f t="shared" si="0"/>
        <v>1</v>
      </c>
      <c r="AN7" s="70"/>
      <c r="AR7" s="60" t="s">
        <v>78</v>
      </c>
      <c r="AS7" s="188">
        <f>AK4</f>
        <v>0.10443037974683546</v>
      </c>
      <c r="AT7" s="188">
        <f>$AG$9*AS7</f>
        <v>1.7595344050486267E-3</v>
      </c>
      <c r="AU7" s="188">
        <f>AJ4</f>
        <v>0.14833860759493672</v>
      </c>
      <c r="AV7" s="188">
        <f>$AG$9*AU7</f>
        <v>2.4993386435349812E-3</v>
      </c>
      <c r="AW7" s="366">
        <f>(AU8-AU9)/(AS8-AS9)</f>
        <v>-1.9398947387621239</v>
      </c>
      <c r="AX7" s="59" t="s">
        <v>109</v>
      </c>
      <c r="AY7" s="361">
        <f>AX9/AX8</f>
        <v>1.9557345588061235</v>
      </c>
      <c r="AZ7" s="361">
        <f>T20/T22</f>
        <v>2.0555555555555554</v>
      </c>
    </row>
    <row r="8" spans="2:52" x14ac:dyDescent="0.3">
      <c r="B8" s="69"/>
      <c r="C8" s="8" t="s">
        <v>16</v>
      </c>
      <c r="D8" s="8"/>
      <c r="E8" s="8"/>
      <c r="F8" s="8"/>
      <c r="G8" s="8"/>
      <c r="H8" s="8"/>
      <c r="I8" s="8"/>
      <c r="J8" s="8"/>
      <c r="K8" s="8" t="s">
        <v>128</v>
      </c>
      <c r="L8" s="8"/>
      <c r="M8" s="8"/>
      <c r="N8" s="8"/>
      <c r="O8" s="8"/>
      <c r="P8" s="8"/>
      <c r="Q8" s="8"/>
      <c r="R8" s="8"/>
      <c r="S8" s="8"/>
      <c r="T8" s="8"/>
      <c r="U8" s="8"/>
      <c r="V8" s="8"/>
      <c r="W8" s="8"/>
      <c r="X8" s="8"/>
      <c r="Y8" s="8"/>
      <c r="Z8" s="8"/>
      <c r="AA8" s="8"/>
      <c r="AB8" s="8"/>
      <c r="AC8" s="175" t="s">
        <v>76</v>
      </c>
      <c r="AD8" s="59">
        <f>(AD7-AD4)^2/AD4</f>
        <v>5.8129965373757207E-4</v>
      </c>
      <c r="AE8" s="59">
        <f>(AE7-AE4)^2/AE4</f>
        <v>2.851199991789928E-3</v>
      </c>
      <c r="AF8" s="59">
        <f>(AF7-AF4)^2/AF4</f>
        <v>1.9106979455271868E-3</v>
      </c>
      <c r="AG8" s="59"/>
      <c r="AH8" s="178" t="s">
        <v>74</v>
      </c>
      <c r="AI8" s="59">
        <f>AI5+AI6+AD8+AE8+AF8+AM9+AM10</f>
        <v>5.3433803675344907E-3</v>
      </c>
      <c r="AJ8" s="79"/>
      <c r="AK8" s="184" t="s">
        <v>118</v>
      </c>
      <c r="AL8" s="79">
        <f>ABS(U14-AL5)/U14</f>
        <v>1.0230051887241964E-2</v>
      </c>
      <c r="AM8" s="183"/>
      <c r="AN8" s="70"/>
      <c r="AR8" s="60" t="s">
        <v>79</v>
      </c>
      <c r="AS8" s="188">
        <f>AK5</f>
        <v>6.9568149406453186E-2</v>
      </c>
      <c r="AT8" s="188">
        <f>$AG$9*AS8</f>
        <v>1.1721450469965077E-3</v>
      </c>
      <c r="AU8" s="188">
        <f>AJ5</f>
        <v>0.21225936603875753</v>
      </c>
      <c r="AV8" s="188">
        <f>$AG$9*AU8</f>
        <v>3.5763315066401581E-3</v>
      </c>
      <c r="AW8" s="367"/>
      <c r="AX8" s="59">
        <f>SQRT((AS7-AS8)^2+(AU7-AU8)^2)</f>
        <v>7.28096042039727E-2</v>
      </c>
      <c r="AY8" s="362"/>
      <c r="AZ8" s="362"/>
    </row>
    <row r="9" spans="2:52" ht="15" thickBot="1" x14ac:dyDescent="0.35">
      <c r="B9" s="69"/>
      <c r="C9" s="8">
        <v>1.5</v>
      </c>
      <c r="D9" s="8"/>
      <c r="E9" s="8"/>
      <c r="F9" s="8"/>
      <c r="G9" s="8"/>
      <c r="H9" s="347" t="s">
        <v>130</v>
      </c>
      <c r="I9" s="347"/>
      <c r="J9" s="347"/>
      <c r="K9" s="8"/>
      <c r="L9" s="8"/>
      <c r="M9" s="8"/>
      <c r="N9" s="8"/>
      <c r="O9" s="8"/>
      <c r="P9" s="8"/>
      <c r="Q9" s="8"/>
      <c r="R9" s="8"/>
      <c r="S9" s="8"/>
      <c r="T9" s="8"/>
      <c r="U9" s="8"/>
      <c r="V9" s="8"/>
      <c r="W9" s="8"/>
      <c r="X9" s="8"/>
      <c r="Y9" s="8"/>
      <c r="Z9" s="8"/>
      <c r="AA9" s="8"/>
      <c r="AB9" s="8"/>
      <c r="AC9" s="179" t="s">
        <v>110</v>
      </c>
      <c r="AD9" s="59">
        <f>ABS((AD4-AD7)/AD4)</f>
        <v>1.136563684227908E-2</v>
      </c>
      <c r="AE9" s="59">
        <f>ABS((AE4-AE7)/AE4)</f>
        <v>2.9999999956807282E-2</v>
      </c>
      <c r="AF9" s="59">
        <f>ABS((AF4-AF7)/AF4)</f>
        <v>9.1809879277650868E-3</v>
      </c>
      <c r="AG9" s="59">
        <f>AVERAGE(AD9:AF9)</f>
        <v>1.6848874908950484E-2</v>
      </c>
      <c r="AH9" s="59"/>
      <c r="AI9" s="59"/>
      <c r="AJ9" s="79"/>
      <c r="AK9" s="184" t="s">
        <v>119</v>
      </c>
      <c r="AL9" s="79">
        <f>ABS(U16-AL6)/U16</f>
        <v>1.1987241161328217E-2</v>
      </c>
      <c r="AM9" s="183"/>
      <c r="AN9" s="70"/>
      <c r="AR9" s="60" t="s">
        <v>8</v>
      </c>
      <c r="AS9" s="188">
        <f>AK6</f>
        <v>0.16816081230567989</v>
      </c>
      <c r="AT9" s="188">
        <f>$AG$9*AS9</f>
        <v>2.8333204911259015E-3</v>
      </c>
      <c r="AU9" s="188">
        <f>AJ6</f>
        <v>2.0999978000000006E-2</v>
      </c>
      <c r="AV9" s="188">
        <f>$AG$9*AU9</f>
        <v>3.5382600241271229E-4</v>
      </c>
      <c r="AW9" s="368"/>
      <c r="AX9" s="59">
        <f>SQRT((AS7-AS9)^2+(AU7-AU9)^2)</f>
        <v>0.14239625915470502</v>
      </c>
      <c r="AY9" s="363"/>
      <c r="AZ9" s="363"/>
    </row>
    <row r="10" spans="2:52" x14ac:dyDescent="0.3">
      <c r="B10" s="69"/>
      <c r="C10" s="167" t="s">
        <v>4</v>
      </c>
      <c r="D10" s="167" t="s">
        <v>14</v>
      </c>
      <c r="E10" s="167" t="s">
        <v>17</v>
      </c>
      <c r="F10" s="167" t="s">
        <v>15</v>
      </c>
      <c r="G10" s="8"/>
      <c r="H10" s="167" t="s">
        <v>54</v>
      </c>
      <c r="I10" s="167" t="s">
        <v>55</v>
      </c>
      <c r="J10" s="167" t="s">
        <v>56</v>
      </c>
      <c r="K10" s="167" t="s">
        <v>12</v>
      </c>
      <c r="L10" s="167" t="s">
        <v>48</v>
      </c>
      <c r="M10" s="167" t="s">
        <v>49</v>
      </c>
      <c r="N10" s="167" t="s">
        <v>50</v>
      </c>
      <c r="O10" s="167" t="s">
        <v>12</v>
      </c>
      <c r="P10" s="8"/>
      <c r="Q10" s="8"/>
      <c r="R10" s="8"/>
      <c r="S10" s="8"/>
      <c r="T10" s="8"/>
      <c r="U10" s="8"/>
      <c r="V10" s="8"/>
      <c r="W10" s="8"/>
      <c r="X10" s="8"/>
      <c r="Y10" s="8"/>
      <c r="Z10" s="8"/>
      <c r="AA10" s="8"/>
      <c r="AB10" s="8"/>
      <c r="AC10" s="8"/>
      <c r="AD10" s="8"/>
      <c r="AE10" s="8"/>
      <c r="AF10" s="8"/>
      <c r="AG10" s="8"/>
      <c r="AH10" s="8"/>
      <c r="AI10" s="8"/>
      <c r="AJ10" s="11"/>
      <c r="AK10" s="11"/>
      <c r="AL10" s="11"/>
      <c r="AM10" s="185"/>
      <c r="AN10" s="70"/>
      <c r="AR10" s="60" t="s">
        <v>78</v>
      </c>
      <c r="AS10" s="188">
        <f>AK28</f>
        <v>0.12391132224861443</v>
      </c>
      <c r="AT10" s="188">
        <f>$AG$33*AS10</f>
        <v>2.6653686602916022E-3</v>
      </c>
      <c r="AU10" s="188">
        <f>AJ28</f>
        <v>0.16825019794140936</v>
      </c>
      <c r="AV10" s="188">
        <f>$AG$33*AU10</f>
        <v>3.6191108007154345E-3</v>
      </c>
      <c r="AW10" s="366">
        <f>(AU11-AU12)/(AS11-AS12)</f>
        <v>-1.833587844587963</v>
      </c>
      <c r="AX10" s="59" t="s">
        <v>109</v>
      </c>
      <c r="AY10" s="361">
        <f>AX12/AX11</f>
        <v>1.18073812836757</v>
      </c>
      <c r="AZ10" s="361">
        <f>T44/T46</f>
        <v>1.24</v>
      </c>
    </row>
    <row r="11" spans="2:52" x14ac:dyDescent="0.3">
      <c r="B11" s="69"/>
      <c r="C11" s="167" t="s">
        <v>7</v>
      </c>
      <c r="D11" s="4">
        <v>0.53810000000000002</v>
      </c>
      <c r="E11" s="4">
        <f>D11+1.5</f>
        <v>2.0381</v>
      </c>
      <c r="F11" s="4">
        <v>1.3438000000000001</v>
      </c>
      <c r="G11" s="8"/>
      <c r="H11" s="4">
        <f>1.333</f>
        <v>1.333</v>
      </c>
      <c r="I11" s="4">
        <f>I13*0.1378</f>
        <v>8.0101083009121252E-3</v>
      </c>
      <c r="J11" s="4">
        <f>J13*0.16</f>
        <v>2.9386741526105653E-3</v>
      </c>
      <c r="K11" s="4">
        <f>SUM(H11:J11)</f>
        <v>1.3439487824535226</v>
      </c>
      <c r="L11" s="4">
        <v>0.71089994126897049</v>
      </c>
      <c r="M11" s="4">
        <f>I13*(E14/D14)</f>
        <v>0.21968633734554005</v>
      </c>
      <c r="N11" s="4">
        <f>J13*(E14/D14)</f>
        <v>6.9413721385489277E-2</v>
      </c>
      <c r="O11" s="4">
        <f>SUM(L11:N11)</f>
        <v>0.99999999999999978</v>
      </c>
      <c r="P11" s="8"/>
      <c r="Q11" s="167"/>
      <c r="R11" s="167"/>
      <c r="S11" s="167" t="s">
        <v>58</v>
      </c>
      <c r="T11" s="167" t="s">
        <v>10</v>
      </c>
      <c r="U11" s="167" t="s">
        <v>59</v>
      </c>
      <c r="V11" s="8"/>
      <c r="W11" s="349" t="s">
        <v>57</v>
      </c>
      <c r="X11" s="350"/>
      <c r="Y11" s="350"/>
      <c r="Z11" s="350"/>
      <c r="AA11" s="351"/>
      <c r="AB11" s="145"/>
      <c r="AC11" s="145"/>
      <c r="AD11" s="8"/>
      <c r="AE11" s="8"/>
      <c r="AF11" s="8"/>
      <c r="AG11" s="8"/>
      <c r="AH11" s="8"/>
      <c r="AI11" s="8"/>
      <c r="AJ11" s="11"/>
      <c r="AK11" s="11"/>
      <c r="AL11" s="11"/>
      <c r="AM11" s="11"/>
      <c r="AN11" s="70"/>
      <c r="AR11" s="60" t="s">
        <v>79</v>
      </c>
      <c r="AS11" s="188">
        <f>AK29</f>
        <v>5.0873491921776981E-2</v>
      </c>
      <c r="AT11" s="188">
        <f>$AG$33*AS11</f>
        <v>1.0943036402746369E-3</v>
      </c>
      <c r="AU11" s="188">
        <f>AJ29</f>
        <v>0.3023539538318788</v>
      </c>
      <c r="AV11" s="188">
        <f>$AG$33*AU11</f>
        <v>6.5037216796204047E-3</v>
      </c>
      <c r="AW11" s="367"/>
      <c r="AX11" s="59">
        <f>SQRT((AS10-AS11)^2+(AU10-AU11)^2)</f>
        <v>0.15270344463299612</v>
      </c>
      <c r="AY11" s="362"/>
      <c r="AZ11" s="362"/>
    </row>
    <row r="12" spans="2:52" x14ac:dyDescent="0.3">
      <c r="B12" s="69"/>
      <c r="C12" s="167" t="s">
        <v>8</v>
      </c>
      <c r="D12" s="4">
        <v>0.54</v>
      </c>
      <c r="E12" s="4">
        <f>D12+1.5</f>
        <v>2.04</v>
      </c>
      <c r="F12" s="4">
        <v>1.3439000000000001</v>
      </c>
      <c r="G12" s="8"/>
      <c r="H12" s="63" t="s">
        <v>48</v>
      </c>
      <c r="I12" s="4" t="s">
        <v>49</v>
      </c>
      <c r="J12" s="4" t="s">
        <v>50</v>
      </c>
      <c r="K12" s="63" t="s">
        <v>12</v>
      </c>
      <c r="L12" s="4"/>
      <c r="M12" s="4"/>
      <c r="N12" s="4"/>
      <c r="O12" s="4"/>
      <c r="P12" s="8"/>
      <c r="Q12" s="348" t="s">
        <v>6</v>
      </c>
      <c r="R12" s="167" t="s">
        <v>13</v>
      </c>
      <c r="S12" s="139">
        <f>O6</f>
        <v>0.10443037974683546</v>
      </c>
      <c r="T12" s="139">
        <f>N6</f>
        <v>0.14833860759493672</v>
      </c>
      <c r="U12" s="139">
        <f>P6</f>
        <v>0.74723101265822778</v>
      </c>
      <c r="V12" s="8"/>
      <c r="W12" s="167"/>
      <c r="X12" s="167" t="s">
        <v>0</v>
      </c>
      <c r="Y12" s="167" t="s">
        <v>52</v>
      </c>
      <c r="Z12" s="167" t="s">
        <v>20</v>
      </c>
      <c r="AA12" s="167" t="s">
        <v>12</v>
      </c>
      <c r="AB12" s="8"/>
      <c r="AC12" s="8"/>
      <c r="AD12" s="8"/>
      <c r="AE12" s="8"/>
      <c r="AF12" s="8"/>
      <c r="AG12" s="8"/>
      <c r="AH12" s="8"/>
      <c r="AI12" s="8"/>
      <c r="AJ12" s="11"/>
      <c r="AK12" s="11"/>
      <c r="AL12" s="11"/>
      <c r="AM12" s="11"/>
      <c r="AN12" s="70"/>
      <c r="AR12" s="60" t="s">
        <v>8</v>
      </c>
      <c r="AS12" s="188">
        <f>AK30</f>
        <v>0.21031715026342326</v>
      </c>
      <c r="AT12" s="188">
        <f>$AG$33*AS12</f>
        <v>4.5239832071942597E-3</v>
      </c>
      <c r="AU12" s="188">
        <f>AJ30</f>
        <v>0.01</v>
      </c>
      <c r="AV12" s="188">
        <f>$AG$33*AU12</f>
        <v>2.1510291488487497E-4</v>
      </c>
      <c r="AW12" s="368"/>
      <c r="AX12" s="59">
        <f>SQRT((AS10-AS12)^2+(AU10-AU12)^2)</f>
        <v>0.1803027794112447</v>
      </c>
      <c r="AY12" s="363"/>
      <c r="AZ12" s="363"/>
    </row>
    <row r="13" spans="2:52" x14ac:dyDescent="0.3">
      <c r="B13" s="69"/>
      <c r="C13" s="167" t="s">
        <v>9</v>
      </c>
      <c r="D13" s="4">
        <v>0.54100000000000004</v>
      </c>
      <c r="E13" s="4">
        <f>D13+1.5</f>
        <v>2.0409999999999999</v>
      </c>
      <c r="F13" s="4">
        <v>1.3441000000000001</v>
      </c>
      <c r="G13" s="8"/>
      <c r="H13" s="4">
        <f>(L11*D14+1.5)/E14</f>
        <v>0.92350477928267072</v>
      </c>
      <c r="I13" s="4">
        <v>5.8128507263513249E-2</v>
      </c>
      <c r="J13" s="4">
        <f>1-H13-I13</f>
        <v>1.8366713453816033E-2</v>
      </c>
      <c r="K13" s="4">
        <f>SUM(H13:J13)</f>
        <v>1</v>
      </c>
      <c r="L13" s="4"/>
      <c r="M13" s="4"/>
      <c r="N13" s="4"/>
      <c r="O13" s="4"/>
      <c r="P13" s="8"/>
      <c r="Q13" s="348"/>
      <c r="R13" s="167" t="s">
        <v>3</v>
      </c>
      <c r="S13" s="139"/>
      <c r="T13" s="139"/>
      <c r="U13" s="139"/>
      <c r="V13" s="8"/>
      <c r="W13" s="167" t="s">
        <v>6</v>
      </c>
      <c r="X13" s="59">
        <f>D6</f>
        <v>4.5</v>
      </c>
      <c r="Y13" s="59">
        <f>E6</f>
        <v>3.1680000000000001</v>
      </c>
      <c r="Z13" s="59">
        <f>F6</f>
        <v>22.667999999999999</v>
      </c>
      <c r="AA13" s="59">
        <f>SUM(X13:Z13)</f>
        <v>30.335999999999999</v>
      </c>
      <c r="AB13" s="8"/>
      <c r="AC13" s="8"/>
      <c r="AD13" s="8"/>
      <c r="AE13" s="8"/>
      <c r="AF13" s="8"/>
      <c r="AG13" s="8"/>
      <c r="AH13" s="8"/>
      <c r="AI13" s="8"/>
      <c r="AJ13" s="11"/>
      <c r="AK13" s="11"/>
      <c r="AL13" s="11"/>
      <c r="AM13" s="11"/>
      <c r="AN13" s="70"/>
      <c r="AR13" s="60" t="s">
        <v>78</v>
      </c>
      <c r="AS13" s="188">
        <f>AK52</f>
        <v>0.14426682455101639</v>
      </c>
      <c r="AT13" s="188">
        <f>$AG$57*AS13</f>
        <v>1.6878384299127646E-3</v>
      </c>
      <c r="AU13" s="188">
        <f>AJ52</f>
        <v>0.1874876652851786</v>
      </c>
      <c r="AV13" s="188">
        <f>$AG$57*AU13</f>
        <v>2.1934972755364244E-3</v>
      </c>
      <c r="AW13" s="366">
        <f>(AU14-AU15)/(AS14-AS15)</f>
        <v>-1.7415681983030524</v>
      </c>
      <c r="AX13" s="59" t="s">
        <v>109</v>
      </c>
      <c r="AY13" s="361">
        <f>AX15/AX14</f>
        <v>1.0250689693586341</v>
      </c>
      <c r="AZ13" s="361">
        <f>T68/T70</f>
        <v>1.09375</v>
      </c>
    </row>
    <row r="14" spans="2:52" x14ac:dyDescent="0.3">
      <c r="B14" s="69"/>
      <c r="C14" s="167" t="s">
        <v>13</v>
      </c>
      <c r="D14" s="4">
        <f>AVERAGE(D11:D13)</f>
        <v>0.53969999999999996</v>
      </c>
      <c r="E14" s="4">
        <f>D14+1.5</f>
        <v>2.0396999999999998</v>
      </c>
      <c r="F14" s="4">
        <f>AVERAGE(F11:F13)</f>
        <v>1.3439333333333334</v>
      </c>
      <c r="G14" s="8"/>
      <c r="H14" s="3"/>
      <c r="I14" s="3"/>
      <c r="J14" s="3"/>
      <c r="K14" s="3"/>
      <c r="L14" s="8"/>
      <c r="M14" s="8"/>
      <c r="N14" s="8"/>
      <c r="O14" s="8"/>
      <c r="P14" s="8"/>
      <c r="Q14" s="348" t="s">
        <v>4</v>
      </c>
      <c r="R14" s="167" t="s">
        <v>13</v>
      </c>
      <c r="S14" s="139">
        <f>N11</f>
        <v>6.9413721385489277E-2</v>
      </c>
      <c r="T14" s="139">
        <f>M11</f>
        <v>0.21968633734554005</v>
      </c>
      <c r="U14" s="146">
        <f>L11</f>
        <v>0.71089994126897049</v>
      </c>
      <c r="V14" s="8"/>
      <c r="W14" s="167" t="s">
        <v>4</v>
      </c>
      <c r="X14" s="59">
        <f>T14*$U$20</f>
        <v>4.3868945018193539</v>
      </c>
      <c r="Y14" s="59">
        <f>S14*U20</f>
        <v>1.3861156609746967</v>
      </c>
      <c r="Z14" s="59">
        <f>U20*U14</f>
        <v>14.195889837205943</v>
      </c>
      <c r="AA14" s="59">
        <f>SUM(X14:Z14)</f>
        <v>19.968899999999994</v>
      </c>
      <c r="AB14" s="8"/>
      <c r="AC14" s="8"/>
      <c r="AD14" s="8"/>
      <c r="AE14" s="8"/>
      <c r="AF14" s="8"/>
      <c r="AG14" s="8"/>
      <c r="AH14" s="8"/>
      <c r="AI14" s="8"/>
      <c r="AJ14" s="11"/>
      <c r="AK14" s="11"/>
      <c r="AL14" s="11"/>
      <c r="AM14" s="11"/>
      <c r="AN14" s="70"/>
      <c r="AR14" s="60" t="s">
        <v>79</v>
      </c>
      <c r="AS14" s="188">
        <f>AK53</f>
        <v>0.04</v>
      </c>
      <c r="AT14" s="188">
        <f>$AG$57*AS14</f>
        <v>4.6797687137444476E-4</v>
      </c>
      <c r="AU14" s="188">
        <f>AJ53</f>
        <v>0.3699229417994121</v>
      </c>
      <c r="AV14" s="188">
        <f>$AG$57*AU14</f>
        <v>4.3278845238229925E-3</v>
      </c>
      <c r="AW14" s="367"/>
      <c r="AX14" s="59">
        <f>SQRT((AS13-AS14)^2+(AU13-AU14)^2)</f>
        <v>0.21012900994098188</v>
      </c>
      <c r="AY14" s="362"/>
      <c r="AZ14" s="362"/>
    </row>
    <row r="15" spans="2:52" x14ac:dyDescent="0.3">
      <c r="B15" s="69"/>
      <c r="C15" s="167" t="s">
        <v>3</v>
      </c>
      <c r="D15" s="4">
        <f>_xlfn.STDEV.S(D11:D13)</f>
        <v>1.473091986265631E-3</v>
      </c>
      <c r="E15" s="4">
        <f>_xlfn.STDEV.S(E11:E13)</f>
        <v>1.4730919862655819E-3</v>
      </c>
      <c r="F15" s="4">
        <f>_xlfn.STDEV.S(F11:F13)</f>
        <v>1.5275252316517785E-4</v>
      </c>
      <c r="G15" s="8"/>
      <c r="H15" s="8"/>
      <c r="I15" s="8"/>
      <c r="J15" s="8"/>
      <c r="K15" s="8"/>
      <c r="L15" s="8"/>
      <c r="M15" s="8"/>
      <c r="N15" s="8"/>
      <c r="O15" s="8"/>
      <c r="P15" s="8"/>
      <c r="Q15" s="348"/>
      <c r="R15" s="167" t="s">
        <v>3</v>
      </c>
      <c r="S15" s="139"/>
      <c r="T15" s="139"/>
      <c r="U15" s="139"/>
      <c r="V15" s="8"/>
      <c r="W15" s="167" t="s">
        <v>5</v>
      </c>
      <c r="X15" s="59">
        <v>0</v>
      </c>
      <c r="Y15" s="59">
        <f>Y13-Y14</f>
        <v>1.7818843390253034</v>
      </c>
      <c r="Z15" s="59">
        <f>U22*U16</f>
        <v>8.217273275266443</v>
      </c>
      <c r="AA15" s="59">
        <f>SUM(X15:Z15)</f>
        <v>9.9991576142917467</v>
      </c>
      <c r="AB15" s="8"/>
      <c r="AC15" s="8"/>
      <c r="AD15" s="8"/>
      <c r="AE15" s="8"/>
      <c r="AF15" s="8"/>
      <c r="AG15" s="8"/>
      <c r="AH15" s="8"/>
      <c r="AI15" s="8"/>
      <c r="AJ15" s="11"/>
      <c r="AK15" s="11"/>
      <c r="AL15" s="11"/>
      <c r="AM15" s="11"/>
      <c r="AN15" s="70"/>
      <c r="AR15" s="60" t="s">
        <v>8</v>
      </c>
      <c r="AS15" s="188">
        <f>AK54</f>
        <v>0.25188862785235172</v>
      </c>
      <c r="AT15" s="188">
        <f>$AG$57*AS15</f>
        <v>2.9469512999286346E-3</v>
      </c>
      <c r="AU15" s="188">
        <f>AJ54</f>
        <v>9.0444594968596261E-4</v>
      </c>
      <c r="AV15" s="188">
        <f>$AG$57*AU15</f>
        <v>1.0581494646533132E-5</v>
      </c>
      <c r="AW15" s="368"/>
      <c r="AX15" s="59">
        <f>SQRT((AS13-AS15)^2+(AU13-AU15)^2)</f>
        <v>0.21539672765255247</v>
      </c>
      <c r="AY15" s="363"/>
      <c r="AZ15" s="363"/>
    </row>
    <row r="16" spans="2:52" x14ac:dyDescent="0.3">
      <c r="B16" s="69"/>
      <c r="C16" s="89"/>
      <c r="D16" s="89"/>
      <c r="E16" s="89"/>
      <c r="F16" s="89"/>
      <c r="G16" s="8"/>
      <c r="H16" s="8"/>
      <c r="I16" s="8"/>
      <c r="J16" s="8"/>
      <c r="K16" s="8"/>
      <c r="L16" s="8"/>
      <c r="M16" s="8"/>
      <c r="N16" s="8"/>
      <c r="O16" s="8"/>
      <c r="P16" s="8"/>
      <c r="Q16" s="348" t="s">
        <v>5</v>
      </c>
      <c r="R16" s="167" t="s">
        <v>13</v>
      </c>
      <c r="S16" s="139">
        <f>N19</f>
        <v>0.15767701496906819</v>
      </c>
      <c r="T16" s="139">
        <f>M19</f>
        <v>2.1646123886552581E-2</v>
      </c>
      <c r="U16" s="139">
        <f>L19</f>
        <v>0.82067686114437954</v>
      </c>
      <c r="V16" s="8"/>
      <c r="W16" s="167" t="s">
        <v>62</v>
      </c>
      <c r="X16" s="59">
        <f>SUM(X14:X15)</f>
        <v>4.3868945018193539</v>
      </c>
      <c r="Y16" s="59">
        <f>SUM(Y14:Y15)</f>
        <v>3.1680000000000001</v>
      </c>
      <c r="Z16" s="59">
        <f>SUM(Z14:Z15)</f>
        <v>22.413163112472386</v>
      </c>
      <c r="AA16" s="59">
        <f>SUM(X16:Z16)</f>
        <v>29.968057614291741</v>
      </c>
      <c r="AB16" s="8"/>
      <c r="AC16" s="8"/>
      <c r="AD16" s="8"/>
      <c r="AE16" s="8"/>
      <c r="AF16" s="8"/>
      <c r="AG16" s="8"/>
      <c r="AH16" s="8"/>
      <c r="AI16" s="8"/>
      <c r="AJ16" s="11"/>
      <c r="AK16" s="11"/>
      <c r="AL16" s="11"/>
      <c r="AM16" s="11"/>
      <c r="AN16" s="70"/>
      <c r="AR16" s="60" t="s">
        <v>78</v>
      </c>
      <c r="AS16" s="188">
        <f>AK76</f>
        <v>0.18516577119643562</v>
      </c>
      <c r="AT16" s="188">
        <f>$AG$105*AS16</f>
        <v>5.2936291353184958E-4</v>
      </c>
      <c r="AU16" s="188">
        <f>AJ76</f>
        <v>0.22605163150307958</v>
      </c>
      <c r="AV16" s="188">
        <f>$AG$105*AU16</f>
        <v>6.462498413605382E-4</v>
      </c>
      <c r="AW16" s="366">
        <f>(AU17-AU18)/(AS17-AS18)</f>
        <v>-1.5781445792218121</v>
      </c>
      <c r="AX16" s="59" t="s">
        <v>109</v>
      </c>
      <c r="AY16" s="361">
        <f>AX18/AX17</f>
        <v>0.91827933969737563</v>
      </c>
      <c r="AZ16" s="361">
        <f>T92/T94</f>
        <v>1</v>
      </c>
    </row>
    <row r="17" spans="2:55" x14ac:dyDescent="0.3">
      <c r="B17" s="69"/>
      <c r="C17" s="147"/>
      <c r="D17" s="147"/>
      <c r="E17" s="147"/>
      <c r="F17" s="147"/>
      <c r="G17" s="8"/>
      <c r="H17" s="347" t="s">
        <v>131</v>
      </c>
      <c r="I17" s="347"/>
      <c r="J17" s="347"/>
      <c r="K17" s="8"/>
      <c r="L17" s="8"/>
      <c r="M17" s="8"/>
      <c r="N17" s="8"/>
      <c r="O17" s="8"/>
      <c r="P17" s="8"/>
      <c r="Q17" s="348"/>
      <c r="R17" s="167" t="s">
        <v>3</v>
      </c>
      <c r="S17" s="139"/>
      <c r="T17" s="139"/>
      <c r="U17" s="146"/>
      <c r="V17" s="8"/>
      <c r="W17" s="8"/>
      <c r="X17" s="8"/>
      <c r="Y17" s="8"/>
      <c r="Z17" s="8"/>
      <c r="AA17" s="8"/>
      <c r="AB17" s="8"/>
      <c r="AC17" s="8"/>
      <c r="AD17" s="8"/>
      <c r="AE17" s="8"/>
      <c r="AF17" s="8"/>
      <c r="AG17" s="8"/>
      <c r="AH17" s="8"/>
      <c r="AI17" s="8"/>
      <c r="AJ17" s="11"/>
      <c r="AK17" s="11"/>
      <c r="AL17" s="11"/>
      <c r="AM17" s="11"/>
      <c r="AN17" s="70"/>
      <c r="AR17" s="60" t="s">
        <v>79</v>
      </c>
      <c r="AS17" s="188">
        <f>AK77</f>
        <v>2.9999999999999995E-2</v>
      </c>
      <c r="AT17" s="188">
        <f>$AG$105*AS17</f>
        <v>8.5765783294300274E-5</v>
      </c>
      <c r="AU17" s="188">
        <f>AJ77</f>
        <v>0.47169718162146251</v>
      </c>
      <c r="AV17" s="188">
        <f>$AG$105*AU17</f>
        <v>1.3485159419826186E-3</v>
      </c>
      <c r="AW17" s="367"/>
      <c r="AX17" s="59">
        <f>SQRT((AS16-AS17)^2+(AU16-AU17)^2)</f>
        <v>0.29054802157982007</v>
      </c>
      <c r="AY17" s="362"/>
      <c r="AZ17" s="362"/>
    </row>
    <row r="18" spans="2:55" x14ac:dyDescent="0.3">
      <c r="B18" s="69"/>
      <c r="C18" s="167" t="s">
        <v>5</v>
      </c>
      <c r="D18" s="167" t="s">
        <v>14</v>
      </c>
      <c r="E18" s="167" t="s">
        <v>17</v>
      </c>
      <c r="F18" s="167" t="s">
        <v>15</v>
      </c>
      <c r="G18" s="8"/>
      <c r="H18" s="167" t="s">
        <v>54</v>
      </c>
      <c r="I18" s="167" t="s">
        <v>55</v>
      </c>
      <c r="J18" s="167" t="s">
        <v>56</v>
      </c>
      <c r="K18" s="167" t="s">
        <v>12</v>
      </c>
      <c r="L18" s="167" t="s">
        <v>48</v>
      </c>
      <c r="M18" s="167" t="s">
        <v>49</v>
      </c>
      <c r="N18" s="167" t="s">
        <v>50</v>
      </c>
      <c r="O18" s="167" t="s">
        <v>12</v>
      </c>
      <c r="P18" s="8"/>
      <c r="Q18" s="8"/>
      <c r="R18" s="8"/>
      <c r="S18" s="8"/>
      <c r="T18" s="8"/>
      <c r="U18" s="8"/>
      <c r="V18" s="8"/>
      <c r="W18" s="8"/>
      <c r="X18" s="8"/>
      <c r="Y18" s="8"/>
      <c r="Z18" s="8"/>
      <c r="AA18" s="8"/>
      <c r="AB18" s="8"/>
      <c r="AC18" s="8"/>
      <c r="AD18" s="8"/>
      <c r="AE18" s="8"/>
      <c r="AF18" s="8"/>
      <c r="AG18" s="8"/>
      <c r="AH18" s="8"/>
      <c r="AI18" s="8"/>
      <c r="AJ18" s="11"/>
      <c r="AK18" s="11"/>
      <c r="AL18" s="11"/>
      <c r="AM18" s="11"/>
      <c r="AN18" s="70"/>
      <c r="AR18" s="60" t="s">
        <v>8</v>
      </c>
      <c r="AS18" s="188">
        <f>AK78</f>
        <v>0.32832040858000844</v>
      </c>
      <c r="AT18" s="188">
        <f>$AG$105*AS18</f>
        <v>9.386219004456377E-4</v>
      </c>
      <c r="AU18" s="188">
        <f>AJ78</f>
        <v>9.044459496859625E-4</v>
      </c>
      <c r="AV18" s="188">
        <f>$AG$105*AU18</f>
        <v>2.5856838440724627E-6</v>
      </c>
      <c r="AW18" s="368"/>
      <c r="AX18" s="59">
        <f>SQRT((AS16-AS18)^2+(AU16-AU18)^2)</f>
        <v>0.26680424540669601</v>
      </c>
      <c r="AY18" s="363"/>
      <c r="AZ18" s="363"/>
    </row>
    <row r="19" spans="2:55" x14ac:dyDescent="0.3">
      <c r="B19" s="69"/>
      <c r="C19" s="167" t="s">
        <v>7</v>
      </c>
      <c r="D19" s="4">
        <v>0.55520000000000003</v>
      </c>
      <c r="E19" s="4">
        <f>D19+1.5</f>
        <v>2.0552000000000001</v>
      </c>
      <c r="F19" s="4">
        <v>1.3406</v>
      </c>
      <c r="G19" s="8"/>
      <c r="H19" s="4">
        <f>1.333</f>
        <v>1.333</v>
      </c>
      <c r="I19" s="4">
        <f>I21*0.1378</f>
        <v>8.0692460486171029E-4</v>
      </c>
      <c r="J19" s="4">
        <f>J21*0.16</f>
        <v>6.8248321250260913E-3</v>
      </c>
      <c r="K19" s="4">
        <f>SUM(H19:J19)</f>
        <v>1.3406317567298878</v>
      </c>
      <c r="L19" s="4">
        <v>0.82067686114437954</v>
      </c>
      <c r="M19" s="4">
        <f>I21*(E22/D22)</f>
        <v>2.1646123886552581E-2</v>
      </c>
      <c r="N19" s="4">
        <f>J21*(E22/D22)</f>
        <v>0.15767701496906819</v>
      </c>
      <c r="O19" s="4">
        <f>SUM(L19:N19)</f>
        <v>1.0000000000000004</v>
      </c>
      <c r="P19" s="8"/>
      <c r="Q19" s="167"/>
      <c r="R19" s="167"/>
      <c r="S19" s="167" t="s">
        <v>23</v>
      </c>
      <c r="T19" s="167" t="s">
        <v>60</v>
      </c>
      <c r="U19" s="167" t="s">
        <v>61</v>
      </c>
      <c r="V19" s="8"/>
      <c r="W19" s="8"/>
      <c r="X19" s="8"/>
      <c r="Y19" s="8"/>
      <c r="Z19" s="8"/>
      <c r="AA19" s="8"/>
      <c r="AB19" s="8"/>
      <c r="AC19" s="8"/>
      <c r="AD19" s="8"/>
      <c r="AE19" s="8"/>
      <c r="AF19" s="8"/>
      <c r="AG19" s="8"/>
      <c r="AH19" s="8"/>
      <c r="AI19" s="8"/>
      <c r="AJ19" s="11"/>
      <c r="AK19" s="11"/>
      <c r="AL19" s="11"/>
      <c r="AM19" s="11"/>
      <c r="AN19" s="70"/>
      <c r="AS19" s="189"/>
      <c r="AT19" s="189"/>
      <c r="AU19" s="189"/>
      <c r="AV19" s="190" t="s">
        <v>2</v>
      </c>
      <c r="AW19" s="188">
        <f>AVERAGE(AW7,AW10,AW13,AW16)</f>
        <v>-1.7732988402187377</v>
      </c>
    </row>
    <row r="20" spans="2:55" x14ac:dyDescent="0.3">
      <c r="B20" s="69"/>
      <c r="C20" s="167" t="s">
        <v>8</v>
      </c>
      <c r="D20" s="4">
        <v>0.55669999999999997</v>
      </c>
      <c r="E20" s="4">
        <f>D20+1.5</f>
        <v>2.0567000000000002</v>
      </c>
      <c r="F20" s="4">
        <v>1.3407</v>
      </c>
      <c r="G20" s="8"/>
      <c r="H20" s="167" t="s">
        <v>48</v>
      </c>
      <c r="I20" s="167" t="s">
        <v>49</v>
      </c>
      <c r="J20" s="167" t="s">
        <v>50</v>
      </c>
      <c r="K20" s="167" t="s">
        <v>12</v>
      </c>
      <c r="L20" s="4"/>
      <c r="M20" s="4"/>
      <c r="N20" s="4"/>
      <c r="O20" s="4"/>
      <c r="P20" s="8"/>
      <c r="Q20" s="348" t="s">
        <v>4</v>
      </c>
      <c r="R20" s="167" t="s">
        <v>13</v>
      </c>
      <c r="S20" s="4">
        <f>AVERAGE(D11:D13)*2</f>
        <v>1.0793999999999999</v>
      </c>
      <c r="T20" s="4">
        <v>18.5</v>
      </c>
      <c r="U20" s="4">
        <f>S20*T20</f>
        <v>19.968899999999998</v>
      </c>
      <c r="V20" s="8"/>
      <c r="W20" s="8"/>
      <c r="X20" s="8"/>
      <c r="Y20" s="8"/>
      <c r="Z20" s="8"/>
      <c r="AA20" s="8"/>
      <c r="AB20" s="8"/>
      <c r="AC20" s="8"/>
      <c r="AD20" s="8"/>
      <c r="AE20" s="8"/>
      <c r="AF20" s="8"/>
      <c r="AG20" s="8"/>
      <c r="AH20" s="8"/>
      <c r="AI20" s="8"/>
      <c r="AJ20" s="11"/>
      <c r="AK20" s="11"/>
      <c r="AL20" s="11"/>
      <c r="AM20" s="11"/>
      <c r="AN20" s="70"/>
      <c r="AS20" s="189"/>
      <c r="AT20" s="189"/>
      <c r="AU20" s="189"/>
      <c r="AV20" s="190" t="s">
        <v>80</v>
      </c>
      <c r="AW20" s="191">
        <f>_xlfn.STDEV.S(AW7,AW10,AW13,AW16)</f>
        <v>0.15327641336373132</v>
      </c>
    </row>
    <row r="21" spans="2:55" x14ac:dyDescent="0.3">
      <c r="B21" s="69"/>
      <c r="C21" s="167" t="s">
        <v>9</v>
      </c>
      <c r="D21" s="4">
        <v>0.55689999999999995</v>
      </c>
      <c r="E21" s="4">
        <f>D21+1.5</f>
        <v>2.0568999999999997</v>
      </c>
      <c r="F21" s="4">
        <v>1.3406</v>
      </c>
      <c r="G21" s="8"/>
      <c r="H21" s="4">
        <f>(L19*D22+1.5)/E22</f>
        <v>0.9514890328552944</v>
      </c>
      <c r="I21" s="4">
        <v>5.8557663632925272E-3</v>
      </c>
      <c r="J21" s="4">
        <f>1-H21-I21</f>
        <v>4.265520078141307E-2</v>
      </c>
      <c r="K21" s="4">
        <f>SUM(H21:J21)</f>
        <v>1</v>
      </c>
      <c r="L21" s="4"/>
      <c r="M21" s="4"/>
      <c r="N21" s="4"/>
      <c r="O21" s="4"/>
      <c r="P21" s="8"/>
      <c r="Q21" s="348"/>
      <c r="R21" s="167" t="s">
        <v>3</v>
      </c>
      <c r="S21" s="4">
        <f>D15*2</f>
        <v>2.9461839725312619E-3</v>
      </c>
      <c r="T21" s="4"/>
      <c r="U21" s="4"/>
      <c r="V21" s="8"/>
      <c r="W21" s="8"/>
      <c r="X21" s="8"/>
      <c r="Y21" s="8"/>
      <c r="Z21" s="8"/>
      <c r="AA21" s="8"/>
      <c r="AB21" s="8"/>
      <c r="AC21" s="8"/>
      <c r="AD21" s="8"/>
      <c r="AE21" s="8"/>
      <c r="AF21" s="8"/>
      <c r="AG21" s="8"/>
      <c r="AH21" s="8"/>
      <c r="AI21" s="8"/>
      <c r="AJ21" s="11"/>
      <c r="AK21" s="11"/>
      <c r="AL21" s="11"/>
      <c r="AM21" s="11"/>
      <c r="AN21" s="70"/>
      <c r="AS21" s="25"/>
      <c r="AU21" s="25"/>
    </row>
    <row r="22" spans="2:55" x14ac:dyDescent="0.3">
      <c r="B22" s="69"/>
      <c r="C22" s="167" t="s">
        <v>13</v>
      </c>
      <c r="D22" s="4">
        <f>AVERAGE(D19:D21)</f>
        <v>0.55626666666666658</v>
      </c>
      <c r="E22" s="4">
        <f>D22+1.5</f>
        <v>2.0562666666666667</v>
      </c>
      <c r="F22" s="4">
        <f>AVERAGE(F19:F21)</f>
        <v>1.3406333333333336</v>
      </c>
      <c r="G22" s="8"/>
      <c r="H22" s="3"/>
      <c r="I22" s="3"/>
      <c r="J22" s="3"/>
      <c r="K22" s="3"/>
      <c r="L22" s="8"/>
      <c r="M22" s="8"/>
      <c r="N22" s="8"/>
      <c r="O22" s="8"/>
      <c r="P22" s="8"/>
      <c r="Q22" s="348" t="s">
        <v>5</v>
      </c>
      <c r="R22" s="167" t="s">
        <v>13</v>
      </c>
      <c r="S22" s="4">
        <f>AVERAGE(D19:D21)*2</f>
        <v>1.1125333333333332</v>
      </c>
      <c r="T22" s="4">
        <v>9</v>
      </c>
      <c r="U22" s="4">
        <f>S22*T22</f>
        <v>10.012799999999999</v>
      </c>
      <c r="V22" s="8"/>
      <c r="W22" s="8"/>
      <c r="X22" s="8"/>
      <c r="Y22" s="8"/>
      <c r="Z22" s="8"/>
      <c r="AA22" s="8"/>
      <c r="AB22" s="8"/>
      <c r="AC22" s="8"/>
      <c r="AD22" s="8"/>
      <c r="AE22" s="8"/>
      <c r="AF22" s="8"/>
      <c r="AG22" s="8"/>
      <c r="AH22" s="8"/>
      <c r="AI22" s="8"/>
      <c r="AJ22" s="11"/>
      <c r="AK22" s="11"/>
      <c r="AL22" s="11"/>
      <c r="AM22" s="11"/>
      <c r="AN22" s="70"/>
    </row>
    <row r="23" spans="2:55" x14ac:dyDescent="0.3">
      <c r="B23" s="69"/>
      <c r="C23" s="167" t="s">
        <v>3</v>
      </c>
      <c r="D23" s="4">
        <f>_xlfn.STDEV.S(D19:D21)</f>
        <v>9.2915732431771831E-4</v>
      </c>
      <c r="E23" s="4">
        <f>_xlfn.STDEV.S(E19:E21)</f>
        <v>9.291573243176307E-4</v>
      </c>
      <c r="F23" s="4">
        <f>_xlfn.STDEV.S(F19:F21)</f>
        <v>5.7735026918956215E-5</v>
      </c>
      <c r="G23" s="8"/>
      <c r="H23" s="8"/>
      <c r="I23" s="8"/>
      <c r="J23" s="8"/>
      <c r="K23" s="8"/>
      <c r="L23" s="8"/>
      <c r="M23" s="8"/>
      <c r="N23" s="8"/>
      <c r="O23" s="8"/>
      <c r="P23" s="8"/>
      <c r="Q23" s="348"/>
      <c r="R23" s="167" t="s">
        <v>3</v>
      </c>
      <c r="S23" s="4">
        <f>D23*2</f>
        <v>1.8583146486354366E-3</v>
      </c>
      <c r="T23" s="4"/>
      <c r="U23" s="4"/>
      <c r="V23" s="8"/>
      <c r="W23" s="8"/>
      <c r="X23" s="8"/>
      <c r="Y23" s="8"/>
      <c r="Z23" s="8"/>
      <c r="AA23" s="8"/>
      <c r="AB23" s="8"/>
      <c r="AC23" s="8"/>
      <c r="AD23" s="8"/>
      <c r="AE23" s="8"/>
      <c r="AF23" s="8"/>
      <c r="AG23" s="8"/>
      <c r="AH23" s="8"/>
      <c r="AI23" s="8"/>
      <c r="AJ23" s="11"/>
      <c r="AK23" s="11"/>
      <c r="AL23" s="11"/>
      <c r="AM23" s="11"/>
      <c r="AN23" s="70"/>
    </row>
    <row r="24" spans="2:55" ht="15" thickBot="1" x14ac:dyDescent="0.35">
      <c r="B24" s="71"/>
      <c r="C24" s="73"/>
      <c r="D24" s="73"/>
      <c r="E24" s="73"/>
      <c r="F24" s="73"/>
      <c r="G24" s="73"/>
      <c r="H24" s="73"/>
      <c r="I24" s="73"/>
      <c r="J24" s="73"/>
      <c r="K24" s="73"/>
      <c r="L24" s="73"/>
      <c r="M24" s="73"/>
      <c r="N24" s="73"/>
      <c r="O24" s="73"/>
      <c r="P24" s="73"/>
      <c r="Q24" s="149"/>
      <c r="R24" s="73"/>
      <c r="S24" s="73"/>
      <c r="T24" s="73"/>
      <c r="U24" s="73"/>
      <c r="V24" s="73"/>
      <c r="W24" s="73"/>
      <c r="X24" s="73"/>
      <c r="Y24" s="73"/>
      <c r="Z24" s="73"/>
      <c r="AA24" s="73"/>
      <c r="AB24" s="73"/>
      <c r="AC24" s="73"/>
      <c r="AD24" s="73"/>
      <c r="AE24" s="73"/>
      <c r="AF24" s="73"/>
      <c r="AG24" s="73"/>
      <c r="AH24" s="73"/>
      <c r="AI24" s="73"/>
      <c r="AJ24" s="164"/>
      <c r="AK24" s="164"/>
      <c r="AL24" s="164"/>
      <c r="AM24" s="164"/>
      <c r="AN24" s="72"/>
    </row>
    <row r="25" spans="2:55" ht="15" thickBot="1" x14ac:dyDescent="0.35">
      <c r="B25" s="65"/>
      <c r="C25" s="67"/>
      <c r="D25" s="67"/>
      <c r="E25" s="67"/>
      <c r="F25" s="67"/>
      <c r="G25" s="67"/>
      <c r="H25" s="67"/>
      <c r="I25" s="67"/>
      <c r="J25" s="67"/>
      <c r="K25" s="67"/>
      <c r="L25" s="67"/>
      <c r="M25" s="67"/>
      <c r="N25" s="67"/>
      <c r="O25" s="67"/>
      <c r="P25" s="67"/>
      <c r="Q25" s="151"/>
      <c r="R25" s="67"/>
      <c r="S25" s="67"/>
      <c r="T25" s="67"/>
      <c r="U25" s="67"/>
      <c r="V25" s="67"/>
      <c r="W25" s="67"/>
      <c r="X25" s="67"/>
      <c r="Y25" s="67"/>
      <c r="Z25" s="67"/>
      <c r="AA25" s="67"/>
      <c r="AB25" s="67"/>
      <c r="AC25" s="67"/>
      <c r="AD25" s="67"/>
      <c r="AE25" s="67"/>
      <c r="AF25" s="67"/>
      <c r="AG25" s="67"/>
      <c r="AH25" s="67"/>
      <c r="AI25" s="67"/>
      <c r="AJ25" s="165"/>
      <c r="AK25" s="165"/>
      <c r="AL25" s="165"/>
      <c r="AM25" s="165"/>
      <c r="AN25" s="68"/>
    </row>
    <row r="26" spans="2:55" ht="18.600000000000001" thickBot="1" x14ac:dyDescent="0.4">
      <c r="B26" s="69"/>
      <c r="C26" s="8"/>
      <c r="D26" s="8"/>
      <c r="E26" s="8"/>
      <c r="F26" s="8"/>
      <c r="G26" s="8"/>
      <c r="H26" s="8"/>
      <c r="I26" s="8"/>
      <c r="J26" s="8"/>
      <c r="K26" s="8"/>
      <c r="L26" s="8"/>
      <c r="M26" s="8"/>
      <c r="N26" s="8"/>
      <c r="O26" s="8"/>
      <c r="P26" s="8"/>
      <c r="Q26" s="8"/>
      <c r="R26" s="8"/>
      <c r="S26" s="8"/>
      <c r="T26" s="8"/>
      <c r="U26" s="8"/>
      <c r="V26" s="8"/>
      <c r="W26" s="8"/>
      <c r="X26" s="8"/>
      <c r="Y26" s="8"/>
      <c r="Z26" s="8"/>
      <c r="AA26" s="8"/>
      <c r="AB26" s="8"/>
      <c r="AC26" s="180"/>
      <c r="AD26" s="358" t="s">
        <v>57</v>
      </c>
      <c r="AE26" s="358"/>
      <c r="AF26" s="358"/>
      <c r="AG26" s="358"/>
      <c r="AH26" s="354" t="s">
        <v>117</v>
      </c>
      <c r="AI26" s="355"/>
      <c r="AJ26" s="359" t="s">
        <v>77</v>
      </c>
      <c r="AK26" s="359"/>
      <c r="AL26" s="359"/>
      <c r="AM26" s="360"/>
      <c r="AN26" s="70"/>
      <c r="AT26" s="96" t="s">
        <v>138</v>
      </c>
    </row>
    <row r="27" spans="2:55" x14ac:dyDescent="0.3">
      <c r="B27" s="74" t="s">
        <v>124</v>
      </c>
      <c r="C27" s="8"/>
      <c r="D27" s="8"/>
      <c r="E27" s="8"/>
      <c r="F27" s="8"/>
      <c r="G27" s="8"/>
      <c r="H27" s="8"/>
      <c r="I27" s="8"/>
      <c r="J27" s="8"/>
      <c r="K27" s="8"/>
      <c r="L27" s="8"/>
      <c r="M27" s="8"/>
      <c r="N27" s="8"/>
      <c r="O27" s="8"/>
      <c r="P27" s="8"/>
      <c r="Q27" s="8"/>
      <c r="R27" s="167" t="s">
        <v>69</v>
      </c>
      <c r="S27" s="167" t="s">
        <v>70</v>
      </c>
      <c r="T27" s="167" t="s">
        <v>71</v>
      </c>
      <c r="U27" s="167" t="s">
        <v>72</v>
      </c>
      <c r="V27" s="8"/>
      <c r="W27" s="8"/>
      <c r="X27" s="167"/>
      <c r="Y27" s="167" t="s">
        <v>68</v>
      </c>
      <c r="Z27" s="167" t="s">
        <v>67</v>
      </c>
      <c r="AA27" s="167" t="s">
        <v>73</v>
      </c>
      <c r="AB27" s="8"/>
      <c r="AC27" s="175"/>
      <c r="AD27" s="167" t="s">
        <v>0</v>
      </c>
      <c r="AE27" s="167" t="s">
        <v>52</v>
      </c>
      <c r="AF27" s="167" t="s">
        <v>20</v>
      </c>
      <c r="AG27" s="167" t="s">
        <v>12</v>
      </c>
      <c r="AH27" s="167" t="s">
        <v>15</v>
      </c>
      <c r="AI27" s="167" t="s">
        <v>76</v>
      </c>
      <c r="AJ27" s="186" t="s">
        <v>0</v>
      </c>
      <c r="AK27" s="186" t="s">
        <v>52</v>
      </c>
      <c r="AL27" s="186" t="s">
        <v>20</v>
      </c>
      <c r="AM27" s="187" t="s">
        <v>12</v>
      </c>
      <c r="AN27" s="70"/>
      <c r="AX27" s="25"/>
      <c r="BB27" s="168" t="s">
        <v>95</v>
      </c>
      <c r="BC27" s="172" t="s">
        <v>139</v>
      </c>
    </row>
    <row r="28" spans="2:55" x14ac:dyDescent="0.3">
      <c r="B28" s="69"/>
      <c r="C28" s="167"/>
      <c r="D28" s="348" t="s">
        <v>57</v>
      </c>
      <c r="E28" s="348"/>
      <c r="F28" s="349"/>
      <c r="G28" s="173"/>
      <c r="H28" s="145"/>
      <c r="I28" s="145"/>
      <c r="J28" s="145"/>
      <c r="K28" s="8"/>
      <c r="L28" s="145"/>
      <c r="M28" s="167"/>
      <c r="N28" s="174" t="s">
        <v>11</v>
      </c>
      <c r="O28" s="174"/>
      <c r="P28" s="167"/>
      <c r="Q28" s="8"/>
      <c r="R28" s="59">
        <v>0.13780000000000001</v>
      </c>
      <c r="S28" s="59">
        <v>0.16</v>
      </c>
      <c r="T28" s="59">
        <f>F38</f>
        <v>1.3462333333333334</v>
      </c>
      <c r="U28" s="59">
        <f>F46</f>
        <v>1.3421666666666667</v>
      </c>
      <c r="V28" s="8"/>
      <c r="W28" s="8"/>
      <c r="X28" s="167" t="s">
        <v>6</v>
      </c>
      <c r="Y28" s="59">
        <f>N30</f>
        <v>0.16825019794140936</v>
      </c>
      <c r="Z28" s="59">
        <f>O30</f>
        <v>0.12391132224861443</v>
      </c>
      <c r="AA28" s="59">
        <f>P30</f>
        <v>0.70783847980997616</v>
      </c>
      <c r="AB28" s="8"/>
      <c r="AC28" s="175" t="s">
        <v>6</v>
      </c>
      <c r="AD28" s="59">
        <f>Y28*$AG28</f>
        <v>5.0999999999999996</v>
      </c>
      <c r="AE28" s="59">
        <f>Z28*$AG28</f>
        <v>3.7560000000000002</v>
      </c>
      <c r="AF28" s="59">
        <f>AA28*$AG28</f>
        <v>21.455999999999996</v>
      </c>
      <c r="AG28" s="59">
        <f>AA37</f>
        <v>30.311999999999998</v>
      </c>
      <c r="AH28" s="59"/>
      <c r="AI28" s="59"/>
      <c r="AJ28" s="79">
        <f t="shared" ref="AJ28:AM31" si="1">AD28/$AG28</f>
        <v>0.16825019794140936</v>
      </c>
      <c r="AK28" s="79">
        <f t="shared" si="1"/>
        <v>0.12391132224861443</v>
      </c>
      <c r="AL28" s="79">
        <f t="shared" si="1"/>
        <v>0.70783847980997616</v>
      </c>
      <c r="AM28" s="79">
        <f t="shared" si="1"/>
        <v>1</v>
      </c>
      <c r="AN28" s="70"/>
      <c r="AT28" s="114" t="s">
        <v>95</v>
      </c>
      <c r="AU28" s="114" t="s">
        <v>135</v>
      </c>
      <c r="AV28" s="114" t="s">
        <v>134</v>
      </c>
      <c r="AW28" s="114" t="s">
        <v>136</v>
      </c>
      <c r="BB28" s="197">
        <v>0.03</v>
      </c>
      <c r="BC28" s="183">
        <f t="shared" ref="BC28:BC60" si="2">$AT$39*EXP(-$AU$39*BB28^(0.5)-$AV$39*BB28^3)</f>
        <v>0.47321746325075537</v>
      </c>
    </row>
    <row r="29" spans="2:55" x14ac:dyDescent="0.3">
      <c r="B29" s="69"/>
      <c r="C29" s="167" t="s">
        <v>6</v>
      </c>
      <c r="D29" s="176" t="s">
        <v>0</v>
      </c>
      <c r="E29" s="167" t="s">
        <v>52</v>
      </c>
      <c r="F29" s="177" t="s">
        <v>20</v>
      </c>
      <c r="G29" s="167" t="s">
        <v>12</v>
      </c>
      <c r="H29" s="64"/>
      <c r="I29" s="64"/>
      <c r="J29" s="64"/>
      <c r="K29" s="8"/>
      <c r="L29" s="8"/>
      <c r="M29" s="167" t="s">
        <v>6</v>
      </c>
      <c r="N29" s="167" t="s">
        <v>10</v>
      </c>
      <c r="O29" s="167" t="s">
        <v>58</v>
      </c>
      <c r="P29" s="167" t="s">
        <v>59</v>
      </c>
      <c r="Q29" s="8"/>
      <c r="R29" s="8"/>
      <c r="S29" s="8"/>
      <c r="T29" s="8"/>
      <c r="U29" s="8"/>
      <c r="V29" s="8"/>
      <c r="W29" s="8"/>
      <c r="X29" s="167" t="s">
        <v>4</v>
      </c>
      <c r="Y29" s="59">
        <v>8.01220199099765E-2</v>
      </c>
      <c r="Z29" s="59">
        <v>1.3481176220745289E-2</v>
      </c>
      <c r="AA29" s="59">
        <f>1-Z29-Y29</f>
        <v>0.90639680386927823</v>
      </c>
      <c r="AB29" s="8"/>
      <c r="AC29" s="175" t="s">
        <v>4</v>
      </c>
      <c r="AD29" s="59">
        <f>Y29*$AG29*E38/D38</f>
        <v>5.0689035652006806</v>
      </c>
      <c r="AE29" s="59">
        <f>Z29*$AG29*E38/D38</f>
        <v>0.85288391737020663</v>
      </c>
      <c r="AF29" s="59">
        <f>AG29-AD29-AE29</f>
        <v>10.843012517429109</v>
      </c>
      <c r="AG29" s="59">
        <f>U44</f>
        <v>16.764799999999997</v>
      </c>
      <c r="AH29" s="59">
        <f>Y29*$R$4+Z29*$S$4+1.333</f>
        <v>1.3461978025389141</v>
      </c>
      <c r="AI29" s="59">
        <f>(T28-AH29)^2/T28</f>
        <v>9.3775523217932843E-10</v>
      </c>
      <c r="AJ29" s="79">
        <f t="shared" si="1"/>
        <v>0.3023539538318788</v>
      </c>
      <c r="AK29" s="79">
        <f t="shared" si="1"/>
        <v>5.0873491921776981E-2</v>
      </c>
      <c r="AL29" s="79">
        <f t="shared" si="1"/>
        <v>0.64677255424634417</v>
      </c>
      <c r="AM29" s="79">
        <f t="shared" si="1"/>
        <v>1</v>
      </c>
      <c r="AN29" s="70"/>
      <c r="AO29" s="27"/>
      <c r="AP29" s="27"/>
      <c r="AT29" s="81">
        <v>6.95681494064532E-2</v>
      </c>
      <c r="AU29" s="81">
        <v>0.21225936603875753</v>
      </c>
      <c r="AV29" s="82">
        <f t="shared" ref="AV29:AV36" si="3">$AT$39*EXP(-$AU$39*AT29^(0.5)-$AV$39*AT29^3)</f>
        <v>0.20826765544791612</v>
      </c>
      <c r="AW29" s="80">
        <f t="shared" ref="AW29:AW36" si="4">(AU29-AV29)^2</f>
        <v>1.5933753441035501E-5</v>
      </c>
      <c r="BB29" s="197">
        <v>3.5000000000000003E-2</v>
      </c>
      <c r="BC29" s="183">
        <f t="shared" si="2"/>
        <v>0.4199154821934733</v>
      </c>
    </row>
    <row r="30" spans="2:55" ht="15.75" customHeight="1" x14ac:dyDescent="0.3">
      <c r="B30" s="69"/>
      <c r="C30" s="167" t="s">
        <v>7</v>
      </c>
      <c r="D30" s="4">
        <v>5.0999999999999996</v>
      </c>
      <c r="E30" s="4">
        <f>3.6+0.26*1.2/2</f>
        <v>3.7560000000000002</v>
      </c>
      <c r="F30" s="56">
        <f>21.3+0.26*1.2/2</f>
        <v>21.456</v>
      </c>
      <c r="G30" s="4">
        <f>SUM(D30:F30)</f>
        <v>30.311999999999998</v>
      </c>
      <c r="H30" s="8"/>
      <c r="I30" s="8"/>
      <c r="J30" s="8"/>
      <c r="K30" s="8"/>
      <c r="L30" s="8"/>
      <c r="M30" s="167" t="s">
        <v>7</v>
      </c>
      <c r="N30" s="139">
        <f>D30/G30</f>
        <v>0.16825019794140936</v>
      </c>
      <c r="O30" s="139">
        <f>E30/G30</f>
        <v>0.12391132224861443</v>
      </c>
      <c r="P30" s="139">
        <f>1-O30-N30</f>
        <v>0.70783847980997616</v>
      </c>
      <c r="Q30" s="8"/>
      <c r="R30" s="8"/>
      <c r="S30" s="8"/>
      <c r="T30" s="8"/>
      <c r="U30" s="8"/>
      <c r="V30" s="8"/>
      <c r="W30" s="8"/>
      <c r="X30" s="167" t="s">
        <v>5</v>
      </c>
      <c r="Y30" s="59">
        <v>2.745445752055457E-3</v>
      </c>
      <c r="Z30" s="59">
        <v>5.7741432677512458E-2</v>
      </c>
      <c r="AA30" s="59">
        <f>1-Z30-Y30</f>
        <v>0.9395131215704321</v>
      </c>
      <c r="AB30" s="8"/>
      <c r="AC30" s="175" t="s">
        <v>5</v>
      </c>
      <c r="AD30" s="59">
        <f>Y30*$AG30*E46/D46</f>
        <v>0.14191666666666666</v>
      </c>
      <c r="AE30" s="59">
        <f>Z30*$AG30*E46/D46</f>
        <v>2.9847508908217484</v>
      </c>
      <c r="AF30" s="59">
        <f>AG30-AD30-AE30</f>
        <v>11.064999109178251</v>
      </c>
      <c r="AG30" s="59">
        <f>U46</f>
        <v>14.191666666666666</v>
      </c>
      <c r="AH30" s="59">
        <f>Y30*$R$4+Z30*$S$4+1.333</f>
        <v>1.3426169516530353</v>
      </c>
      <c r="AI30" s="59">
        <f>(U28-AH30)^2/U28</f>
        <v>1.5106661041768717E-7</v>
      </c>
      <c r="AJ30" s="79">
        <f t="shared" si="1"/>
        <v>0.01</v>
      </c>
      <c r="AK30" s="79">
        <f t="shared" si="1"/>
        <v>0.21031715026342326</v>
      </c>
      <c r="AL30" s="79">
        <f t="shared" si="1"/>
        <v>0.77968284973657664</v>
      </c>
      <c r="AM30" s="79">
        <f t="shared" si="1"/>
        <v>1</v>
      </c>
      <c r="AN30" s="70"/>
      <c r="AO30" s="27"/>
      <c r="AP30" s="27"/>
      <c r="AT30" s="81">
        <v>0.16816081230567989</v>
      </c>
      <c r="AU30" s="81">
        <v>2.0999978000000006E-2</v>
      </c>
      <c r="AV30" s="82">
        <f t="shared" si="3"/>
        <v>2.5370392027424343E-2</v>
      </c>
      <c r="AW30" s="80">
        <f t="shared" si="4"/>
        <v>1.9100518771107411E-5</v>
      </c>
      <c r="BB30" s="197">
        <v>0.04</v>
      </c>
      <c r="BC30" s="183">
        <f t="shared" si="2"/>
        <v>0.37523844578867055</v>
      </c>
    </row>
    <row r="31" spans="2:55" x14ac:dyDescent="0.3">
      <c r="B31" s="69"/>
      <c r="C31" s="8"/>
      <c r="D31" s="8"/>
      <c r="E31" s="8"/>
      <c r="F31" s="8"/>
      <c r="G31" s="8"/>
      <c r="H31" s="8"/>
      <c r="I31" s="8"/>
      <c r="J31" s="8"/>
      <c r="K31" s="8"/>
      <c r="L31" s="8"/>
      <c r="M31" s="8"/>
      <c r="N31" s="142"/>
      <c r="O31" s="142"/>
      <c r="P31" s="142"/>
      <c r="Q31" s="8"/>
      <c r="R31" s="8"/>
      <c r="S31" s="8"/>
      <c r="T31" s="8"/>
      <c r="U31" s="8"/>
      <c r="V31" s="8"/>
      <c r="W31" s="8"/>
      <c r="X31" s="8"/>
      <c r="Y31" s="8"/>
      <c r="Z31" s="8"/>
      <c r="AA31" s="8"/>
      <c r="AB31" s="8"/>
      <c r="AC31" s="175" t="s">
        <v>75</v>
      </c>
      <c r="AD31" s="59">
        <f>SUM(AD29:AD30)</f>
        <v>5.2108202318673476</v>
      </c>
      <c r="AE31" s="59">
        <f>SUM(AE29:AE30)</f>
        <v>3.8376348081919551</v>
      </c>
      <c r="AF31" s="59">
        <f>SUM(AF29:AF30)</f>
        <v>21.908011626607362</v>
      </c>
      <c r="AG31" s="59">
        <f>SUM(AG29:AG30)</f>
        <v>30.956466666666664</v>
      </c>
      <c r="AH31" s="59"/>
      <c r="AI31" s="59"/>
      <c r="AJ31" s="79">
        <f t="shared" si="1"/>
        <v>0.16832735751067676</v>
      </c>
      <c r="AK31" s="79">
        <f t="shared" si="1"/>
        <v>0.12396876069594362</v>
      </c>
      <c r="AL31" s="79">
        <f t="shared" si="1"/>
        <v>0.70770388179337962</v>
      </c>
      <c r="AM31" s="79">
        <f t="shared" si="1"/>
        <v>1</v>
      </c>
      <c r="AN31" s="70"/>
      <c r="AT31" s="81">
        <v>5.0873491921776981E-2</v>
      </c>
      <c r="AU31" s="81">
        <v>0.3023539538318788</v>
      </c>
      <c r="AV31" s="82">
        <f t="shared" si="3"/>
        <v>0.29883591023231493</v>
      </c>
      <c r="AW31" s="80">
        <f t="shared" si="4"/>
        <v>1.2376630768432306E-5</v>
      </c>
      <c r="BB31" s="197">
        <v>0.05</v>
      </c>
      <c r="BC31" s="183">
        <f t="shared" si="2"/>
        <v>0.30415087720165523</v>
      </c>
    </row>
    <row r="32" spans="2:55" x14ac:dyDescent="0.3">
      <c r="B32" s="69"/>
      <c r="C32" s="8" t="s">
        <v>16</v>
      </c>
      <c r="D32" s="8"/>
      <c r="E32" s="8"/>
      <c r="F32" s="8"/>
      <c r="G32" s="8"/>
      <c r="H32" s="8"/>
      <c r="I32" s="8"/>
      <c r="J32" s="8"/>
      <c r="K32" s="8"/>
      <c r="L32" s="8"/>
      <c r="M32" s="8"/>
      <c r="N32" s="8"/>
      <c r="O32" s="8"/>
      <c r="P32" s="8"/>
      <c r="Q32" s="8"/>
      <c r="R32" s="8"/>
      <c r="S32" s="8"/>
      <c r="T32" s="8"/>
      <c r="U32" s="8"/>
      <c r="V32" s="8"/>
      <c r="W32" s="8"/>
      <c r="X32" s="8"/>
      <c r="Y32" s="8"/>
      <c r="Z32" s="8"/>
      <c r="AA32" s="8"/>
      <c r="AB32" s="8"/>
      <c r="AC32" s="175" t="s">
        <v>76</v>
      </c>
      <c r="AD32" s="59">
        <f>(AD31-AD28)^2/AD28</f>
        <v>2.4080634884574028E-3</v>
      </c>
      <c r="AE32" s="59">
        <f>(AE31-AE28)^2/AE28</f>
        <v>1.77429230791727E-3</v>
      </c>
      <c r="AF32" s="59">
        <f>(AF31-AF28)^2/AF28</f>
        <v>9.5224883756635272E-3</v>
      </c>
      <c r="AG32" s="59"/>
      <c r="AH32" s="178" t="s">
        <v>74</v>
      </c>
      <c r="AI32" s="59">
        <f>AI29+AI30+AD32+AE32+AF32+AM33+AM34</f>
        <v>1.370499617640385E-2</v>
      </c>
      <c r="AJ32" s="79"/>
      <c r="AK32" s="184" t="s">
        <v>118</v>
      </c>
      <c r="AL32" s="79">
        <f>ABS(U38-AL29)/U38</f>
        <v>1.1083990302578339E-2</v>
      </c>
      <c r="AM32" s="79"/>
      <c r="AN32" s="70"/>
      <c r="AT32" s="81">
        <v>0.21031715026342326</v>
      </c>
      <c r="AU32" s="81">
        <v>0.01</v>
      </c>
      <c r="AV32" s="82">
        <f t="shared" si="3"/>
        <v>6.8377248994136441E-3</v>
      </c>
      <c r="AW32" s="80">
        <f t="shared" si="4"/>
        <v>9.9999838117884477E-6</v>
      </c>
      <c r="BB32" s="197">
        <v>0.06</v>
      </c>
      <c r="BC32" s="183">
        <f t="shared" si="2"/>
        <v>0.24976148627094957</v>
      </c>
    </row>
    <row r="33" spans="2:55" ht="15" thickBot="1" x14ac:dyDescent="0.35">
      <c r="B33" s="69"/>
      <c r="C33" s="8">
        <v>1.5</v>
      </c>
      <c r="D33" s="8"/>
      <c r="E33" s="8"/>
      <c r="F33" s="8"/>
      <c r="G33" s="8"/>
      <c r="H33" s="347" t="s">
        <v>130</v>
      </c>
      <c r="I33" s="347"/>
      <c r="J33" s="347"/>
      <c r="K33" s="8"/>
      <c r="L33" s="8"/>
      <c r="M33" s="8"/>
      <c r="N33" s="8"/>
      <c r="O33" s="8"/>
      <c r="P33" s="8"/>
      <c r="Q33" s="8"/>
      <c r="R33" s="8"/>
      <c r="S33" s="8"/>
      <c r="T33" s="8"/>
      <c r="U33" s="8"/>
      <c r="V33" s="8"/>
      <c r="W33" s="8"/>
      <c r="X33" s="8"/>
      <c r="Y33" s="8"/>
      <c r="Z33" s="8"/>
      <c r="AA33" s="8"/>
      <c r="AB33" s="8"/>
      <c r="AC33" s="179" t="s">
        <v>110</v>
      </c>
      <c r="AD33" s="59">
        <f>ABS((AD28-AD31)/AD28)</f>
        <v>2.1729457228891746E-2</v>
      </c>
      <c r="AE33" s="59">
        <f>ABS((AE28-AE31)/AE28)</f>
        <v>2.1734506973363921E-2</v>
      </c>
      <c r="AF33" s="59">
        <f>ABS((AF28-AF31)/AF28)</f>
        <v>2.1066910263206833E-2</v>
      </c>
      <c r="AG33" s="59">
        <f>AVERAGE(AD33:AF33)</f>
        <v>2.1510291488487498E-2</v>
      </c>
      <c r="AH33" s="59"/>
      <c r="AI33" s="59"/>
      <c r="AJ33" s="79"/>
      <c r="AK33" s="184" t="s">
        <v>119</v>
      </c>
      <c r="AL33" s="79">
        <f>ABS(U40-AL30)/U40</f>
        <v>1.1776309127888275E-2</v>
      </c>
      <c r="AM33" s="79"/>
      <c r="AN33" s="70"/>
      <c r="AT33" s="81">
        <v>0.04</v>
      </c>
      <c r="AU33" s="81">
        <v>0.3699229417994121</v>
      </c>
      <c r="AV33" s="82">
        <f t="shared" si="3"/>
        <v>0.37523844578867055</v>
      </c>
      <c r="AW33" s="80">
        <f t="shared" si="4"/>
        <v>2.8254582659822518E-5</v>
      </c>
      <c r="BB33" s="197">
        <v>7.0000000000000007E-2</v>
      </c>
      <c r="BC33" s="183">
        <f t="shared" si="2"/>
        <v>0.20658603924278293</v>
      </c>
    </row>
    <row r="34" spans="2:55" x14ac:dyDescent="0.3">
      <c r="B34" s="69"/>
      <c r="C34" s="167" t="s">
        <v>4</v>
      </c>
      <c r="D34" s="167" t="s">
        <v>14</v>
      </c>
      <c r="E34" s="167" t="s">
        <v>17</v>
      </c>
      <c r="F34" s="167" t="s">
        <v>15</v>
      </c>
      <c r="G34" s="8"/>
      <c r="H34" s="167" t="s">
        <v>54</v>
      </c>
      <c r="I34" s="167" t="s">
        <v>55</v>
      </c>
      <c r="J34" s="167" t="s">
        <v>56</v>
      </c>
      <c r="K34" s="167" t="s">
        <v>12</v>
      </c>
      <c r="L34" s="167" t="s">
        <v>48</v>
      </c>
      <c r="M34" s="167" t="s">
        <v>49</v>
      </c>
      <c r="N34" s="167" t="s">
        <v>50</v>
      </c>
      <c r="O34" s="167" t="s">
        <v>12</v>
      </c>
      <c r="P34" s="8"/>
      <c r="Q34" s="147"/>
      <c r="R34" s="147"/>
      <c r="S34" s="8"/>
      <c r="T34" s="8"/>
      <c r="U34" s="8"/>
      <c r="V34" s="8"/>
      <c r="W34" s="8"/>
      <c r="X34" s="8"/>
      <c r="Y34" s="8"/>
      <c r="Z34" s="8"/>
      <c r="AA34" s="8"/>
      <c r="AB34" s="8"/>
      <c r="AC34" s="8"/>
      <c r="AD34" s="8"/>
      <c r="AE34" s="8"/>
      <c r="AF34" s="8"/>
      <c r="AG34" s="8"/>
      <c r="AH34" s="8"/>
      <c r="AI34" s="8"/>
      <c r="AJ34" s="11"/>
      <c r="AK34" s="11"/>
      <c r="AL34" s="11"/>
      <c r="AM34" s="11"/>
      <c r="AN34" s="70"/>
      <c r="AT34" s="81">
        <v>0.25188862785235172</v>
      </c>
      <c r="AU34" s="81">
        <v>9.0444594968596261E-4</v>
      </c>
      <c r="AV34" s="82">
        <f t="shared" si="3"/>
        <v>1.2606014147024576E-3</v>
      </c>
      <c r="AW34" s="80">
        <f t="shared" si="4"/>
        <v>1.2684671526111577E-7</v>
      </c>
      <c r="BB34" s="197">
        <v>0.08</v>
      </c>
      <c r="BC34" s="183">
        <f t="shared" si="2"/>
        <v>0.17139415629010252</v>
      </c>
    </row>
    <row r="35" spans="2:55" x14ac:dyDescent="0.3">
      <c r="B35" s="69"/>
      <c r="C35" s="167" t="s">
        <v>7</v>
      </c>
      <c r="D35" s="4">
        <v>0.54039999999999999</v>
      </c>
      <c r="E35" s="4">
        <f>D35+1.5</f>
        <v>2.0404</v>
      </c>
      <c r="F35" s="4">
        <v>1.3462000000000001</v>
      </c>
      <c r="G35" s="8"/>
      <c r="H35" s="63">
        <f>1.333</f>
        <v>1.333</v>
      </c>
      <c r="I35" s="63">
        <f>I37*0.1378</f>
        <v>1.2537537475415354E-2</v>
      </c>
      <c r="J35" s="63">
        <f>J37*0.16</f>
        <v>7.1975759889327364E-4</v>
      </c>
      <c r="K35" s="63">
        <f>SUM(H35:J35)</f>
        <v>1.3462572950743086</v>
      </c>
      <c r="L35" s="63">
        <v>0.63968232159703187</v>
      </c>
      <c r="M35" s="63">
        <f>I37*(E38/D38)</f>
        <v>0.34334188666131954</v>
      </c>
      <c r="N35" s="63">
        <f>J37*(E38/D38)</f>
        <v>1.6975791741648864E-2</v>
      </c>
      <c r="O35" s="63">
        <f>SUM(L35:N35)</f>
        <v>1.0000000000000002</v>
      </c>
      <c r="P35" s="8"/>
      <c r="Q35" s="167"/>
      <c r="R35" s="167"/>
      <c r="S35" s="167" t="s">
        <v>58</v>
      </c>
      <c r="T35" s="167" t="s">
        <v>10</v>
      </c>
      <c r="U35" s="167" t="s">
        <v>59</v>
      </c>
      <c r="V35" s="8"/>
      <c r="W35" s="349" t="s">
        <v>57</v>
      </c>
      <c r="X35" s="350"/>
      <c r="Y35" s="350"/>
      <c r="Z35" s="350"/>
      <c r="AA35" s="351"/>
      <c r="AB35" s="145"/>
      <c r="AC35" s="145"/>
      <c r="AD35" s="8"/>
      <c r="AE35" s="8"/>
      <c r="AF35" s="64"/>
      <c r="AG35" s="64"/>
      <c r="AH35" s="8"/>
      <c r="AI35" s="8"/>
      <c r="AJ35" s="11"/>
      <c r="AK35" s="11"/>
      <c r="AL35" s="11"/>
      <c r="AM35" s="11"/>
      <c r="AN35" s="70"/>
      <c r="AT35" s="81">
        <v>2.9999999999999995E-2</v>
      </c>
      <c r="AU35" s="81">
        <v>0.47169718162146251</v>
      </c>
      <c r="AV35" s="82">
        <f t="shared" si="3"/>
        <v>0.47321746325075548</v>
      </c>
      <c r="AW35" s="80">
        <f t="shared" si="4"/>
        <v>2.3112562323656669E-6</v>
      </c>
      <c r="BB35" s="197">
        <v>0.09</v>
      </c>
      <c r="BC35" s="183">
        <f t="shared" si="2"/>
        <v>0.14216362421848305</v>
      </c>
    </row>
    <row r="36" spans="2:55" ht="15" thickBot="1" x14ac:dyDescent="0.35">
      <c r="B36" s="69"/>
      <c r="C36" s="167" t="s">
        <v>8</v>
      </c>
      <c r="D36" s="4">
        <v>0.54100000000000004</v>
      </c>
      <c r="E36" s="4">
        <f>D36+1.5</f>
        <v>2.0409999999999999</v>
      </c>
      <c r="F36" s="63">
        <v>1.3462000000000001</v>
      </c>
      <c r="G36" s="64"/>
      <c r="H36" s="167" t="s">
        <v>48</v>
      </c>
      <c r="I36" s="167" t="s">
        <v>49</v>
      </c>
      <c r="J36" s="167" t="s">
        <v>50</v>
      </c>
      <c r="K36" s="167" t="s">
        <v>12</v>
      </c>
      <c r="L36" s="63"/>
      <c r="M36" s="63"/>
      <c r="N36" s="63"/>
      <c r="O36" s="63"/>
      <c r="P36" s="8"/>
      <c r="Q36" s="348" t="s">
        <v>6</v>
      </c>
      <c r="R36" s="167" t="s">
        <v>13</v>
      </c>
      <c r="S36" s="139">
        <f>O30</f>
        <v>0.12391132224861443</v>
      </c>
      <c r="T36" s="139">
        <f>N30</f>
        <v>0.16825019794140936</v>
      </c>
      <c r="U36" s="139">
        <f>P30</f>
        <v>0.70783847980997616</v>
      </c>
      <c r="V36" s="8"/>
      <c r="W36" s="167"/>
      <c r="X36" s="167" t="s">
        <v>0</v>
      </c>
      <c r="Y36" s="167" t="s">
        <v>52</v>
      </c>
      <c r="Z36" s="167" t="s">
        <v>20</v>
      </c>
      <c r="AA36" s="167" t="s">
        <v>12</v>
      </c>
      <c r="AB36" s="8"/>
      <c r="AC36" s="8"/>
      <c r="AD36" s="8"/>
      <c r="AE36" s="8"/>
      <c r="AF36" s="64"/>
      <c r="AG36" s="64"/>
      <c r="AH36" s="8"/>
      <c r="AI36" s="8"/>
      <c r="AJ36" s="11"/>
      <c r="AK36" s="11"/>
      <c r="AL36" s="11"/>
      <c r="AM36" s="11"/>
      <c r="AN36" s="70"/>
      <c r="AT36" s="81">
        <v>0.32832040858000844</v>
      </c>
      <c r="AU36" s="81">
        <v>9.044459496859625E-4</v>
      </c>
      <c r="AV36" s="82">
        <f t="shared" si="3"/>
        <v>1.4641485659123942E-5</v>
      </c>
      <c r="AW36" s="192">
        <f t="shared" si="4"/>
        <v>7.9175198420208944E-7</v>
      </c>
      <c r="BB36" s="197">
        <v>0.1</v>
      </c>
      <c r="BC36" s="183">
        <f t="shared" si="2"/>
        <v>0.11757150734865938</v>
      </c>
    </row>
    <row r="37" spans="2:55" ht="15" thickBot="1" x14ac:dyDescent="0.35">
      <c r="B37" s="69"/>
      <c r="C37" s="167" t="s">
        <v>9</v>
      </c>
      <c r="D37" s="4">
        <v>0.54100000000000004</v>
      </c>
      <c r="E37" s="4">
        <f>D37+1.5</f>
        <v>2.0409999999999999</v>
      </c>
      <c r="F37" s="4">
        <v>1.3463000000000001</v>
      </c>
      <c r="G37" s="8"/>
      <c r="H37" s="63">
        <f>(L35*D38+1.5)/E38</f>
        <v>0.90451793390811186</v>
      </c>
      <c r="I37" s="63">
        <v>9.098358109880518E-2</v>
      </c>
      <c r="J37" s="63">
        <f>1-H37-I37</f>
        <v>4.4984849930829601E-3</v>
      </c>
      <c r="K37" s="63">
        <f>SUM(H37:J37)</f>
        <v>1</v>
      </c>
      <c r="L37" s="63"/>
      <c r="M37" s="63"/>
      <c r="N37" s="63"/>
      <c r="O37" s="63"/>
      <c r="P37" s="8"/>
      <c r="Q37" s="348"/>
      <c r="R37" s="167" t="s">
        <v>3</v>
      </c>
      <c r="S37" s="139"/>
      <c r="T37" s="139"/>
      <c r="U37" s="139"/>
      <c r="V37" s="8"/>
      <c r="W37" s="167" t="s">
        <v>6</v>
      </c>
      <c r="X37" s="59">
        <f>D30</f>
        <v>5.0999999999999996</v>
      </c>
      <c r="Y37" s="59">
        <f>E30</f>
        <v>3.7560000000000002</v>
      </c>
      <c r="Z37" s="59">
        <f>F30</f>
        <v>21.456</v>
      </c>
      <c r="AA37" s="59">
        <f>SUM(X37:Z37)</f>
        <v>30.311999999999998</v>
      </c>
      <c r="AB37" s="8"/>
      <c r="AC37" s="8"/>
      <c r="AD37" s="8"/>
      <c r="AE37" s="8"/>
      <c r="AF37" s="8"/>
      <c r="AG37" s="8"/>
      <c r="AH37" s="8"/>
      <c r="AI37" s="8"/>
      <c r="AJ37" s="11"/>
      <c r="AK37" s="11"/>
      <c r="AL37" s="11"/>
      <c r="AM37" s="11"/>
      <c r="AN37" s="70"/>
      <c r="AT37" s="369" t="s">
        <v>137</v>
      </c>
      <c r="AU37" s="370"/>
      <c r="AV37" s="371"/>
      <c r="AW37" s="94">
        <f>SUM(AW29:AW36)</f>
        <v>8.8895324384015073E-5</v>
      </c>
      <c r="AX37" s="95" t="s">
        <v>74</v>
      </c>
      <c r="BB37" s="197">
        <v>0.11</v>
      </c>
      <c r="BC37" s="183">
        <f t="shared" si="2"/>
        <v>9.6721228758862271E-2</v>
      </c>
    </row>
    <row r="38" spans="2:55" x14ac:dyDescent="0.3">
      <c r="B38" s="69"/>
      <c r="C38" s="167" t="s">
        <v>13</v>
      </c>
      <c r="D38" s="4">
        <f>AVERAGE(D35:D37)</f>
        <v>0.54079999999999995</v>
      </c>
      <c r="E38" s="4">
        <f>D38+1.5</f>
        <v>2.0407999999999999</v>
      </c>
      <c r="F38" s="4">
        <f>AVERAGE(F35:F37)</f>
        <v>1.3462333333333334</v>
      </c>
      <c r="G38" s="8"/>
      <c r="H38" s="3"/>
      <c r="I38" s="3"/>
      <c r="J38" s="3"/>
      <c r="K38" s="3"/>
      <c r="L38" s="64"/>
      <c r="M38" s="64"/>
      <c r="N38" s="64"/>
      <c r="O38" s="64"/>
      <c r="P38" s="8"/>
      <c r="Q38" s="348" t="s">
        <v>4</v>
      </c>
      <c r="R38" s="167" t="s">
        <v>13</v>
      </c>
      <c r="S38" s="146">
        <f>N35</f>
        <v>1.6975791741648864E-2</v>
      </c>
      <c r="T38" s="146">
        <f>M35</f>
        <v>0.34334188666131954</v>
      </c>
      <c r="U38" s="146">
        <f>L35</f>
        <v>0.63968232159703187</v>
      </c>
      <c r="V38" s="8"/>
      <c r="W38" s="167" t="s">
        <v>4</v>
      </c>
      <c r="X38" s="59">
        <f>T38*$U$20</f>
        <v>6.8561598005512234</v>
      </c>
      <c r="Y38" s="59">
        <f>S38*U44</f>
        <v>0.28459575339039483</v>
      </c>
      <c r="Z38" s="59">
        <f>U44*U38</f>
        <v>10.724146185109918</v>
      </c>
      <c r="AA38" s="59">
        <f>SUM(X38:Z38)</f>
        <v>17.864901739051536</v>
      </c>
      <c r="AB38" s="8"/>
      <c r="AC38" s="8"/>
      <c r="AD38" s="8"/>
      <c r="AE38" s="8"/>
      <c r="AF38" s="8"/>
      <c r="AG38" s="8"/>
      <c r="AH38" s="8"/>
      <c r="AI38" s="8"/>
      <c r="AJ38" s="11"/>
      <c r="AK38" s="11"/>
      <c r="AL38" s="11"/>
      <c r="AM38" s="11"/>
      <c r="AN38" s="70"/>
      <c r="AT38" s="171" t="s">
        <v>81</v>
      </c>
      <c r="AU38" s="171" t="s">
        <v>82</v>
      </c>
      <c r="AV38" s="171" t="s">
        <v>83</v>
      </c>
      <c r="BB38" s="197">
        <v>0.12</v>
      </c>
      <c r="BC38" s="183">
        <f t="shared" si="2"/>
        <v>7.8984794244955331E-2</v>
      </c>
    </row>
    <row r="39" spans="2:55" x14ac:dyDescent="0.3">
      <c r="B39" s="69"/>
      <c r="C39" s="167" t="s">
        <v>3</v>
      </c>
      <c r="D39" s="4">
        <f>_xlfn.STDEV.S(D35:D37)</f>
        <v>3.4641016151380137E-4</v>
      </c>
      <c r="E39" s="4">
        <f>_xlfn.STDEV.S(E35:E37)</f>
        <v>3.4641016151373729E-4</v>
      </c>
      <c r="F39" s="4">
        <f>_xlfn.STDEV.S(F35:F37)</f>
        <v>5.7735026918956222E-5</v>
      </c>
      <c r="G39" s="8"/>
      <c r="H39" s="64"/>
      <c r="I39" s="64"/>
      <c r="J39" s="64"/>
      <c r="K39" s="64"/>
      <c r="L39" s="64"/>
      <c r="M39" s="64"/>
      <c r="N39" s="64"/>
      <c r="O39" s="64"/>
      <c r="P39" s="8"/>
      <c r="Q39" s="348"/>
      <c r="R39" s="167" t="s">
        <v>3</v>
      </c>
      <c r="S39" s="139"/>
      <c r="T39" s="139"/>
      <c r="U39" s="139"/>
      <c r="V39" s="8"/>
      <c r="W39" s="167" t="s">
        <v>5</v>
      </c>
      <c r="X39" s="59">
        <v>0</v>
      </c>
      <c r="Y39" s="59">
        <f>Y37-Y38</f>
        <v>3.4714042466096053</v>
      </c>
      <c r="Z39" s="59">
        <f>U46*U40</f>
        <v>10.936210908828107</v>
      </c>
      <c r="AA39" s="59">
        <f>SUM(X39:Z39)</f>
        <v>14.407615155437712</v>
      </c>
      <c r="AB39" s="8"/>
      <c r="AC39" s="8"/>
      <c r="AD39" s="8"/>
      <c r="AE39" s="8"/>
      <c r="AF39" s="8"/>
      <c r="AG39" s="8"/>
      <c r="AH39" s="8"/>
      <c r="AI39" s="8"/>
      <c r="AJ39" s="11"/>
      <c r="AK39" s="11"/>
      <c r="AL39" s="11"/>
      <c r="AM39" s="11"/>
      <c r="AN39" s="70"/>
      <c r="AT39" s="193">
        <v>2.0324459986905259</v>
      </c>
      <c r="AU39" s="193">
        <v>8.383538918696825</v>
      </c>
      <c r="AV39" s="193">
        <v>198.84076692560922</v>
      </c>
      <c r="BB39" s="197">
        <v>0.13</v>
      </c>
      <c r="BC39" s="183">
        <f t="shared" si="2"/>
        <v>6.3906058117003978E-2</v>
      </c>
    </row>
    <row r="40" spans="2:55" x14ac:dyDescent="0.3">
      <c r="B40" s="69"/>
      <c r="C40" s="8"/>
      <c r="D40" s="8"/>
      <c r="E40" s="8"/>
      <c r="F40" s="8"/>
      <c r="G40" s="8"/>
      <c r="H40" s="64"/>
      <c r="I40" s="64"/>
      <c r="J40" s="64"/>
      <c r="K40" s="64"/>
      <c r="L40" s="64"/>
      <c r="M40" s="64"/>
      <c r="N40" s="64"/>
      <c r="O40" s="64"/>
      <c r="P40" s="8"/>
      <c r="Q40" s="348" t="s">
        <v>5</v>
      </c>
      <c r="R40" s="167" t="s">
        <v>13</v>
      </c>
      <c r="S40" s="139">
        <f>N43</f>
        <v>8.2638220009217847E-2</v>
      </c>
      <c r="T40" s="139">
        <f>M43</f>
        <v>0.14675384748381096</v>
      </c>
      <c r="U40" s="139">
        <f>L43</f>
        <v>0.77060793250697168</v>
      </c>
      <c r="V40" s="8"/>
      <c r="W40" s="167" t="s">
        <v>62</v>
      </c>
      <c r="X40" s="59">
        <f>SUM(X38:X39)</f>
        <v>6.8561598005512234</v>
      </c>
      <c r="Y40" s="59">
        <f>SUM(Y38:Y39)</f>
        <v>3.7560000000000002</v>
      </c>
      <c r="Z40" s="59">
        <f>SUM(Z38:Z39)</f>
        <v>21.660357093938025</v>
      </c>
      <c r="AA40" s="59">
        <f>SUM(X40:Z40)</f>
        <v>32.27251689448925</v>
      </c>
      <c r="AB40" s="8"/>
      <c r="AC40" s="8"/>
      <c r="AD40" s="8"/>
      <c r="AE40" s="8"/>
      <c r="AF40" s="8"/>
      <c r="AG40" s="8"/>
      <c r="AH40" s="8"/>
      <c r="AI40" s="8"/>
      <c r="AJ40" s="11"/>
      <c r="AK40" s="11"/>
      <c r="AL40" s="11"/>
      <c r="AM40" s="11"/>
      <c r="AN40" s="70"/>
      <c r="BB40" s="197">
        <v>0.14000000000000001</v>
      </c>
      <c r="BC40" s="183">
        <f t="shared" si="2"/>
        <v>5.1138783169232378E-2</v>
      </c>
    </row>
    <row r="41" spans="2:55" x14ac:dyDescent="0.3">
      <c r="B41" s="69"/>
      <c r="C41" s="8"/>
      <c r="D41" s="8"/>
      <c r="E41" s="8"/>
      <c r="F41" s="8"/>
      <c r="G41" s="8"/>
      <c r="H41" s="347" t="s">
        <v>131</v>
      </c>
      <c r="I41" s="347"/>
      <c r="J41" s="347"/>
      <c r="K41" s="64"/>
      <c r="L41" s="64"/>
      <c r="M41" s="64"/>
      <c r="N41" s="64"/>
      <c r="O41" s="64"/>
      <c r="P41" s="8"/>
      <c r="Q41" s="348"/>
      <c r="R41" s="167" t="s">
        <v>3</v>
      </c>
      <c r="S41" s="139"/>
      <c r="T41" s="139"/>
      <c r="U41" s="146"/>
      <c r="V41" s="8"/>
      <c r="W41" s="8"/>
      <c r="X41" s="8"/>
      <c r="Y41" s="8"/>
      <c r="Z41" s="8"/>
      <c r="AA41" s="8"/>
      <c r="AB41" s="8"/>
      <c r="AC41" s="8"/>
      <c r="AD41" s="8"/>
      <c r="AE41" s="8"/>
      <c r="AF41" s="8"/>
      <c r="AG41" s="8"/>
      <c r="AH41" s="8"/>
      <c r="AI41" s="8"/>
      <c r="AJ41" s="11"/>
      <c r="AK41" s="11"/>
      <c r="AL41" s="11"/>
      <c r="AM41" s="11"/>
      <c r="AN41" s="70"/>
      <c r="BB41" s="197">
        <v>0.15</v>
      </c>
      <c r="BC41" s="183">
        <f t="shared" si="2"/>
        <v>4.0405948828028247E-2</v>
      </c>
    </row>
    <row r="42" spans="2:55" x14ac:dyDescent="0.3">
      <c r="B42" s="69"/>
      <c r="C42" s="167" t="s">
        <v>5</v>
      </c>
      <c r="D42" s="167" t="s">
        <v>14</v>
      </c>
      <c r="E42" s="167" t="s">
        <v>17</v>
      </c>
      <c r="F42" s="167" t="s">
        <v>15</v>
      </c>
      <c r="G42" s="8"/>
      <c r="H42" s="167" t="s">
        <v>54</v>
      </c>
      <c r="I42" s="167" t="s">
        <v>55</v>
      </c>
      <c r="J42" s="167" t="s">
        <v>56</v>
      </c>
      <c r="K42" s="167" t="s">
        <v>12</v>
      </c>
      <c r="L42" s="167" t="s">
        <v>48</v>
      </c>
      <c r="M42" s="167" t="s">
        <v>49</v>
      </c>
      <c r="N42" s="167" t="s">
        <v>50</v>
      </c>
      <c r="O42" s="167" t="s">
        <v>12</v>
      </c>
      <c r="P42" s="8"/>
      <c r="Q42" s="8"/>
      <c r="R42" s="8"/>
      <c r="S42" s="8"/>
      <c r="T42" s="8"/>
      <c r="U42" s="8"/>
      <c r="V42" s="8"/>
      <c r="W42" s="8"/>
      <c r="X42" s="8"/>
      <c r="Y42" s="8"/>
      <c r="Z42" s="8"/>
      <c r="AA42" s="8"/>
      <c r="AB42" s="8"/>
      <c r="AC42" s="8"/>
      <c r="AD42" s="8"/>
      <c r="AE42" s="8"/>
      <c r="AF42" s="8"/>
      <c r="AG42" s="8"/>
      <c r="AH42" s="8"/>
      <c r="AI42" s="8"/>
      <c r="AJ42" s="11"/>
      <c r="AK42" s="11"/>
      <c r="AL42" s="11"/>
      <c r="AM42" s="11"/>
      <c r="AN42" s="70"/>
      <c r="BB42" s="197">
        <v>0.16</v>
      </c>
      <c r="BC42" s="183">
        <f t="shared" si="2"/>
        <v>3.1472933527066434E-2</v>
      </c>
    </row>
    <row r="43" spans="2:55" x14ac:dyDescent="0.3">
      <c r="B43" s="69"/>
      <c r="C43" s="167" t="s">
        <v>7</v>
      </c>
      <c r="D43" s="4">
        <v>0.56679999999999997</v>
      </c>
      <c r="E43" s="4">
        <f>D43+1.5</f>
        <v>2.0667999999999997</v>
      </c>
      <c r="F43" s="4">
        <v>1.3421000000000001</v>
      </c>
      <c r="G43" s="8"/>
      <c r="H43" s="63">
        <f>1.333</f>
        <v>1.333</v>
      </c>
      <c r="I43" s="63">
        <f>I45*0.1378</f>
        <v>5.5520271404332355E-3</v>
      </c>
      <c r="J43" s="63">
        <f>J45*0.16</f>
        <v>3.6300600013077023E-3</v>
      </c>
      <c r="K43" s="63">
        <f>SUM(H43:J43)</f>
        <v>1.3421820871417409</v>
      </c>
      <c r="L43" s="63">
        <v>0.77060793250697168</v>
      </c>
      <c r="M43" s="63">
        <f>I45*(E46/D46)</f>
        <v>0.14675384748381096</v>
      </c>
      <c r="N43" s="63">
        <f>J45*(E46/D46)</f>
        <v>8.2638220009217847E-2</v>
      </c>
      <c r="O43" s="63">
        <f>SUM(L43:N43)</f>
        <v>1.0000000000000004</v>
      </c>
      <c r="P43" s="8"/>
      <c r="Q43" s="167"/>
      <c r="R43" s="167"/>
      <c r="S43" s="167" t="s">
        <v>23</v>
      </c>
      <c r="T43" s="167" t="s">
        <v>60</v>
      </c>
      <c r="U43" s="167" t="s">
        <v>61</v>
      </c>
      <c r="V43" s="8"/>
      <c r="W43" s="8"/>
      <c r="X43" s="8"/>
      <c r="Y43" s="8"/>
      <c r="Z43" s="8"/>
      <c r="AA43" s="8"/>
      <c r="AB43" s="8"/>
      <c r="AC43" s="8"/>
      <c r="AD43" s="8"/>
      <c r="AE43" s="8"/>
      <c r="AF43" s="8"/>
      <c r="AG43" s="8"/>
      <c r="AH43" s="8"/>
      <c r="AI43" s="8"/>
      <c r="AJ43" s="11"/>
      <c r="AK43" s="11"/>
      <c r="AL43" s="11"/>
      <c r="AM43" s="11"/>
      <c r="AN43" s="70"/>
      <c r="BB43" s="197">
        <v>0.17</v>
      </c>
      <c r="BC43" s="183">
        <f t="shared" si="2"/>
        <v>2.4130315062405563E-2</v>
      </c>
    </row>
    <row r="44" spans="2:55" x14ac:dyDescent="0.3">
      <c r="B44" s="69"/>
      <c r="C44" s="167" t="s">
        <v>8</v>
      </c>
      <c r="D44" s="4">
        <v>0.56899999999999995</v>
      </c>
      <c r="E44" s="4">
        <f>D44+1.5</f>
        <v>2.069</v>
      </c>
      <c r="F44" s="4">
        <v>1.3422000000000001</v>
      </c>
      <c r="G44" s="8"/>
      <c r="H44" s="167" t="s">
        <v>48</v>
      </c>
      <c r="I44" s="167" t="s">
        <v>49</v>
      </c>
      <c r="J44" s="167" t="s">
        <v>50</v>
      </c>
      <c r="K44" s="167" t="s">
        <v>12</v>
      </c>
      <c r="L44" s="63"/>
      <c r="M44" s="63"/>
      <c r="N44" s="63"/>
      <c r="O44" s="63"/>
      <c r="P44" s="8"/>
      <c r="Q44" s="348" t="s">
        <v>4</v>
      </c>
      <c r="R44" s="167" t="s">
        <v>13</v>
      </c>
      <c r="S44" s="4">
        <f>AVERAGE(D35:D37)*2</f>
        <v>1.0815999999999999</v>
      </c>
      <c r="T44" s="4">
        <v>15.5</v>
      </c>
      <c r="U44" s="4">
        <f>S44*T44</f>
        <v>16.764799999999997</v>
      </c>
      <c r="V44" s="8"/>
      <c r="W44" s="8"/>
      <c r="X44" s="8"/>
      <c r="Y44" s="8"/>
      <c r="Z44" s="8"/>
      <c r="AA44" s="8"/>
      <c r="AB44" s="8"/>
      <c r="AC44" s="8"/>
      <c r="AD44" s="8"/>
      <c r="AE44" s="8"/>
      <c r="AF44" s="8"/>
      <c r="AG44" s="8"/>
      <c r="AH44" s="8"/>
      <c r="AI44" s="8"/>
      <c r="AJ44" s="11"/>
      <c r="AK44" s="11"/>
      <c r="AL44" s="11"/>
      <c r="AM44" s="11"/>
      <c r="AN44" s="70"/>
      <c r="BB44" s="197">
        <v>0.18</v>
      </c>
      <c r="BC44" s="183">
        <f t="shared" si="2"/>
        <v>1.8183627250869035E-2</v>
      </c>
    </row>
    <row r="45" spans="2:55" x14ac:dyDescent="0.3">
      <c r="B45" s="69"/>
      <c r="C45" s="167" t="s">
        <v>9</v>
      </c>
      <c r="D45" s="4">
        <v>0.56720000000000004</v>
      </c>
      <c r="E45" s="4">
        <f>D45+1.5</f>
        <v>2.0672000000000001</v>
      </c>
      <c r="F45" s="4">
        <v>1.3422000000000001</v>
      </c>
      <c r="G45" s="8"/>
      <c r="H45" s="63">
        <f>(L43*D46+1.5)/E46</f>
        <v>0.93702165227460454</v>
      </c>
      <c r="I45" s="63">
        <v>4.0290472717222317E-2</v>
      </c>
      <c r="J45" s="63">
        <f>1-H45-I45</f>
        <v>2.2687875008173139E-2</v>
      </c>
      <c r="K45" s="4">
        <f>SUM(H45:J45)</f>
        <v>1</v>
      </c>
      <c r="L45" s="63"/>
      <c r="M45" s="63"/>
      <c r="N45" s="63"/>
      <c r="O45" s="63"/>
      <c r="P45" s="8"/>
      <c r="Q45" s="348"/>
      <c r="R45" s="167" t="s">
        <v>3</v>
      </c>
      <c r="S45" s="4">
        <f>D39*2</f>
        <v>6.9282032302760274E-4</v>
      </c>
      <c r="T45" s="4"/>
      <c r="U45" s="4"/>
      <c r="V45" s="8"/>
      <c r="W45" s="8"/>
      <c r="X45" s="8"/>
      <c r="Y45" s="8"/>
      <c r="Z45" s="8"/>
      <c r="AA45" s="8"/>
      <c r="AB45" s="8"/>
      <c r="AC45" s="8"/>
      <c r="AD45" s="8"/>
      <c r="AE45" s="8"/>
      <c r="AF45" s="8"/>
      <c r="AG45" s="8"/>
      <c r="AH45" s="8"/>
      <c r="AI45" s="8"/>
      <c r="AJ45" s="11"/>
      <c r="AK45" s="11"/>
      <c r="AL45" s="11"/>
      <c r="AM45" s="11"/>
      <c r="AN45" s="70"/>
      <c r="BB45" s="197">
        <v>0.19</v>
      </c>
      <c r="BC45" s="183">
        <f t="shared" si="2"/>
        <v>1.3448217350027091E-2</v>
      </c>
    </row>
    <row r="46" spans="2:55" x14ac:dyDescent="0.3">
      <c r="B46" s="69"/>
      <c r="C46" s="167" t="s">
        <v>13</v>
      </c>
      <c r="D46" s="4">
        <f>AVERAGE(D43:D45)</f>
        <v>0.56766666666666665</v>
      </c>
      <c r="E46" s="4">
        <f>D46+1.5</f>
        <v>2.0676666666666668</v>
      </c>
      <c r="F46" s="4">
        <f>AVERAGE(F43:F45)</f>
        <v>1.3421666666666667</v>
      </c>
      <c r="G46" s="8"/>
      <c r="H46" s="3"/>
      <c r="I46" s="3"/>
      <c r="J46" s="3"/>
      <c r="K46" s="3"/>
      <c r="L46" s="64"/>
      <c r="M46" s="64"/>
      <c r="N46" s="64"/>
      <c r="O46" s="64"/>
      <c r="P46" s="8"/>
      <c r="Q46" s="348" t="s">
        <v>5</v>
      </c>
      <c r="R46" s="167" t="s">
        <v>13</v>
      </c>
      <c r="S46" s="4">
        <f>AVERAGE(D43:D45)*2</f>
        <v>1.1353333333333333</v>
      </c>
      <c r="T46" s="4">
        <v>12.5</v>
      </c>
      <c r="U46" s="4">
        <f>S46*T46</f>
        <v>14.191666666666666</v>
      </c>
      <c r="V46" s="8"/>
      <c r="W46" s="8"/>
      <c r="X46" s="8"/>
      <c r="Y46" s="8"/>
      <c r="Z46" s="8"/>
      <c r="AA46" s="8"/>
      <c r="AB46" s="8"/>
      <c r="AC46" s="8"/>
      <c r="AD46" s="8"/>
      <c r="AE46" s="8"/>
      <c r="AF46" s="8"/>
      <c r="AG46" s="8"/>
      <c r="AH46" s="8"/>
      <c r="AI46" s="8"/>
      <c r="AJ46" s="11"/>
      <c r="AK46" s="11"/>
      <c r="AL46" s="11"/>
      <c r="AM46" s="11"/>
      <c r="AN46" s="70"/>
      <c r="BB46" s="197">
        <v>0.2</v>
      </c>
      <c r="BC46" s="183">
        <f t="shared" si="2"/>
        <v>9.7477506312864774E-3</v>
      </c>
    </row>
    <row r="47" spans="2:55" x14ac:dyDescent="0.3">
      <c r="B47" s="69"/>
      <c r="C47" s="167" t="s">
        <v>3</v>
      </c>
      <c r="D47" s="4">
        <f>_xlfn.STDEV.S(D43:D45)</f>
        <v>1.1718930554164382E-3</v>
      </c>
      <c r="E47" s="4">
        <f>_xlfn.STDEV.S(E43:E45)</f>
        <v>1.1718930554164982E-3</v>
      </c>
      <c r="F47" s="4">
        <f>_xlfn.STDEV.S(F43:F45)</f>
        <v>5.7735026918956222E-5</v>
      </c>
      <c r="G47" s="8"/>
      <c r="H47" s="64"/>
      <c r="I47" s="64"/>
      <c r="J47" s="64"/>
      <c r="K47" s="64"/>
      <c r="L47" s="64"/>
      <c r="M47" s="64"/>
      <c r="N47" s="64"/>
      <c r="O47" s="64"/>
      <c r="P47" s="8"/>
      <c r="Q47" s="348"/>
      <c r="R47" s="167" t="s">
        <v>3</v>
      </c>
      <c r="S47" s="4">
        <f>D47*2</f>
        <v>2.3437861108328763E-3</v>
      </c>
      <c r="T47" s="4"/>
      <c r="U47" s="4"/>
      <c r="V47" s="8"/>
      <c r="W47" s="8"/>
      <c r="X47" s="8"/>
      <c r="Y47" s="8"/>
      <c r="Z47" s="8"/>
      <c r="AA47" s="8"/>
      <c r="AB47" s="8"/>
      <c r="AC47" s="8"/>
      <c r="AD47" s="8"/>
      <c r="AE47" s="8"/>
      <c r="AF47" s="8"/>
      <c r="AG47" s="8"/>
      <c r="AH47" s="8"/>
      <c r="AI47" s="8"/>
      <c r="AJ47" s="11"/>
      <c r="AK47" s="11"/>
      <c r="AL47" s="11"/>
      <c r="AM47" s="11"/>
      <c r="AN47" s="70"/>
      <c r="BB47" s="197">
        <v>0.21</v>
      </c>
      <c r="BC47" s="183">
        <f t="shared" si="2"/>
        <v>6.915123059678641E-3</v>
      </c>
    </row>
    <row r="48" spans="2:55" ht="15" thickBot="1" x14ac:dyDescent="0.35">
      <c r="B48" s="71"/>
      <c r="C48" s="73"/>
      <c r="D48" s="73"/>
      <c r="E48" s="73"/>
      <c r="F48" s="73"/>
      <c r="G48" s="73"/>
      <c r="H48" s="86"/>
      <c r="I48" s="86"/>
      <c r="J48" s="86"/>
      <c r="K48" s="86"/>
      <c r="L48" s="86"/>
      <c r="M48" s="86"/>
      <c r="N48" s="86"/>
      <c r="O48" s="86"/>
      <c r="P48" s="73"/>
      <c r="Q48" s="149"/>
      <c r="R48" s="73"/>
      <c r="S48" s="73"/>
      <c r="T48" s="73"/>
      <c r="U48" s="73"/>
      <c r="V48" s="73"/>
      <c r="W48" s="73"/>
      <c r="X48" s="73"/>
      <c r="Y48" s="73"/>
      <c r="Z48" s="73"/>
      <c r="AA48" s="73"/>
      <c r="AB48" s="73"/>
      <c r="AC48" s="73"/>
      <c r="AD48" s="73"/>
      <c r="AE48" s="73"/>
      <c r="AF48" s="73"/>
      <c r="AG48" s="73"/>
      <c r="AH48" s="73"/>
      <c r="AI48" s="73"/>
      <c r="AJ48" s="164"/>
      <c r="AK48" s="164"/>
      <c r="AL48" s="164"/>
      <c r="AM48" s="164"/>
      <c r="AN48" s="72"/>
      <c r="BB48" s="197">
        <v>0.22</v>
      </c>
      <c r="BC48" s="183">
        <f t="shared" si="2"/>
        <v>4.7946968258820227E-3</v>
      </c>
    </row>
    <row r="49" spans="2:55" ht="15" thickBot="1" x14ac:dyDescent="0.35">
      <c r="B49" s="69"/>
      <c r="C49" s="8"/>
      <c r="D49" s="8"/>
      <c r="E49" s="8"/>
      <c r="F49" s="8"/>
      <c r="G49" s="8"/>
      <c r="H49" s="64"/>
      <c r="I49" s="64"/>
      <c r="J49" s="64"/>
      <c r="K49" s="64"/>
      <c r="L49" s="64"/>
      <c r="M49" s="64"/>
      <c r="N49" s="64"/>
      <c r="O49" s="64"/>
      <c r="P49" s="8"/>
      <c r="Q49" s="145"/>
      <c r="R49" s="8"/>
      <c r="S49" s="8"/>
      <c r="T49" s="8"/>
      <c r="U49" s="8"/>
      <c r="V49" s="8"/>
      <c r="W49" s="8"/>
      <c r="X49" s="8"/>
      <c r="Y49" s="8"/>
      <c r="Z49" s="8"/>
      <c r="AA49" s="8"/>
      <c r="AB49" s="8"/>
      <c r="AC49" s="8"/>
      <c r="AD49" s="8"/>
      <c r="AE49" s="8"/>
      <c r="AF49" s="8"/>
      <c r="AG49" s="8"/>
      <c r="AH49" s="8"/>
      <c r="AI49" s="8"/>
      <c r="AJ49" s="11"/>
      <c r="AK49" s="11"/>
      <c r="AL49" s="11"/>
      <c r="AM49" s="11"/>
      <c r="AN49" s="70"/>
      <c r="BB49" s="197">
        <v>0.23</v>
      </c>
      <c r="BC49" s="183">
        <f t="shared" si="2"/>
        <v>3.2449360368083263E-3</v>
      </c>
    </row>
    <row r="50" spans="2:55" x14ac:dyDescent="0.3">
      <c r="B50" s="69"/>
      <c r="C50" s="8"/>
      <c r="D50" s="8"/>
      <c r="E50" s="8"/>
      <c r="F50" s="8"/>
      <c r="G50" s="8"/>
      <c r="H50" s="8"/>
      <c r="I50" s="8"/>
      <c r="J50" s="8"/>
      <c r="K50" s="8"/>
      <c r="L50" s="8"/>
      <c r="M50" s="8"/>
      <c r="N50" s="8"/>
      <c r="O50" s="8"/>
      <c r="P50" s="8"/>
      <c r="Q50" s="8"/>
      <c r="R50" s="8"/>
      <c r="S50" s="8"/>
      <c r="T50" s="8"/>
      <c r="U50" s="8"/>
      <c r="V50" s="8"/>
      <c r="W50" s="8"/>
      <c r="X50" s="8"/>
      <c r="Y50" s="8"/>
      <c r="Z50" s="8"/>
      <c r="AA50" s="8"/>
      <c r="AB50" s="8"/>
      <c r="AC50" s="180"/>
      <c r="AD50" s="358" t="s">
        <v>57</v>
      </c>
      <c r="AE50" s="358"/>
      <c r="AF50" s="358"/>
      <c r="AG50" s="358"/>
      <c r="AH50" s="354" t="s">
        <v>117</v>
      </c>
      <c r="AI50" s="355"/>
      <c r="AJ50" s="359" t="s">
        <v>77</v>
      </c>
      <c r="AK50" s="359"/>
      <c r="AL50" s="359"/>
      <c r="AM50" s="360"/>
      <c r="AN50" s="70"/>
      <c r="BB50" s="197">
        <v>0.24</v>
      </c>
      <c r="BC50" s="183">
        <f t="shared" si="2"/>
        <v>2.1407195102448305E-3</v>
      </c>
    </row>
    <row r="51" spans="2:55" x14ac:dyDescent="0.3">
      <c r="B51" s="74" t="s">
        <v>125</v>
      </c>
      <c r="C51" s="8"/>
      <c r="D51" s="8"/>
      <c r="E51" s="8"/>
      <c r="F51" s="8"/>
      <c r="G51" s="8"/>
      <c r="H51" s="8"/>
      <c r="I51" s="8"/>
      <c r="J51" s="8"/>
      <c r="K51" s="8"/>
      <c r="L51" s="8"/>
      <c r="M51" s="8"/>
      <c r="N51" s="8"/>
      <c r="O51" s="8"/>
      <c r="P51" s="8"/>
      <c r="Q51" s="8"/>
      <c r="R51" s="167" t="s">
        <v>69</v>
      </c>
      <c r="S51" s="167" t="s">
        <v>70</v>
      </c>
      <c r="T51" s="167" t="s">
        <v>71</v>
      </c>
      <c r="U51" s="167" t="s">
        <v>72</v>
      </c>
      <c r="V51" s="8"/>
      <c r="W51" s="8"/>
      <c r="X51" s="167"/>
      <c r="Y51" s="167" t="s">
        <v>68</v>
      </c>
      <c r="Z51" s="167" t="s">
        <v>67</v>
      </c>
      <c r="AA51" s="167" t="s">
        <v>73</v>
      </c>
      <c r="AB51" s="8"/>
      <c r="AC51" s="175"/>
      <c r="AD51" s="167" t="s">
        <v>0</v>
      </c>
      <c r="AE51" s="167" t="s">
        <v>52</v>
      </c>
      <c r="AF51" s="167" t="s">
        <v>20</v>
      </c>
      <c r="AG51" s="167" t="s">
        <v>12</v>
      </c>
      <c r="AH51" s="167" t="s">
        <v>15</v>
      </c>
      <c r="AI51" s="167" t="s">
        <v>76</v>
      </c>
      <c r="AJ51" s="186" t="s">
        <v>0</v>
      </c>
      <c r="AK51" s="186" t="s">
        <v>52</v>
      </c>
      <c r="AL51" s="186" t="s">
        <v>20</v>
      </c>
      <c r="AM51" s="187" t="s">
        <v>12</v>
      </c>
      <c r="AN51" s="70"/>
      <c r="BB51" s="197">
        <v>0.25</v>
      </c>
      <c r="BC51" s="183">
        <f t="shared" si="2"/>
        <v>1.374842019485538E-3</v>
      </c>
    </row>
    <row r="52" spans="2:55" x14ac:dyDescent="0.3">
      <c r="B52" s="69"/>
      <c r="C52" s="167"/>
      <c r="D52" s="348" t="s">
        <v>57</v>
      </c>
      <c r="E52" s="348"/>
      <c r="F52" s="349"/>
      <c r="G52" s="173"/>
      <c r="H52" s="145"/>
      <c r="I52" s="145"/>
      <c r="J52" s="145"/>
      <c r="K52" s="8"/>
      <c r="L52" s="145"/>
      <c r="M52" s="167"/>
      <c r="N52" s="174" t="s">
        <v>11</v>
      </c>
      <c r="O52" s="174"/>
      <c r="P52" s="167"/>
      <c r="Q52" s="8"/>
      <c r="R52" s="59">
        <v>0.13780000000000001</v>
      </c>
      <c r="S52" s="59">
        <v>0.16</v>
      </c>
      <c r="T52" s="59">
        <f>F62</f>
        <v>1.3482000000000001</v>
      </c>
      <c r="U52" s="59">
        <f>F70</f>
        <v>1.3441666666666665</v>
      </c>
      <c r="V52" s="8"/>
      <c r="W52" s="8"/>
      <c r="X52" s="167" t="s">
        <v>6</v>
      </c>
      <c r="Y52" s="59">
        <f>N54</f>
        <v>0.1874876652851786</v>
      </c>
      <c r="Z52" s="59">
        <f>O54</f>
        <v>0.14426682455101639</v>
      </c>
      <c r="AA52" s="59">
        <f>P54</f>
        <v>0.66824551016380507</v>
      </c>
      <c r="AB52" s="8"/>
      <c r="AC52" s="175" t="s">
        <v>6</v>
      </c>
      <c r="AD52" s="59">
        <f>Y52*$AG52</f>
        <v>5.7</v>
      </c>
      <c r="AE52" s="59">
        <f>Z52*$AG52</f>
        <v>4.3860000000000001</v>
      </c>
      <c r="AF52" s="59">
        <f>AA52*$AG52</f>
        <v>20.316000000000003</v>
      </c>
      <c r="AG52" s="59">
        <f>AA61</f>
        <v>30.402000000000001</v>
      </c>
      <c r="AH52" s="59"/>
      <c r="AI52" s="59"/>
      <c r="AJ52" s="79">
        <f t="shared" ref="AJ52:AM55" si="5">AD52/$AG52</f>
        <v>0.1874876652851786</v>
      </c>
      <c r="AK52" s="79">
        <f t="shared" si="5"/>
        <v>0.14426682455101639</v>
      </c>
      <c r="AL52" s="79">
        <f t="shared" si="5"/>
        <v>0.66824551016380507</v>
      </c>
      <c r="AM52" s="79">
        <f t="shared" si="5"/>
        <v>1</v>
      </c>
      <c r="AN52" s="70"/>
      <c r="BB52" s="197">
        <v>0.26</v>
      </c>
      <c r="BC52" s="183">
        <f t="shared" si="2"/>
        <v>8.584619670425188E-4</v>
      </c>
    </row>
    <row r="53" spans="2:55" x14ac:dyDescent="0.3">
      <c r="B53" s="69"/>
      <c r="C53" s="167" t="s">
        <v>6</v>
      </c>
      <c r="D53" s="176" t="s">
        <v>0</v>
      </c>
      <c r="E53" s="167" t="s">
        <v>52</v>
      </c>
      <c r="F53" s="177" t="s">
        <v>20</v>
      </c>
      <c r="G53" s="167" t="s">
        <v>12</v>
      </c>
      <c r="H53" s="64"/>
      <c r="I53" s="64"/>
      <c r="J53" s="64"/>
      <c r="K53" s="8"/>
      <c r="L53" s="8"/>
      <c r="M53" s="167" t="s">
        <v>6</v>
      </c>
      <c r="N53" s="4" t="s">
        <v>10</v>
      </c>
      <c r="O53" s="4" t="s">
        <v>58</v>
      </c>
      <c r="P53" s="63" t="s">
        <v>59</v>
      </c>
      <c r="Q53" s="8"/>
      <c r="R53" s="8"/>
      <c r="S53" s="8"/>
      <c r="T53" s="8"/>
      <c r="U53" s="8"/>
      <c r="V53" s="8"/>
      <c r="W53" s="8"/>
      <c r="X53" s="167" t="s">
        <v>4</v>
      </c>
      <c r="Y53" s="59">
        <v>9.8333488175449429E-2</v>
      </c>
      <c r="Z53" s="59">
        <v>1.0632861827614899E-2</v>
      </c>
      <c r="AA53" s="59">
        <f>1-Z53-Y53</f>
        <v>0.89103364999693568</v>
      </c>
      <c r="AB53" s="8"/>
      <c r="AC53" s="175" t="s">
        <v>4</v>
      </c>
      <c r="AD53" s="59">
        <f>Y53*$AG53*E62/D62</f>
        <v>5.6253441913553006</v>
      </c>
      <c r="AE53" s="59">
        <f>Z53*$AG53*E62/D62</f>
        <v>0.60827200000000003</v>
      </c>
      <c r="AF53" s="59">
        <f>AG53-AD53-AE53</f>
        <v>8.973183808644702</v>
      </c>
      <c r="AG53" s="59">
        <f>U68</f>
        <v>15.206800000000001</v>
      </c>
      <c r="AH53" s="59">
        <f>Y53*$R$4+Z53*$S$4+1.333</f>
        <v>1.3482516125629953</v>
      </c>
      <c r="AI53" s="59">
        <f>(T52-AH53)^2/T52</f>
        <v>1.9758616369512221E-9</v>
      </c>
      <c r="AJ53" s="79">
        <f t="shared" si="5"/>
        <v>0.3699229417994121</v>
      </c>
      <c r="AK53" s="79">
        <f t="shared" si="5"/>
        <v>0.04</v>
      </c>
      <c r="AL53" s="79">
        <f t="shared" si="5"/>
        <v>0.59007705820058798</v>
      </c>
      <c r="AM53" s="79">
        <f t="shared" si="5"/>
        <v>1</v>
      </c>
      <c r="AN53" s="70"/>
      <c r="AO53" s="27"/>
      <c r="AP53" s="27"/>
      <c r="BB53" s="197">
        <v>0.27</v>
      </c>
      <c r="BC53" s="183">
        <f t="shared" si="2"/>
        <v>5.2048086748224048E-4</v>
      </c>
    </row>
    <row r="54" spans="2:55" x14ac:dyDescent="0.3">
      <c r="B54" s="69"/>
      <c r="C54" s="167" t="s">
        <v>7</v>
      </c>
      <c r="D54" s="4">
        <v>5.7</v>
      </c>
      <c r="E54" s="4">
        <f>4.2+0.31*1.2/2</f>
        <v>4.3860000000000001</v>
      </c>
      <c r="F54" s="56">
        <f>20.13+0.31*1.2/2</f>
        <v>20.315999999999999</v>
      </c>
      <c r="G54" s="4">
        <f>SUM(D54:F54)</f>
        <v>30.402000000000001</v>
      </c>
      <c r="H54" s="8"/>
      <c r="I54" s="8"/>
      <c r="J54" s="8"/>
      <c r="K54" s="8"/>
      <c r="L54" s="8"/>
      <c r="M54" s="167" t="s">
        <v>7</v>
      </c>
      <c r="N54" s="139">
        <f>D54/G54</f>
        <v>0.1874876652851786</v>
      </c>
      <c r="O54" s="139">
        <f>E54/G54</f>
        <v>0.14426682455101639</v>
      </c>
      <c r="P54" s="139">
        <f>1-O54-N54</f>
        <v>0.66824551016380507</v>
      </c>
      <c r="Q54" s="8"/>
      <c r="R54" s="8"/>
      <c r="S54" s="8"/>
      <c r="T54" s="8"/>
      <c r="U54" s="8"/>
      <c r="V54" s="8"/>
      <c r="W54" s="8"/>
      <c r="X54" s="167" t="s">
        <v>5</v>
      </c>
      <c r="Y54" s="59">
        <v>2.5174103378583561E-4</v>
      </c>
      <c r="Z54" s="59">
        <v>7.010999783509872E-2</v>
      </c>
      <c r="AA54" s="59">
        <f>1-Z54-Y54</f>
        <v>0.92963826113111536</v>
      </c>
      <c r="AB54" s="8"/>
      <c r="AC54" s="175" t="s">
        <v>5</v>
      </c>
      <c r="AD54" s="59">
        <f>Y54*$AG54*E70/D70</f>
        <v>1.3395254530346299E-2</v>
      </c>
      <c r="AE54" s="59">
        <f>Z54*$AG54*E70/D70</f>
        <v>3.7305847680046225</v>
      </c>
      <c r="AF54" s="59">
        <f>AG54-AD54-AE54</f>
        <v>11.066473310798367</v>
      </c>
      <c r="AG54" s="59">
        <f>U70</f>
        <v>14.810453333333335</v>
      </c>
      <c r="AH54" s="59">
        <f>Y54*$R$4+Z54*$S$4+1.333</f>
        <v>1.3442522895680715</v>
      </c>
      <c r="AI54" s="59">
        <f>(U52-AH54)^2/U52</f>
        <v>5.4541459975295835E-9</v>
      </c>
      <c r="AJ54" s="79">
        <f t="shared" si="5"/>
        <v>9.0444594968596261E-4</v>
      </c>
      <c r="AK54" s="79">
        <f t="shared" si="5"/>
        <v>0.25188862785235172</v>
      </c>
      <c r="AL54" s="79">
        <f t="shared" si="5"/>
        <v>0.74720692619796236</v>
      </c>
      <c r="AM54" s="79">
        <f t="shared" si="5"/>
        <v>1</v>
      </c>
      <c r="AN54" s="70"/>
      <c r="AO54" s="27"/>
      <c r="AP54" s="27"/>
      <c r="BB54" s="197">
        <v>0.28000000000000003</v>
      </c>
      <c r="BC54" s="183">
        <f t="shared" si="2"/>
        <v>3.0601870223188741E-4</v>
      </c>
    </row>
    <row r="55" spans="2:55" x14ac:dyDescent="0.3">
      <c r="B55" s="69"/>
      <c r="C55" s="8"/>
      <c r="D55" s="8"/>
      <c r="E55" s="8"/>
      <c r="F55" s="8"/>
      <c r="G55" s="8"/>
      <c r="H55" s="8"/>
      <c r="I55" s="8"/>
      <c r="J55" s="8"/>
      <c r="K55" s="8"/>
      <c r="L55" s="8"/>
      <c r="M55" s="8"/>
      <c r="N55" s="142"/>
      <c r="O55" s="142"/>
      <c r="P55" s="142"/>
      <c r="Q55" s="8"/>
      <c r="R55" s="8"/>
      <c r="S55" s="8"/>
      <c r="T55" s="8"/>
      <c r="U55" s="8"/>
      <c r="V55" s="8"/>
      <c r="W55" s="8"/>
      <c r="X55" s="8"/>
      <c r="Y55" s="8"/>
      <c r="Z55" s="8"/>
      <c r="AA55" s="8"/>
      <c r="AB55" s="8"/>
      <c r="AC55" s="175" t="s">
        <v>75</v>
      </c>
      <c r="AD55" s="59">
        <f>SUM(AD53:AD54)</f>
        <v>5.6387394458856468</v>
      </c>
      <c r="AE55" s="59">
        <f>SUM(AE53:AE54)</f>
        <v>4.3388567680046224</v>
      </c>
      <c r="AF55" s="59">
        <f>SUM(AF53:AF54)</f>
        <v>20.039657119443071</v>
      </c>
      <c r="AG55" s="59">
        <f>SUM(AG53:AG54)</f>
        <v>30.017253333333336</v>
      </c>
      <c r="AH55" s="59"/>
      <c r="AI55" s="59"/>
      <c r="AJ55" s="79">
        <f t="shared" si="5"/>
        <v>0.18784994693781598</v>
      </c>
      <c r="AK55" s="79">
        <f t="shared" si="5"/>
        <v>0.14454542925106478</v>
      </c>
      <c r="AL55" s="79">
        <f t="shared" si="5"/>
        <v>0.6676046238111194</v>
      </c>
      <c r="AM55" s="79">
        <f t="shared" si="5"/>
        <v>1</v>
      </c>
      <c r="AN55" s="70"/>
      <c r="BB55" s="197">
        <v>0.28999999999999998</v>
      </c>
      <c r="BC55" s="183">
        <f t="shared" si="2"/>
        <v>1.7426013511576894E-4</v>
      </c>
    </row>
    <row r="56" spans="2:55" x14ac:dyDescent="0.3">
      <c r="B56" s="69"/>
      <c r="C56" s="8" t="s">
        <v>16</v>
      </c>
      <c r="D56" s="8"/>
      <c r="E56" s="8"/>
      <c r="F56" s="8"/>
      <c r="G56" s="8"/>
      <c r="H56" s="8"/>
      <c r="I56" s="8"/>
      <c r="J56" s="8"/>
      <c r="K56" s="8"/>
      <c r="L56" s="8"/>
      <c r="M56" s="8"/>
      <c r="N56" s="8"/>
      <c r="O56" s="8"/>
      <c r="P56" s="8"/>
      <c r="Q56" s="8"/>
      <c r="R56" s="8"/>
      <c r="S56" s="8"/>
      <c r="T56" s="8"/>
      <c r="U56" s="8"/>
      <c r="V56" s="8"/>
      <c r="W56" s="8"/>
      <c r="X56" s="8"/>
      <c r="Y56" s="8"/>
      <c r="Z56" s="8"/>
      <c r="AA56" s="8"/>
      <c r="AB56" s="8"/>
      <c r="AC56" s="175" t="s">
        <v>76</v>
      </c>
      <c r="AD56" s="59">
        <f>(AD55-AD52)^2/AD52</f>
        <v>6.5839570006975769E-4</v>
      </c>
      <c r="AE56" s="59">
        <f>(AE55-AE52)^2/AE52</f>
        <v>5.0672237185818674E-4</v>
      </c>
      <c r="AF56" s="59">
        <f>(AF55-AF52)^2/AF52</f>
        <v>3.7588790920704235E-3</v>
      </c>
      <c r="AG56" s="59"/>
      <c r="AH56" s="178" t="s">
        <v>74</v>
      </c>
      <c r="AI56" s="59">
        <f>AI53+AI54+AD56+AE56+AF56+AM57+AM58</f>
        <v>4.9240045940060024E-3</v>
      </c>
      <c r="AJ56" s="79"/>
      <c r="AK56" s="184" t="s">
        <v>118</v>
      </c>
      <c r="AL56" s="79">
        <f>ABS(U62-AL53)/U62</f>
        <v>4.343019925069861E-2</v>
      </c>
      <c r="AM56" s="79"/>
      <c r="AN56" s="70"/>
      <c r="BB56" s="197">
        <v>0.3</v>
      </c>
      <c r="BC56" s="183">
        <f t="shared" si="2"/>
        <v>9.5985435523086166E-5</v>
      </c>
    </row>
    <row r="57" spans="2:55" ht="15" thickBot="1" x14ac:dyDescent="0.35">
      <c r="B57" s="69"/>
      <c r="C57" s="8">
        <v>1.5</v>
      </c>
      <c r="D57" s="8"/>
      <c r="E57" s="8"/>
      <c r="F57" s="8"/>
      <c r="G57" s="8"/>
      <c r="H57" s="347" t="s">
        <v>130</v>
      </c>
      <c r="I57" s="347"/>
      <c r="J57" s="347"/>
      <c r="K57" s="8"/>
      <c r="L57" s="8"/>
      <c r="M57" s="8"/>
      <c r="N57" s="8"/>
      <c r="O57" s="8"/>
      <c r="P57" s="8"/>
      <c r="Q57" s="8"/>
      <c r="R57" s="8"/>
      <c r="S57" s="8"/>
      <c r="T57" s="8"/>
      <c r="U57" s="8"/>
      <c r="V57" s="8"/>
      <c r="W57" s="8"/>
      <c r="X57" s="8"/>
      <c r="Y57" s="8"/>
      <c r="Z57" s="8"/>
      <c r="AA57" s="8"/>
      <c r="AB57" s="8"/>
      <c r="AC57" s="179" t="s">
        <v>110</v>
      </c>
      <c r="AD57" s="59">
        <f>ABS((AD52-AD55)/AD52)</f>
        <v>1.0747465634097085E-2</v>
      </c>
      <c r="AE57" s="59">
        <f>ABS((AE52-AE55)/AE52)</f>
        <v>1.0748570906378872E-2</v>
      </c>
      <c r="AF57" s="59">
        <f>ABS((AF52-AF55)/AF52)</f>
        <v>1.3602228812607397E-2</v>
      </c>
      <c r="AG57" s="59">
        <f>AVERAGE(AD57:AF57)</f>
        <v>1.1699421784361119E-2</v>
      </c>
      <c r="AH57" s="59"/>
      <c r="AI57" s="59"/>
      <c r="AJ57" s="79"/>
      <c r="AK57" s="184" t="s">
        <v>119</v>
      </c>
      <c r="AL57" s="79">
        <f>ABS(U64-AL54)/U64</f>
        <v>4.2280145978496095E-2</v>
      </c>
      <c r="AM57" s="79"/>
      <c r="AN57" s="70"/>
      <c r="BB57" s="197">
        <v>0.31</v>
      </c>
      <c r="BC57" s="183">
        <f t="shared" si="2"/>
        <v>5.1076695736782066E-5</v>
      </c>
    </row>
    <row r="58" spans="2:55" x14ac:dyDescent="0.3">
      <c r="B58" s="69"/>
      <c r="C58" s="167" t="s">
        <v>4</v>
      </c>
      <c r="D58" s="167" t="s">
        <v>14</v>
      </c>
      <c r="E58" s="167" t="s">
        <v>17</v>
      </c>
      <c r="F58" s="167" t="s">
        <v>15</v>
      </c>
      <c r="G58" s="8"/>
      <c r="H58" s="167" t="s">
        <v>54</v>
      </c>
      <c r="I58" s="167" t="s">
        <v>55</v>
      </c>
      <c r="J58" s="167" t="s">
        <v>56</v>
      </c>
      <c r="K58" s="167" t="s">
        <v>12</v>
      </c>
      <c r="L58" s="167" t="s">
        <v>48</v>
      </c>
      <c r="M58" s="167" t="s">
        <v>49</v>
      </c>
      <c r="N58" s="167" t="s">
        <v>50</v>
      </c>
      <c r="O58" s="167" t="s">
        <v>12</v>
      </c>
      <c r="P58" s="8"/>
      <c r="Q58" s="147"/>
      <c r="R58" s="8"/>
      <c r="S58" s="8"/>
      <c r="T58" s="8"/>
      <c r="U58" s="8"/>
      <c r="V58" s="8"/>
      <c r="W58" s="8"/>
      <c r="X58" s="8"/>
      <c r="Y58" s="8"/>
      <c r="Z58" s="8"/>
      <c r="AA58" s="8"/>
      <c r="AB58" s="8"/>
      <c r="AC58" s="8"/>
      <c r="AD58" s="8"/>
      <c r="AE58" s="8"/>
      <c r="AF58" s="8"/>
      <c r="AG58" s="8"/>
      <c r="AH58" s="8"/>
      <c r="AI58" s="8"/>
      <c r="AJ58" s="11"/>
      <c r="AK58" s="11"/>
      <c r="AL58" s="11"/>
      <c r="AM58" s="11"/>
      <c r="AN58" s="70"/>
      <c r="BB58" s="197">
        <v>0.32</v>
      </c>
      <c r="BC58" s="183">
        <f t="shared" si="2"/>
        <v>2.6224406546477078E-5</v>
      </c>
    </row>
    <row r="59" spans="2:55" x14ac:dyDescent="0.3">
      <c r="B59" s="69"/>
      <c r="C59" s="167" t="s">
        <v>7</v>
      </c>
      <c r="D59" s="4">
        <v>0.54079999999999995</v>
      </c>
      <c r="E59" s="4">
        <f>D59+1.5</f>
        <v>2.0407999999999999</v>
      </c>
      <c r="F59" s="4">
        <v>1.3481000000000001</v>
      </c>
      <c r="G59" s="8"/>
      <c r="H59" s="63">
        <f>1.333</f>
        <v>1.333</v>
      </c>
      <c r="I59" s="63">
        <f>I61*0.1378</f>
        <v>2.0083336293072844E-2</v>
      </c>
      <c r="J59" s="63">
        <f>J61*0.16</f>
        <v>-4.8396134999836304E-3</v>
      </c>
      <c r="K59" s="63">
        <f>SUM(H59:J59)</f>
        <v>1.348243722793089</v>
      </c>
      <c r="L59" s="63">
        <v>0.5655165612652675</v>
      </c>
      <c r="M59" s="63">
        <f>I61*(E62/D62)</f>
        <v>0.54827250085285706</v>
      </c>
      <c r="N59" s="63">
        <f>J61*(E62/D62)</f>
        <v>-0.11378906211812459</v>
      </c>
      <c r="O59" s="63">
        <f>SUM(L59:N59)</f>
        <v>1</v>
      </c>
      <c r="P59" s="8"/>
      <c r="Q59" s="167"/>
      <c r="R59" s="167"/>
      <c r="S59" s="167" t="s">
        <v>58</v>
      </c>
      <c r="T59" s="167" t="s">
        <v>10</v>
      </c>
      <c r="U59" s="167" t="s">
        <v>59</v>
      </c>
      <c r="V59" s="8"/>
      <c r="W59" s="349" t="s">
        <v>57</v>
      </c>
      <c r="X59" s="350"/>
      <c r="Y59" s="350"/>
      <c r="Z59" s="350"/>
      <c r="AA59" s="351"/>
      <c r="AB59" s="145"/>
      <c r="AC59" s="145"/>
      <c r="AD59" s="8"/>
      <c r="AE59" s="8"/>
      <c r="AF59" s="64"/>
      <c r="AG59" s="64"/>
      <c r="AH59" s="8"/>
      <c r="AI59" s="8"/>
      <c r="AJ59" s="11"/>
      <c r="AK59" s="11"/>
      <c r="AL59" s="11"/>
      <c r="AM59" s="11"/>
      <c r="AN59" s="70"/>
      <c r="BB59" s="197">
        <v>0.33</v>
      </c>
      <c r="BC59" s="183">
        <f t="shared" si="2"/>
        <v>1.2975117155297594E-5</v>
      </c>
    </row>
    <row r="60" spans="2:55" ht="15" thickBot="1" x14ac:dyDescent="0.35">
      <c r="B60" s="69"/>
      <c r="C60" s="167" t="s">
        <v>8</v>
      </c>
      <c r="D60" s="4">
        <v>0.54259999999999997</v>
      </c>
      <c r="E60" s="4">
        <f>D60+1.5</f>
        <v>2.0426000000000002</v>
      </c>
      <c r="F60" s="4">
        <v>1.3482000000000001</v>
      </c>
      <c r="G60" s="8"/>
      <c r="H60" s="167" t="s">
        <v>48</v>
      </c>
      <c r="I60" s="167" t="s">
        <v>49</v>
      </c>
      <c r="J60" s="167" t="s">
        <v>50</v>
      </c>
      <c r="K60" s="167" t="s">
        <v>12</v>
      </c>
      <c r="L60" s="63"/>
      <c r="M60" s="63"/>
      <c r="N60" s="63"/>
      <c r="O60" s="63"/>
      <c r="P60" s="8"/>
      <c r="Q60" s="348" t="s">
        <v>6</v>
      </c>
      <c r="R60" s="167" t="s">
        <v>13</v>
      </c>
      <c r="S60" s="139">
        <f>O54</f>
        <v>0.14426682455101639</v>
      </c>
      <c r="T60" s="139">
        <f>N54</f>
        <v>0.1874876652851786</v>
      </c>
      <c r="U60" s="139">
        <f>P54</f>
        <v>0.66824551016380507</v>
      </c>
      <c r="V60" s="8"/>
      <c r="W60" s="167"/>
      <c r="X60" s="167" t="s">
        <v>0</v>
      </c>
      <c r="Y60" s="167" t="s">
        <v>52</v>
      </c>
      <c r="Z60" s="167" t="s">
        <v>20</v>
      </c>
      <c r="AA60" s="167" t="s">
        <v>12</v>
      </c>
      <c r="AB60" s="8"/>
      <c r="AC60" s="8"/>
      <c r="AD60" s="8"/>
      <c r="AE60" s="8"/>
      <c r="AF60" s="64"/>
      <c r="AG60" s="64"/>
      <c r="AH60" s="8"/>
      <c r="AI60" s="8"/>
      <c r="AJ60" s="11"/>
      <c r="AK60" s="11"/>
      <c r="AL60" s="11"/>
      <c r="AM60" s="11"/>
      <c r="AN60" s="70"/>
      <c r="BB60" s="198">
        <v>0.34</v>
      </c>
      <c r="BC60" s="199">
        <f t="shared" si="2"/>
        <v>6.1787243453244241E-6</v>
      </c>
    </row>
    <row r="61" spans="2:55" x14ac:dyDescent="0.3">
      <c r="B61" s="69"/>
      <c r="C61" s="167" t="s">
        <v>9</v>
      </c>
      <c r="D61" s="4">
        <v>0.54590000000000005</v>
      </c>
      <c r="E61" s="4">
        <f>D61+1.5</f>
        <v>2.0459000000000001</v>
      </c>
      <c r="F61" s="4">
        <v>1.3483000000000001</v>
      </c>
      <c r="G61" s="8"/>
      <c r="H61" s="63">
        <f>(L59*D62+1.5)/E62</f>
        <v>0.88450494073866515</v>
      </c>
      <c r="I61" s="63">
        <v>0.14574264363623254</v>
      </c>
      <c r="J61" s="63">
        <f>1-H61-I61</f>
        <v>-3.024758437489769E-2</v>
      </c>
      <c r="K61" s="63">
        <f>SUM(H61:J61)</f>
        <v>1</v>
      </c>
      <c r="L61" s="63"/>
      <c r="M61" s="63"/>
      <c r="N61" s="63"/>
      <c r="O61" s="63"/>
      <c r="P61" s="8"/>
      <c r="Q61" s="348"/>
      <c r="R61" s="167" t="s">
        <v>3</v>
      </c>
      <c r="S61" s="139"/>
      <c r="T61" s="139"/>
      <c r="U61" s="139"/>
      <c r="V61" s="8"/>
      <c r="W61" s="167" t="s">
        <v>6</v>
      </c>
      <c r="X61" s="59">
        <f>D54</f>
        <v>5.7</v>
      </c>
      <c r="Y61" s="59">
        <f>E54</f>
        <v>4.3860000000000001</v>
      </c>
      <c r="Z61" s="59">
        <f>F54</f>
        <v>20.315999999999999</v>
      </c>
      <c r="AA61" s="59">
        <f>SUM(X61:Z61)</f>
        <v>30.402000000000001</v>
      </c>
      <c r="AB61" s="8"/>
      <c r="AC61" s="8"/>
      <c r="AD61" s="8"/>
      <c r="AE61" s="8"/>
      <c r="AF61" s="8"/>
      <c r="AG61" s="8"/>
      <c r="AH61" s="8"/>
      <c r="AI61" s="8"/>
      <c r="AJ61" s="11"/>
      <c r="AK61" s="11"/>
      <c r="AL61" s="11"/>
      <c r="AM61" s="11"/>
      <c r="AN61" s="70"/>
    </row>
    <row r="62" spans="2:55" x14ac:dyDescent="0.3">
      <c r="B62" s="69"/>
      <c r="C62" s="167" t="s">
        <v>13</v>
      </c>
      <c r="D62" s="4">
        <f>AVERAGE(D59:D61)</f>
        <v>0.54310000000000003</v>
      </c>
      <c r="E62" s="4">
        <f>D62+1.5</f>
        <v>2.0430999999999999</v>
      </c>
      <c r="F62" s="4">
        <f>AVERAGE(F59:F61)</f>
        <v>1.3482000000000001</v>
      </c>
      <c r="G62" s="8"/>
      <c r="H62" s="3"/>
      <c r="I62" s="3"/>
      <c r="J62" s="3"/>
      <c r="K62" s="3"/>
      <c r="L62" s="64"/>
      <c r="M62" s="64"/>
      <c r="N62" s="64"/>
      <c r="O62" s="64"/>
      <c r="P62" s="8"/>
      <c r="Q62" s="348" t="s">
        <v>4</v>
      </c>
      <c r="R62" s="167" t="s">
        <v>13</v>
      </c>
      <c r="S62" s="139">
        <f>N59</f>
        <v>-0.11378906211812459</v>
      </c>
      <c r="T62" s="139">
        <f>M59</f>
        <v>0.54827250085285706</v>
      </c>
      <c r="U62" s="146">
        <f>L59</f>
        <v>0.5655165612652675</v>
      </c>
      <c r="V62" s="8"/>
      <c r="W62" s="167" t="s">
        <v>4</v>
      </c>
      <c r="X62" s="59">
        <f>T62*$U$20</f>
        <v>10.948398742280617</v>
      </c>
      <c r="Y62" s="59">
        <f>S62*U68</f>
        <v>-1.7303675098178972</v>
      </c>
      <c r="Z62" s="59">
        <f>U68*U62</f>
        <v>8.5996972438486701</v>
      </c>
      <c r="AA62" s="59">
        <f>SUM(X62:Z62)</f>
        <v>17.817728476311387</v>
      </c>
      <c r="AB62" s="8"/>
      <c r="AC62" s="8"/>
      <c r="AD62" s="8"/>
      <c r="AE62" s="8"/>
      <c r="AF62" s="8"/>
      <c r="AG62" s="8"/>
      <c r="AH62" s="8"/>
      <c r="AI62" s="8"/>
      <c r="AJ62" s="11"/>
      <c r="AK62" s="11"/>
      <c r="AL62" s="11"/>
      <c r="AM62" s="11"/>
      <c r="AN62" s="70"/>
    </row>
    <row r="63" spans="2:55" x14ac:dyDescent="0.3">
      <c r="B63" s="69"/>
      <c r="C63" s="167" t="s">
        <v>3</v>
      </c>
      <c r="D63" s="4">
        <f>_xlfn.STDEV.S(D59:D61)</f>
        <v>2.5865034312755669E-3</v>
      </c>
      <c r="E63" s="4">
        <f>_xlfn.STDEV.S(E59:E61)</f>
        <v>2.5865034312755452E-3</v>
      </c>
      <c r="F63" s="4">
        <f>_xlfn.STDEV.S(F59:F61)</f>
        <v>9.9999999999988987E-5</v>
      </c>
      <c r="G63" s="8"/>
      <c r="H63" s="64"/>
      <c r="I63" s="64"/>
      <c r="J63" s="64"/>
      <c r="K63" s="64"/>
      <c r="L63" s="64"/>
      <c r="M63" s="64"/>
      <c r="N63" s="64"/>
      <c r="O63" s="64"/>
      <c r="P63" s="8"/>
      <c r="Q63" s="348"/>
      <c r="R63" s="167" t="s">
        <v>3</v>
      </c>
      <c r="S63" s="139"/>
      <c r="T63" s="139"/>
      <c r="U63" s="139"/>
      <c r="V63" s="8"/>
      <c r="W63" s="167" t="s">
        <v>5</v>
      </c>
      <c r="X63" s="59">
        <v>0</v>
      </c>
      <c r="Y63" s="59">
        <f>Y61-Y62</f>
        <v>6.1163675098178976</v>
      </c>
      <c r="Z63" s="59">
        <f>U70*U64</f>
        <v>10.617561270352248</v>
      </c>
      <c r="AA63" s="59">
        <f>SUM(X63:Z63)</f>
        <v>16.733928780170146</v>
      </c>
      <c r="AB63" s="8"/>
      <c r="AC63" s="8"/>
      <c r="AD63" s="8"/>
      <c r="AE63" s="8"/>
      <c r="AF63" s="8"/>
      <c r="AG63" s="8"/>
      <c r="AH63" s="8"/>
      <c r="AI63" s="8"/>
      <c r="AJ63" s="11"/>
      <c r="AK63" s="11"/>
      <c r="AL63" s="11"/>
      <c r="AM63" s="11"/>
      <c r="AN63" s="70"/>
    </row>
    <row r="64" spans="2:55" x14ac:dyDescent="0.3">
      <c r="B64" s="69"/>
      <c r="C64" s="8"/>
      <c r="D64" s="8"/>
      <c r="E64" s="8"/>
      <c r="F64" s="8"/>
      <c r="G64" s="8"/>
      <c r="H64" s="64"/>
      <c r="I64" s="64"/>
      <c r="J64" s="64"/>
      <c r="K64" s="64"/>
      <c r="L64" s="64"/>
      <c r="M64" s="64"/>
      <c r="N64" s="64"/>
      <c r="O64" s="64"/>
      <c r="P64" s="8"/>
      <c r="Q64" s="348" t="s">
        <v>5</v>
      </c>
      <c r="R64" s="167" t="s">
        <v>13</v>
      </c>
      <c r="S64" s="139">
        <f>N67</f>
        <v>5.3315366625549442E-2</v>
      </c>
      <c r="T64" s="139">
        <f>M67</f>
        <v>0.2297881933137203</v>
      </c>
      <c r="U64" s="139">
        <f>L67</f>
        <v>0.7168964400607305</v>
      </c>
      <c r="V64" s="8"/>
      <c r="W64" s="167" t="s">
        <v>62</v>
      </c>
      <c r="X64" s="59">
        <f>SUM(X62:X63)</f>
        <v>10.948398742280617</v>
      </c>
      <c r="Y64" s="59">
        <f>SUM(Y62:Y63)</f>
        <v>4.3860000000000001</v>
      </c>
      <c r="Z64" s="59">
        <f>SUM(Z62:Z63)</f>
        <v>19.217258514200918</v>
      </c>
      <c r="AA64" s="59">
        <f>SUM(X64:Z64)</f>
        <v>34.551657256481533</v>
      </c>
      <c r="AB64" s="8"/>
      <c r="AC64" s="8"/>
      <c r="AD64" s="8"/>
      <c r="AE64" s="8"/>
      <c r="AF64" s="8"/>
      <c r="AG64" s="8"/>
      <c r="AH64" s="8"/>
      <c r="AI64" s="8"/>
      <c r="AJ64" s="11"/>
      <c r="AK64" s="11"/>
      <c r="AL64" s="11"/>
      <c r="AM64" s="11"/>
      <c r="AN64" s="70"/>
    </row>
    <row r="65" spans="2:42" x14ac:dyDescent="0.3">
      <c r="B65" s="69"/>
      <c r="C65" s="8"/>
      <c r="D65" s="8"/>
      <c r="E65" s="8"/>
      <c r="F65" s="8"/>
      <c r="G65" s="8"/>
      <c r="H65" s="347" t="s">
        <v>131</v>
      </c>
      <c r="I65" s="347"/>
      <c r="J65" s="347"/>
      <c r="K65" s="64"/>
      <c r="L65" s="64"/>
      <c r="M65" s="64"/>
      <c r="N65" s="64"/>
      <c r="O65" s="64"/>
      <c r="P65" s="8"/>
      <c r="Q65" s="348"/>
      <c r="R65" s="167" t="s">
        <v>3</v>
      </c>
      <c r="S65" s="139"/>
      <c r="T65" s="139"/>
      <c r="U65" s="146"/>
      <c r="V65" s="8"/>
      <c r="W65" s="8"/>
      <c r="X65" s="8"/>
      <c r="Y65" s="8"/>
      <c r="Z65" s="8"/>
      <c r="AA65" s="8"/>
      <c r="AB65" s="8"/>
      <c r="AC65" s="8"/>
      <c r="AD65" s="8"/>
      <c r="AE65" s="8"/>
      <c r="AF65" s="8"/>
      <c r="AG65" s="8"/>
      <c r="AH65" s="8"/>
      <c r="AI65" s="8"/>
      <c r="AJ65" s="11"/>
      <c r="AK65" s="11"/>
      <c r="AL65" s="11"/>
      <c r="AM65" s="11"/>
      <c r="AN65" s="70"/>
    </row>
    <row r="66" spans="2:42" x14ac:dyDescent="0.3">
      <c r="B66" s="69"/>
      <c r="C66" s="167" t="s">
        <v>5</v>
      </c>
      <c r="D66" s="167" t="s">
        <v>14</v>
      </c>
      <c r="E66" s="167" t="s">
        <v>17</v>
      </c>
      <c r="F66" s="167" t="s">
        <v>15</v>
      </c>
      <c r="G66" s="8"/>
      <c r="H66" s="167" t="s">
        <v>54</v>
      </c>
      <c r="I66" s="167" t="s">
        <v>55</v>
      </c>
      <c r="J66" s="167" t="s">
        <v>56</v>
      </c>
      <c r="K66" s="167" t="s">
        <v>12</v>
      </c>
      <c r="L66" s="167" t="s">
        <v>48</v>
      </c>
      <c r="M66" s="167" t="s">
        <v>49</v>
      </c>
      <c r="N66" s="167" t="s">
        <v>50</v>
      </c>
      <c r="O66" s="167" t="s">
        <v>12</v>
      </c>
      <c r="P66" s="8"/>
      <c r="Q66" s="8"/>
      <c r="R66" s="8"/>
      <c r="S66" s="8"/>
      <c r="T66" s="8"/>
      <c r="U66" s="8"/>
      <c r="V66" s="8"/>
      <c r="W66" s="8"/>
      <c r="X66" s="8"/>
      <c r="Y66" s="8"/>
      <c r="Z66" s="8"/>
      <c r="AA66" s="8"/>
      <c r="AB66" s="8"/>
      <c r="AC66" s="8"/>
      <c r="AD66" s="8"/>
      <c r="AE66" s="8"/>
      <c r="AF66" s="8"/>
      <c r="AG66" s="8"/>
      <c r="AH66" s="8"/>
      <c r="AI66" s="8"/>
      <c r="AJ66" s="11"/>
      <c r="AK66" s="11"/>
      <c r="AL66" s="11"/>
      <c r="AM66" s="11"/>
      <c r="AN66" s="70"/>
    </row>
    <row r="67" spans="2:42" x14ac:dyDescent="0.3">
      <c r="B67" s="69"/>
      <c r="C67" s="167" t="s">
        <v>7</v>
      </c>
      <c r="D67" s="4">
        <v>0.57720000000000005</v>
      </c>
      <c r="E67" s="4">
        <f>D67+1.5</f>
        <v>2.0771999999999999</v>
      </c>
      <c r="F67" s="4">
        <v>1.3441000000000001</v>
      </c>
      <c r="G67" s="8"/>
      <c r="H67" s="63">
        <f>1.333</f>
        <v>1.333</v>
      </c>
      <c r="I67" s="63">
        <f>I69*0.1378</f>
        <v>8.8134982214778633E-3</v>
      </c>
      <c r="J67" s="63">
        <f>J69*0.16</f>
        <v>2.374344738348928E-3</v>
      </c>
      <c r="K67" s="63">
        <f>SUM(H67:J67)</f>
        <v>1.3441878429598266</v>
      </c>
      <c r="L67" s="63">
        <v>0.7168964400607305</v>
      </c>
      <c r="M67" s="63">
        <f>I69*(E70/D70)</f>
        <v>0.2297881933137203</v>
      </c>
      <c r="N67" s="63">
        <f>J69*(E70/D70)</f>
        <v>5.3315366625549442E-2</v>
      </c>
      <c r="O67" s="63">
        <f>SUM(L67:N67)</f>
        <v>1.0000000000000002</v>
      </c>
      <c r="P67" s="8"/>
      <c r="Q67" s="167"/>
      <c r="R67" s="167"/>
      <c r="S67" s="167" t="s">
        <v>23</v>
      </c>
      <c r="T67" s="167" t="s">
        <v>60</v>
      </c>
      <c r="U67" s="167" t="s">
        <v>61</v>
      </c>
      <c r="V67" s="8"/>
      <c r="W67" s="8"/>
      <c r="X67" s="8"/>
      <c r="Y67" s="8"/>
      <c r="Z67" s="8"/>
      <c r="AA67" s="8"/>
      <c r="AB67" s="8"/>
      <c r="AC67" s="8"/>
      <c r="AD67" s="8"/>
      <c r="AE67" s="8"/>
      <c r="AF67" s="8"/>
      <c r="AG67" s="8"/>
      <c r="AH67" s="8"/>
      <c r="AI67" s="8"/>
      <c r="AJ67" s="11"/>
      <c r="AK67" s="11"/>
      <c r="AL67" s="11"/>
      <c r="AM67" s="11"/>
      <c r="AN67" s="70"/>
    </row>
    <row r="68" spans="2:42" x14ac:dyDescent="0.3">
      <c r="B68" s="69"/>
      <c r="C68" s="167" t="s">
        <v>8</v>
      </c>
      <c r="D68" s="4">
        <v>0.57730000000000004</v>
      </c>
      <c r="E68" s="4">
        <f>D68+1.5</f>
        <v>2.0773000000000001</v>
      </c>
      <c r="F68" s="4">
        <v>1.3442000000000001</v>
      </c>
      <c r="G68" s="8"/>
      <c r="H68" s="167" t="s">
        <v>48</v>
      </c>
      <c r="I68" s="167" t="s">
        <v>49</v>
      </c>
      <c r="J68" s="167" t="s">
        <v>50</v>
      </c>
      <c r="K68" s="167" t="s">
        <v>12</v>
      </c>
      <c r="L68" s="63"/>
      <c r="M68" s="63"/>
      <c r="N68" s="63"/>
      <c r="O68" s="63"/>
      <c r="P68" s="8"/>
      <c r="Q68" s="348" t="s">
        <v>4</v>
      </c>
      <c r="R68" s="167" t="s">
        <v>13</v>
      </c>
      <c r="S68" s="4">
        <f>AVERAGE(D59:D61)*2</f>
        <v>1.0862000000000001</v>
      </c>
      <c r="T68" s="4">
        <v>14</v>
      </c>
      <c r="U68" s="4">
        <f>S68*T68</f>
        <v>15.206800000000001</v>
      </c>
      <c r="V68" s="8"/>
      <c r="W68" s="8"/>
      <c r="X68" s="8"/>
      <c r="Y68" s="8"/>
      <c r="Z68" s="8"/>
      <c r="AA68" s="8"/>
      <c r="AB68" s="8"/>
      <c r="AC68" s="8"/>
      <c r="AD68" s="8"/>
      <c r="AE68" s="8"/>
      <c r="AF68" s="8"/>
      <c r="AG68" s="8"/>
      <c r="AH68" s="8"/>
      <c r="AI68" s="8"/>
      <c r="AJ68" s="11"/>
      <c r="AK68" s="11"/>
      <c r="AL68" s="11"/>
      <c r="AM68" s="11"/>
      <c r="AN68" s="70"/>
    </row>
    <row r="69" spans="2:42" x14ac:dyDescent="0.3">
      <c r="B69" s="69"/>
      <c r="C69" s="167" t="s">
        <v>9</v>
      </c>
      <c r="D69" s="4">
        <v>0.58109999999999995</v>
      </c>
      <c r="E69" s="4">
        <f>D69+1.5</f>
        <v>2.0811000000000002</v>
      </c>
      <c r="F69" s="4">
        <v>1.3442000000000001</v>
      </c>
      <c r="G69" s="8"/>
      <c r="H69" s="63">
        <f>(L67*D70+1.5)/E70</f>
        <v>0.92120172258794719</v>
      </c>
      <c r="I69" s="63">
        <v>6.3958622797372008E-2</v>
      </c>
      <c r="J69" s="63">
        <f>1-H69-I69</f>
        <v>1.48396546146808E-2</v>
      </c>
      <c r="K69" s="4">
        <f>SUM(H69:J69)</f>
        <v>1</v>
      </c>
      <c r="L69" s="63"/>
      <c r="M69" s="63"/>
      <c r="N69" s="63"/>
      <c r="O69" s="63"/>
      <c r="P69" s="8"/>
      <c r="Q69" s="348"/>
      <c r="R69" s="167" t="s">
        <v>3</v>
      </c>
      <c r="S69" s="4">
        <f>D63*2</f>
        <v>5.1730068625511338E-3</v>
      </c>
      <c r="T69" s="4"/>
      <c r="U69" s="4"/>
      <c r="V69" s="8"/>
      <c r="W69" s="8"/>
      <c r="X69" s="8"/>
      <c r="Y69" s="8"/>
      <c r="Z69" s="8"/>
      <c r="AA69" s="8"/>
      <c r="AB69" s="8"/>
      <c r="AC69" s="8"/>
      <c r="AD69" s="8"/>
      <c r="AE69" s="8"/>
      <c r="AF69" s="8"/>
      <c r="AG69" s="8"/>
      <c r="AH69" s="8"/>
      <c r="AI69" s="8"/>
      <c r="AJ69" s="11"/>
      <c r="AK69" s="11"/>
      <c r="AL69" s="11"/>
      <c r="AM69" s="11"/>
      <c r="AN69" s="70"/>
    </row>
    <row r="70" spans="2:42" x14ac:dyDescent="0.3">
      <c r="B70" s="69"/>
      <c r="C70" s="167" t="s">
        <v>13</v>
      </c>
      <c r="D70" s="4">
        <f>AVERAGE(D67:D69)</f>
        <v>0.57853333333333334</v>
      </c>
      <c r="E70" s="4">
        <f>D70+1.5</f>
        <v>2.0785333333333336</v>
      </c>
      <c r="F70" s="4">
        <f>AVERAGE(F67:F69)</f>
        <v>1.3441666666666665</v>
      </c>
      <c r="G70" s="8"/>
      <c r="H70" s="3"/>
      <c r="I70" s="3"/>
      <c r="J70" s="3"/>
      <c r="K70" s="3"/>
      <c r="L70" s="64"/>
      <c r="M70" s="64"/>
      <c r="N70" s="64"/>
      <c r="O70" s="64"/>
      <c r="P70" s="8"/>
      <c r="Q70" s="348" t="s">
        <v>5</v>
      </c>
      <c r="R70" s="167" t="s">
        <v>13</v>
      </c>
      <c r="S70" s="4">
        <f>AVERAGE(D67:D69)*2</f>
        <v>1.1570666666666667</v>
      </c>
      <c r="T70" s="4">
        <v>12.8</v>
      </c>
      <c r="U70" s="4">
        <f>S70*T70</f>
        <v>14.810453333333335</v>
      </c>
      <c r="V70" s="8"/>
      <c r="W70" s="8"/>
      <c r="X70" s="8"/>
      <c r="Y70" s="8"/>
      <c r="Z70" s="8"/>
      <c r="AA70" s="8"/>
      <c r="AB70" s="8"/>
      <c r="AC70" s="8"/>
      <c r="AD70" s="8"/>
      <c r="AE70" s="8"/>
      <c r="AF70" s="8"/>
      <c r="AG70" s="8"/>
      <c r="AH70" s="8"/>
      <c r="AI70" s="8"/>
      <c r="AJ70" s="11"/>
      <c r="AK70" s="11"/>
      <c r="AL70" s="11"/>
      <c r="AM70" s="11"/>
      <c r="AN70" s="70"/>
    </row>
    <row r="71" spans="2:42" x14ac:dyDescent="0.3">
      <c r="B71" s="69"/>
      <c r="C71" s="167" t="s">
        <v>3</v>
      </c>
      <c r="D71" s="4">
        <f>_xlfn.STDEV.S(D67:D69)</f>
        <v>2.2233608194202532E-3</v>
      </c>
      <c r="E71" s="4">
        <f>_xlfn.STDEV.S(E67:E69)</f>
        <v>2.2233608194203837E-3</v>
      </c>
      <c r="F71" s="4">
        <f>_xlfn.STDEV.S(F67:F69)</f>
        <v>5.7735026918956215E-5</v>
      </c>
      <c r="G71" s="8"/>
      <c r="H71" s="64"/>
      <c r="I71" s="64"/>
      <c r="J71" s="64"/>
      <c r="K71" s="64"/>
      <c r="L71" s="64"/>
      <c r="M71" s="64"/>
      <c r="N71" s="64"/>
      <c r="O71" s="64"/>
      <c r="P71" s="8"/>
      <c r="Q71" s="348"/>
      <c r="R71" s="167" t="s">
        <v>3</v>
      </c>
      <c r="S71" s="4">
        <f>D71*2</f>
        <v>4.4467216388405064E-3</v>
      </c>
      <c r="T71" s="4"/>
      <c r="U71" s="4"/>
      <c r="V71" s="8"/>
      <c r="W71" s="8"/>
      <c r="X71" s="8"/>
      <c r="Y71" s="8"/>
      <c r="Z71" s="8"/>
      <c r="AA71" s="8"/>
      <c r="AB71" s="8"/>
      <c r="AC71" s="8"/>
      <c r="AD71" s="8"/>
      <c r="AE71" s="8"/>
      <c r="AF71" s="8"/>
      <c r="AG71" s="8"/>
      <c r="AH71" s="8"/>
      <c r="AI71" s="8"/>
      <c r="AJ71" s="11"/>
      <c r="AK71" s="11"/>
      <c r="AL71" s="11"/>
      <c r="AM71" s="11"/>
      <c r="AN71" s="70"/>
    </row>
    <row r="72" spans="2:42" ht="15" thickBot="1" x14ac:dyDescent="0.35">
      <c r="B72" s="71"/>
      <c r="C72" s="73"/>
      <c r="D72" s="73"/>
      <c r="E72" s="73"/>
      <c r="F72" s="73"/>
      <c r="G72" s="73"/>
      <c r="H72" s="86"/>
      <c r="I72" s="86"/>
      <c r="J72" s="86"/>
      <c r="K72" s="86"/>
      <c r="L72" s="86"/>
      <c r="M72" s="86"/>
      <c r="N72" s="86"/>
      <c r="O72" s="86"/>
      <c r="P72" s="73"/>
      <c r="Q72" s="149"/>
      <c r="R72" s="73"/>
      <c r="S72" s="73"/>
      <c r="T72" s="73"/>
      <c r="U72" s="73"/>
      <c r="V72" s="73"/>
      <c r="W72" s="73"/>
      <c r="X72" s="73"/>
      <c r="Y72" s="73"/>
      <c r="Z72" s="73"/>
      <c r="AA72" s="73"/>
      <c r="AB72" s="73"/>
      <c r="AC72" s="73"/>
      <c r="AD72" s="73"/>
      <c r="AE72" s="73"/>
      <c r="AF72" s="73"/>
      <c r="AG72" s="73"/>
      <c r="AH72" s="73"/>
      <c r="AI72" s="73"/>
      <c r="AJ72" s="164"/>
      <c r="AK72" s="164"/>
      <c r="AL72" s="164"/>
      <c r="AM72" s="164"/>
      <c r="AN72" s="72"/>
    </row>
    <row r="73" spans="2:42" ht="15" thickBot="1" x14ac:dyDescent="0.35">
      <c r="B73" s="65"/>
      <c r="C73" s="67"/>
      <c r="D73" s="67"/>
      <c r="E73" s="67"/>
      <c r="F73" s="67"/>
      <c r="G73" s="67"/>
      <c r="H73" s="85"/>
      <c r="I73" s="85"/>
      <c r="J73" s="85"/>
      <c r="K73" s="85"/>
      <c r="L73" s="85"/>
      <c r="M73" s="85"/>
      <c r="N73" s="85"/>
      <c r="O73" s="85"/>
      <c r="P73" s="67"/>
      <c r="Q73" s="151"/>
      <c r="R73" s="67"/>
      <c r="S73" s="67"/>
      <c r="T73" s="67"/>
      <c r="U73" s="67"/>
      <c r="V73" s="67"/>
      <c r="W73" s="67"/>
      <c r="X73" s="67"/>
      <c r="Y73" s="67"/>
      <c r="Z73" s="67"/>
      <c r="AA73" s="67"/>
      <c r="AB73" s="67"/>
      <c r="AC73" s="67"/>
      <c r="AD73" s="67"/>
      <c r="AE73" s="67"/>
      <c r="AF73" s="67"/>
      <c r="AG73" s="67"/>
      <c r="AH73" s="67"/>
      <c r="AI73" s="67"/>
      <c r="AJ73" s="165"/>
      <c r="AK73" s="165"/>
      <c r="AL73" s="165"/>
      <c r="AM73" s="165"/>
      <c r="AN73" s="68"/>
    </row>
    <row r="74" spans="2:42" x14ac:dyDescent="0.3">
      <c r="B74" s="69"/>
      <c r="C74" s="8"/>
      <c r="D74" s="8"/>
      <c r="E74" s="8"/>
      <c r="F74" s="8"/>
      <c r="G74" s="8"/>
      <c r="H74" s="8"/>
      <c r="I74" s="8"/>
      <c r="J74" s="8"/>
      <c r="K74" s="8"/>
      <c r="L74" s="8"/>
      <c r="M74" s="8"/>
      <c r="N74" s="8"/>
      <c r="O74" s="8"/>
      <c r="P74" s="8"/>
      <c r="Q74" s="8"/>
      <c r="R74" s="8"/>
      <c r="S74" s="8"/>
      <c r="T74" s="8"/>
      <c r="U74" s="8"/>
      <c r="V74" s="8"/>
      <c r="W74" s="8"/>
      <c r="X74" s="8"/>
      <c r="Y74" s="8"/>
      <c r="Z74" s="8"/>
      <c r="AA74" s="8"/>
      <c r="AB74" s="8"/>
      <c r="AC74" s="180"/>
      <c r="AD74" s="358" t="s">
        <v>57</v>
      </c>
      <c r="AE74" s="358"/>
      <c r="AF74" s="358"/>
      <c r="AG74" s="358"/>
      <c r="AH74" s="354" t="s">
        <v>117</v>
      </c>
      <c r="AI74" s="355"/>
      <c r="AJ74" s="359" t="s">
        <v>77</v>
      </c>
      <c r="AK74" s="359"/>
      <c r="AL74" s="359"/>
      <c r="AM74" s="360"/>
      <c r="AN74" s="70"/>
    </row>
    <row r="75" spans="2:42" x14ac:dyDescent="0.3">
      <c r="B75" s="74" t="s">
        <v>126</v>
      </c>
      <c r="C75" s="8"/>
      <c r="D75" s="8"/>
      <c r="E75" s="8"/>
      <c r="F75" s="8"/>
      <c r="G75" s="8"/>
      <c r="H75" s="8"/>
      <c r="I75" s="8"/>
      <c r="J75" s="8"/>
      <c r="K75" s="8"/>
      <c r="L75" s="8"/>
      <c r="M75" s="8"/>
      <c r="N75" s="8"/>
      <c r="O75" s="8"/>
      <c r="P75" s="8"/>
      <c r="Q75" s="8"/>
      <c r="R75" s="167" t="s">
        <v>69</v>
      </c>
      <c r="S75" s="167" t="s">
        <v>70</v>
      </c>
      <c r="T75" s="167" t="s">
        <v>71</v>
      </c>
      <c r="U75" s="167" t="s">
        <v>72</v>
      </c>
      <c r="V75" s="8"/>
      <c r="W75" s="8"/>
      <c r="X75" s="167"/>
      <c r="Y75" s="167" t="s">
        <v>68</v>
      </c>
      <c r="Z75" s="167" t="s">
        <v>67</v>
      </c>
      <c r="AA75" s="167" t="s">
        <v>73</v>
      </c>
      <c r="AB75" s="8"/>
      <c r="AC75" s="175"/>
      <c r="AD75" s="167" t="s">
        <v>0</v>
      </c>
      <c r="AE75" s="167" t="s">
        <v>52</v>
      </c>
      <c r="AF75" s="167" t="s">
        <v>20</v>
      </c>
      <c r="AG75" s="167" t="s">
        <v>12</v>
      </c>
      <c r="AH75" s="167" t="s">
        <v>15</v>
      </c>
      <c r="AI75" s="167" t="s">
        <v>76</v>
      </c>
      <c r="AJ75" s="186" t="s">
        <v>0</v>
      </c>
      <c r="AK75" s="186" t="s">
        <v>52</v>
      </c>
      <c r="AL75" s="186" t="s">
        <v>20</v>
      </c>
      <c r="AM75" s="187" t="s">
        <v>12</v>
      </c>
      <c r="AN75" s="70"/>
    </row>
    <row r="76" spans="2:42" x14ac:dyDescent="0.3">
      <c r="B76" s="69"/>
      <c r="C76" s="167"/>
      <c r="D76" s="348" t="s">
        <v>57</v>
      </c>
      <c r="E76" s="348"/>
      <c r="F76" s="349"/>
      <c r="G76" s="174"/>
      <c r="H76" s="145"/>
      <c r="I76" s="145"/>
      <c r="J76" s="145"/>
      <c r="K76" s="145"/>
      <c r="L76" s="145"/>
      <c r="M76" s="167"/>
      <c r="N76" s="174" t="s">
        <v>11</v>
      </c>
      <c r="O76" s="174"/>
      <c r="P76" s="167"/>
      <c r="Q76" s="8"/>
      <c r="R76" s="59">
        <v>0.13780000000000001</v>
      </c>
      <c r="S76" s="59">
        <v>0.16</v>
      </c>
      <c r="T76" s="59">
        <f>F86</f>
        <v>1.3516999999999999</v>
      </c>
      <c r="U76" s="59">
        <f>F94</f>
        <v>1.3480333333333334</v>
      </c>
      <c r="V76" s="8"/>
      <c r="W76" s="8"/>
      <c r="X76" s="167" t="s">
        <v>6</v>
      </c>
      <c r="Y76" s="59">
        <f>N78</f>
        <v>0.22605163150307958</v>
      </c>
      <c r="Z76" s="59">
        <f>O78</f>
        <v>0.18516577119643562</v>
      </c>
      <c r="AA76" s="59">
        <f>P78</f>
        <v>0.58878259730048477</v>
      </c>
      <c r="AB76" s="8"/>
      <c r="AC76" s="175" t="s">
        <v>6</v>
      </c>
      <c r="AD76" s="59">
        <f>Y76*$AG76</f>
        <v>6.9</v>
      </c>
      <c r="AE76" s="59">
        <f>Z76*$AG76</f>
        <v>5.6520000000000001</v>
      </c>
      <c r="AF76" s="59">
        <f>AA76*$AG76</f>
        <v>17.971999999999994</v>
      </c>
      <c r="AG76" s="59">
        <f>AA85</f>
        <v>30.523999999999997</v>
      </c>
      <c r="AH76" s="59"/>
      <c r="AI76" s="59"/>
      <c r="AJ76" s="79">
        <f t="shared" ref="AJ76:AM79" si="6">AD76/$AG76</f>
        <v>0.22605163150307958</v>
      </c>
      <c r="AK76" s="79">
        <f t="shared" si="6"/>
        <v>0.18516577119643562</v>
      </c>
      <c r="AL76" s="79">
        <f t="shared" si="6"/>
        <v>0.58878259730048477</v>
      </c>
      <c r="AM76" s="79">
        <f t="shared" si="6"/>
        <v>1</v>
      </c>
      <c r="AN76" s="70"/>
    </row>
    <row r="77" spans="2:42" x14ac:dyDescent="0.3">
      <c r="B77" s="69"/>
      <c r="C77" s="167" t="s">
        <v>6</v>
      </c>
      <c r="D77" s="176" t="s">
        <v>0</v>
      </c>
      <c r="E77" s="167" t="s">
        <v>52</v>
      </c>
      <c r="F77" s="177" t="s">
        <v>20</v>
      </c>
      <c r="G77" s="167" t="s">
        <v>12</v>
      </c>
      <c r="H77" s="64"/>
      <c r="I77" s="64"/>
      <c r="J77" s="64"/>
      <c r="K77" s="8"/>
      <c r="L77" s="8"/>
      <c r="M77" s="167" t="s">
        <v>6</v>
      </c>
      <c r="N77" s="167" t="s">
        <v>10</v>
      </c>
      <c r="O77" s="167" t="s">
        <v>58</v>
      </c>
      <c r="P77" s="167" t="s">
        <v>59</v>
      </c>
      <c r="Q77" s="8"/>
      <c r="R77" s="8"/>
      <c r="S77" s="8"/>
      <c r="T77" s="8"/>
      <c r="U77" s="8"/>
      <c r="V77" s="8"/>
      <c r="W77" s="8"/>
      <c r="X77" s="167" t="s">
        <v>4</v>
      </c>
      <c r="Y77" s="59">
        <v>0.12747083929910566</v>
      </c>
      <c r="Z77" s="59">
        <v>8.1071613907628421E-3</v>
      </c>
      <c r="AA77" s="59">
        <f>1-Z77-Y77</f>
        <v>0.86442199931013153</v>
      </c>
      <c r="AB77" s="8"/>
      <c r="AC77" s="175" t="s">
        <v>4</v>
      </c>
      <c r="AD77" s="59">
        <f>Y77*$AG77*E86/D86</f>
        <v>6.5503015287833763</v>
      </c>
      <c r="AE77" s="59">
        <f>Z77*$AG77*E86/D86</f>
        <v>0.41659999999999991</v>
      </c>
      <c r="AF77" s="59">
        <f>AG77-AD77-AE77</f>
        <v>6.9197651378832905</v>
      </c>
      <c r="AG77" s="59">
        <f>U92</f>
        <v>13.886666666666667</v>
      </c>
      <c r="AH77" s="59">
        <f>Y77*$R$4+Z77*$S$4+1.333</f>
        <v>1.3518626274779388</v>
      </c>
      <c r="AI77" s="59">
        <f>(T76-AH77)^2/T76</f>
        <v>1.9566247377953265E-8</v>
      </c>
      <c r="AJ77" s="79">
        <f t="shared" si="6"/>
        <v>0.47169718162146251</v>
      </c>
      <c r="AK77" s="79">
        <f t="shared" si="6"/>
        <v>2.9999999999999995E-2</v>
      </c>
      <c r="AL77" s="79">
        <f t="shared" si="6"/>
        <v>0.49830281837853746</v>
      </c>
      <c r="AM77" s="79">
        <f t="shared" si="6"/>
        <v>1</v>
      </c>
      <c r="AN77" s="70"/>
      <c r="AO77" s="27"/>
      <c r="AP77" s="27"/>
    </row>
    <row r="78" spans="2:42" x14ac:dyDescent="0.3">
      <c r="B78" s="69"/>
      <c r="C78" s="167" t="s">
        <v>7</v>
      </c>
      <c r="D78" s="4">
        <v>6.9</v>
      </c>
      <c r="E78" s="4">
        <f>5.4+0.42*1.2/2</f>
        <v>5.6520000000000001</v>
      </c>
      <c r="F78" s="56">
        <f>17.72+0.42*1.2/2</f>
        <v>17.971999999999998</v>
      </c>
      <c r="G78" s="4">
        <f>SUM(D78:F78)</f>
        <v>30.523999999999997</v>
      </c>
      <c r="H78" s="8"/>
      <c r="I78" s="8"/>
      <c r="J78" s="8"/>
      <c r="K78" s="8"/>
      <c r="L78" s="8"/>
      <c r="M78" s="167" t="s">
        <v>7</v>
      </c>
      <c r="N78" s="139">
        <f>D78/G78</f>
        <v>0.22605163150307958</v>
      </c>
      <c r="O78" s="139">
        <f>E78/G78</f>
        <v>0.18516577119643562</v>
      </c>
      <c r="P78" s="139">
        <f>1-O78-N78</f>
        <v>0.58878259730048477</v>
      </c>
      <c r="Q78" s="8"/>
      <c r="R78" s="8"/>
      <c r="S78" s="8"/>
      <c r="T78" s="8"/>
      <c r="U78" s="8"/>
      <c r="V78" s="8"/>
      <c r="W78" s="8"/>
      <c r="X78" s="167" t="s">
        <v>5</v>
      </c>
      <c r="Y78" s="59">
        <v>2.6100730966527899E-4</v>
      </c>
      <c r="Z78" s="59">
        <v>9.4747537518883762E-2</v>
      </c>
      <c r="AA78" s="59">
        <f>1-Z78-Y78</f>
        <v>0.90499145517145096</v>
      </c>
      <c r="AB78" s="8"/>
      <c r="AC78" s="175" t="s">
        <v>5</v>
      </c>
      <c r="AD78" s="59">
        <f>Y78*$AG78*E94/D94</f>
        <v>1.375813030463963E-2</v>
      </c>
      <c r="AE78" s="59">
        <f>Z78*$AG78*E94/D94</f>
        <v>4.9943006151828939</v>
      </c>
      <c r="AF78" s="59">
        <f>AG78-AD78-AE78</f>
        <v>10.203607921179131</v>
      </c>
      <c r="AG78" s="59">
        <f>U94</f>
        <v>15.211666666666664</v>
      </c>
      <c r="AH78" s="59">
        <f>Y78*$R$4+Z78*$S$4+1.333</f>
        <v>1.3481955728102932</v>
      </c>
      <c r="AI78" s="59">
        <f>(U76-AH78)^2/U76</f>
        <v>1.9525962180109668E-8</v>
      </c>
      <c r="AJ78" s="79">
        <f t="shared" si="6"/>
        <v>9.044459496859625E-4</v>
      </c>
      <c r="AK78" s="79">
        <f t="shared" si="6"/>
        <v>0.32832040858000844</v>
      </c>
      <c r="AL78" s="79">
        <f t="shared" si="6"/>
        <v>0.6707751454703057</v>
      </c>
      <c r="AM78" s="79">
        <f t="shared" si="6"/>
        <v>1</v>
      </c>
      <c r="AN78" s="70"/>
      <c r="AO78" s="27"/>
      <c r="AP78" s="27"/>
    </row>
    <row r="79" spans="2:42" x14ac:dyDescent="0.3">
      <c r="B79" s="69"/>
      <c r="C79" s="8"/>
      <c r="D79" s="8"/>
      <c r="E79" s="8"/>
      <c r="F79" s="8"/>
      <c r="G79" s="8"/>
      <c r="H79" s="8"/>
      <c r="I79" s="8"/>
      <c r="J79" s="8"/>
      <c r="K79" s="8"/>
      <c r="L79" s="8"/>
      <c r="M79" s="8"/>
      <c r="N79" s="142"/>
      <c r="O79" s="142"/>
      <c r="P79" s="142"/>
      <c r="Q79" s="8"/>
      <c r="R79" s="8"/>
      <c r="S79" s="8"/>
      <c r="T79" s="8"/>
      <c r="U79" s="8"/>
      <c r="V79" s="8"/>
      <c r="W79" s="8"/>
      <c r="X79" s="8"/>
      <c r="Y79" s="8"/>
      <c r="Z79" s="8"/>
      <c r="AA79" s="8"/>
      <c r="AB79" s="8"/>
      <c r="AC79" s="175" t="s">
        <v>75</v>
      </c>
      <c r="AD79" s="59">
        <f>SUM(AD77:AD78)</f>
        <v>6.5640596590880156</v>
      </c>
      <c r="AE79" s="59">
        <f>SUM(AE77:AE78)</f>
        <v>5.4109006151828938</v>
      </c>
      <c r="AF79" s="59">
        <f>SUM(AF77:AF78)</f>
        <v>17.123373059062423</v>
      </c>
      <c r="AG79" s="59">
        <f>SUM(AG77:AG78)</f>
        <v>29.098333333333329</v>
      </c>
      <c r="AH79" s="59"/>
      <c r="AI79" s="59"/>
      <c r="AJ79" s="79">
        <f t="shared" si="6"/>
        <v>0.22558198037990779</v>
      </c>
      <c r="AK79" s="79">
        <f t="shared" si="6"/>
        <v>0.18595225208257843</v>
      </c>
      <c r="AL79" s="79">
        <f t="shared" si="6"/>
        <v>0.5884657675375139</v>
      </c>
      <c r="AM79" s="79">
        <f t="shared" si="6"/>
        <v>1</v>
      </c>
      <c r="AN79" s="70"/>
    </row>
    <row r="80" spans="2:42" x14ac:dyDescent="0.3">
      <c r="B80" s="69"/>
      <c r="C80" s="8" t="s">
        <v>16</v>
      </c>
      <c r="D80" s="8"/>
      <c r="E80" s="8"/>
      <c r="F80" s="8"/>
      <c r="G80" s="8"/>
      <c r="H80" s="8"/>
      <c r="I80" s="8"/>
      <c r="J80" s="8"/>
      <c r="K80" s="8"/>
      <c r="L80" s="8"/>
      <c r="M80" s="8"/>
      <c r="N80" s="8"/>
      <c r="O80" s="8"/>
      <c r="P80" s="8"/>
      <c r="Q80" s="8"/>
      <c r="R80" s="8"/>
      <c r="S80" s="8"/>
      <c r="T80" s="8"/>
      <c r="U80" s="8"/>
      <c r="V80" s="8"/>
      <c r="W80" s="8"/>
      <c r="X80" s="8"/>
      <c r="Y80" s="8"/>
      <c r="Z80" s="8"/>
      <c r="AA80" s="8"/>
      <c r="AB80" s="8"/>
      <c r="AC80" s="175" t="s">
        <v>76</v>
      </c>
      <c r="AD80" s="59">
        <f>(AD79-AD76)^2/AD76</f>
        <v>1.6355929369863846E-2</v>
      </c>
      <c r="AE80" s="59">
        <f>(AE79-AE76)^2/AE76</f>
        <v>1.0284662660861135E-2</v>
      </c>
      <c r="AF80" s="59">
        <f>(AF79-AF76)^2/AF76</f>
        <v>4.0071649503953907E-2</v>
      </c>
      <c r="AG80" s="59"/>
      <c r="AH80" s="178" t="s">
        <v>74</v>
      </c>
      <c r="AI80" s="59">
        <f>AI77+AI78+AD80+AE80+AF80+AM81+AM82</f>
        <v>6.6712280626888443E-2</v>
      </c>
      <c r="AJ80" s="79"/>
      <c r="AK80" s="184" t="s">
        <v>118</v>
      </c>
      <c r="AL80" s="79">
        <f>ABS(U86-AL77)/U86</f>
        <v>2.037564942478045E-2</v>
      </c>
      <c r="AM80" s="79"/>
      <c r="AN80" s="70"/>
    </row>
    <row r="81" spans="2:40" ht="15" thickBot="1" x14ac:dyDescent="0.35">
      <c r="B81" s="69"/>
      <c r="C81" s="8">
        <v>1.5</v>
      </c>
      <c r="D81" s="8"/>
      <c r="E81" s="8"/>
      <c r="F81" s="8"/>
      <c r="G81" s="8"/>
      <c r="H81" s="347" t="s">
        <v>130</v>
      </c>
      <c r="I81" s="347"/>
      <c r="J81" s="347"/>
      <c r="K81" s="8"/>
      <c r="L81" s="8"/>
      <c r="M81" s="8"/>
      <c r="N81" s="8"/>
      <c r="O81" s="8"/>
      <c r="P81" s="8"/>
      <c r="Q81" s="8"/>
      <c r="R81" s="8"/>
      <c r="S81" s="8"/>
      <c r="T81" s="8"/>
      <c r="U81" s="8"/>
      <c r="V81" s="8"/>
      <c r="W81" s="8"/>
      <c r="X81" s="8"/>
      <c r="Y81" s="8"/>
      <c r="Z81" s="8"/>
      <c r="AA81" s="8"/>
      <c r="AB81" s="8"/>
      <c r="AC81" s="179" t="s">
        <v>110</v>
      </c>
      <c r="AD81" s="59">
        <f>ABS((AD76-AD79)/AD76)</f>
        <v>4.868700592927315E-2</v>
      </c>
      <c r="AE81" s="59">
        <f>ABS((AE76-AE79)/AE76)</f>
        <v>4.2657357540181594E-2</v>
      </c>
      <c r="AF81" s="59">
        <f>ABS((AF76-AF79)/AF76)</f>
        <v>4.7219393553169994E-2</v>
      </c>
      <c r="AG81" s="59">
        <f>AVERAGE(AD81:AF81)</f>
        <v>4.6187919007541579E-2</v>
      </c>
      <c r="AH81" s="59"/>
      <c r="AI81" s="59"/>
      <c r="AJ81" s="79"/>
      <c r="AK81" s="184" t="s">
        <v>119</v>
      </c>
      <c r="AL81" s="79">
        <f>ABS(U88-AL78)</f>
        <v>4.3531798742022731E-2</v>
      </c>
      <c r="AM81" s="79"/>
      <c r="AN81" s="70"/>
    </row>
    <row r="82" spans="2:40" x14ac:dyDescent="0.3">
      <c r="B82" s="69"/>
      <c r="C82" s="167" t="s">
        <v>4</v>
      </c>
      <c r="D82" s="167" t="s">
        <v>14</v>
      </c>
      <c r="E82" s="167" t="s">
        <v>17</v>
      </c>
      <c r="F82" s="167" t="s">
        <v>15</v>
      </c>
      <c r="G82" s="8"/>
      <c r="H82" s="167" t="s">
        <v>54</v>
      </c>
      <c r="I82" s="167" t="s">
        <v>55</v>
      </c>
      <c r="J82" s="167" t="s">
        <v>56</v>
      </c>
      <c r="K82" s="167" t="s">
        <v>12</v>
      </c>
      <c r="L82" s="167" t="s">
        <v>48</v>
      </c>
      <c r="M82" s="167" t="s">
        <v>49</v>
      </c>
      <c r="N82" s="167" t="s">
        <v>50</v>
      </c>
      <c r="O82" s="167" t="s">
        <v>12</v>
      </c>
      <c r="P82" s="8"/>
      <c r="Q82" s="147"/>
      <c r="R82" s="147"/>
      <c r="S82" s="8"/>
      <c r="T82" s="8"/>
      <c r="U82" s="8"/>
      <c r="V82" s="8"/>
      <c r="W82" s="8"/>
      <c r="X82" s="8"/>
      <c r="Y82" s="8"/>
      <c r="Z82" s="8"/>
      <c r="AA82" s="8"/>
      <c r="AB82" s="8"/>
      <c r="AC82" s="8"/>
      <c r="AD82" s="8"/>
      <c r="AE82" s="8"/>
      <c r="AF82" s="8"/>
      <c r="AG82" s="8"/>
      <c r="AH82" s="8"/>
      <c r="AI82" s="8"/>
      <c r="AJ82" s="11"/>
      <c r="AK82" s="11"/>
      <c r="AL82" s="11"/>
      <c r="AM82" s="11"/>
      <c r="AN82" s="70"/>
    </row>
    <row r="83" spans="2:40" x14ac:dyDescent="0.3">
      <c r="B83" s="69"/>
      <c r="C83" s="167" t="s">
        <v>7</v>
      </c>
      <c r="D83" s="4">
        <v>0.55030000000000001</v>
      </c>
      <c r="E83" s="4">
        <f>D83+1.5</f>
        <v>2.0503</v>
      </c>
      <c r="F83" s="4">
        <v>1.3515999999999999</v>
      </c>
      <c r="G83" s="8"/>
      <c r="H83" s="4">
        <f>1.333</f>
        <v>1.333</v>
      </c>
      <c r="I83" s="4">
        <f>I85*0.1378</f>
        <v>1.5574398256674057E-2</v>
      </c>
      <c r="J83" s="4">
        <f>J85*0.16</f>
        <v>3.1608597869403109E-3</v>
      </c>
      <c r="K83" s="4">
        <f>SUM(H83:J83)</f>
        <v>1.3517352580436144</v>
      </c>
      <c r="L83" s="4">
        <v>0.50866724381232675</v>
      </c>
      <c r="M83" s="4">
        <f>I85*(E86/D86)</f>
        <v>0.41822933792754402</v>
      </c>
      <c r="N83" s="4">
        <f>J85*(E86/D86)</f>
        <v>7.310341826012938E-2</v>
      </c>
      <c r="O83" s="4">
        <f>SUM(L83:N83)</f>
        <v>1.0000000000000002</v>
      </c>
      <c r="P83" s="8"/>
      <c r="Q83" s="167"/>
      <c r="R83" s="167"/>
      <c r="S83" s="167" t="s">
        <v>58</v>
      </c>
      <c r="T83" s="167" t="s">
        <v>10</v>
      </c>
      <c r="U83" s="167" t="s">
        <v>59</v>
      </c>
      <c r="V83" s="8"/>
      <c r="W83" s="349" t="s">
        <v>57</v>
      </c>
      <c r="X83" s="350"/>
      <c r="Y83" s="350"/>
      <c r="Z83" s="350"/>
      <c r="AA83" s="351"/>
      <c r="AB83" s="145"/>
      <c r="AC83" s="145"/>
      <c r="AD83" s="8"/>
      <c r="AE83" s="8"/>
      <c r="AF83" s="64"/>
      <c r="AG83" s="64"/>
      <c r="AH83" s="8"/>
      <c r="AI83" s="8"/>
      <c r="AJ83" s="11"/>
      <c r="AK83" s="11"/>
      <c r="AL83" s="11"/>
      <c r="AM83" s="11"/>
      <c r="AN83" s="70"/>
    </row>
    <row r="84" spans="2:40" x14ac:dyDescent="0.3">
      <c r="B84" s="69"/>
      <c r="C84" s="167" t="s">
        <v>8</v>
      </c>
      <c r="D84" s="4">
        <v>0.55730000000000002</v>
      </c>
      <c r="E84" s="4">
        <f>D84+1.5</f>
        <v>2.0573000000000001</v>
      </c>
      <c r="F84" s="4">
        <v>1.3516999999999999</v>
      </c>
      <c r="G84" s="8"/>
      <c r="H84" s="167" t="s">
        <v>48</v>
      </c>
      <c r="I84" s="167" t="s">
        <v>49</v>
      </c>
      <c r="J84" s="167" t="s">
        <v>50</v>
      </c>
      <c r="K84" s="167" t="s">
        <v>12</v>
      </c>
      <c r="L84" s="4"/>
      <c r="M84" s="4"/>
      <c r="N84" s="4"/>
      <c r="O84" s="4"/>
      <c r="P84" s="8"/>
      <c r="Q84" s="348" t="s">
        <v>6</v>
      </c>
      <c r="R84" s="167" t="s">
        <v>13</v>
      </c>
      <c r="S84" s="139">
        <f>O78</f>
        <v>0.18516577119643562</v>
      </c>
      <c r="T84" s="139">
        <f>N78</f>
        <v>0.22605163150307958</v>
      </c>
      <c r="U84" s="139">
        <f>P78</f>
        <v>0.58878259730048477</v>
      </c>
      <c r="V84" s="8"/>
      <c r="W84" s="167"/>
      <c r="X84" s="167" t="s">
        <v>0</v>
      </c>
      <c r="Y84" s="167" t="s">
        <v>52</v>
      </c>
      <c r="Z84" s="167" t="s">
        <v>20</v>
      </c>
      <c r="AA84" s="167" t="s">
        <v>12</v>
      </c>
      <c r="AB84" s="8"/>
      <c r="AC84" s="8"/>
      <c r="AD84" s="8"/>
      <c r="AE84" s="8"/>
      <c r="AF84" s="64"/>
      <c r="AG84" s="64"/>
      <c r="AH84" s="8"/>
      <c r="AI84" s="8"/>
      <c r="AJ84" s="11"/>
      <c r="AK84" s="11"/>
      <c r="AL84" s="11"/>
      <c r="AM84" s="11"/>
      <c r="AN84" s="70"/>
    </row>
    <row r="85" spans="2:40" x14ac:dyDescent="0.3">
      <c r="B85" s="69"/>
      <c r="C85" s="167" t="s">
        <v>9</v>
      </c>
      <c r="D85" s="4">
        <v>0.55879999999999996</v>
      </c>
      <c r="E85" s="4">
        <f>D85+1.5</f>
        <v>2.0587999999999997</v>
      </c>
      <c r="F85" s="4">
        <v>1.3517999999999999</v>
      </c>
      <c r="G85" s="8"/>
      <c r="H85" s="4">
        <f>(L83*D86+1.5)/E86</f>
        <v>0.86722286830060669</v>
      </c>
      <c r="I85" s="4">
        <v>0.11302175803101637</v>
      </c>
      <c r="J85" s="4">
        <f>1-H85-I85</f>
        <v>1.9755373668376944E-2</v>
      </c>
      <c r="K85" s="4">
        <f>SUM(H85:J85)</f>
        <v>1</v>
      </c>
      <c r="L85" s="4"/>
      <c r="M85" s="4"/>
      <c r="N85" s="4"/>
      <c r="O85" s="4"/>
      <c r="P85" s="8"/>
      <c r="Q85" s="348"/>
      <c r="R85" s="167" t="s">
        <v>3</v>
      </c>
      <c r="S85" s="139"/>
      <c r="T85" s="139"/>
      <c r="U85" s="139"/>
      <c r="V85" s="8"/>
      <c r="W85" s="167" t="s">
        <v>6</v>
      </c>
      <c r="X85" s="59">
        <f>D78</f>
        <v>6.9</v>
      </c>
      <c r="Y85" s="59">
        <f>E78</f>
        <v>5.6520000000000001</v>
      </c>
      <c r="Z85" s="59">
        <f>F78</f>
        <v>17.971999999999998</v>
      </c>
      <c r="AA85" s="59">
        <f>SUM(X85:Z85)</f>
        <v>30.523999999999997</v>
      </c>
      <c r="AB85" s="8"/>
      <c r="AC85" s="8"/>
      <c r="AD85" s="8"/>
      <c r="AE85" s="8"/>
      <c r="AF85" s="64"/>
      <c r="AG85" s="64"/>
      <c r="AH85" s="8"/>
      <c r="AI85" s="8"/>
      <c r="AJ85" s="11"/>
      <c r="AK85" s="11"/>
      <c r="AL85" s="11"/>
      <c r="AM85" s="11"/>
      <c r="AN85" s="70"/>
    </row>
    <row r="86" spans="2:40" x14ac:dyDescent="0.3">
      <c r="B86" s="69"/>
      <c r="C86" s="167" t="s">
        <v>13</v>
      </c>
      <c r="D86" s="4">
        <f>AVERAGE(D83:D85)</f>
        <v>0.55546666666666666</v>
      </c>
      <c r="E86" s="4">
        <f>D86+1.5</f>
        <v>2.0554666666666668</v>
      </c>
      <c r="F86" s="4">
        <f>AVERAGE(F83:F85)</f>
        <v>1.3516999999999999</v>
      </c>
      <c r="G86" s="8"/>
      <c r="H86" s="3"/>
      <c r="I86" s="3"/>
      <c r="J86" s="3"/>
      <c r="K86" s="3"/>
      <c r="L86" s="8"/>
      <c r="M86" s="8"/>
      <c r="N86" s="8"/>
      <c r="O86" s="8"/>
      <c r="P86" s="8"/>
      <c r="Q86" s="348" t="s">
        <v>4</v>
      </c>
      <c r="R86" s="167" t="s">
        <v>13</v>
      </c>
      <c r="S86" s="139">
        <f>N83</f>
        <v>7.310341826012938E-2</v>
      </c>
      <c r="T86" s="139">
        <f>M83</f>
        <v>0.41822933792754402</v>
      </c>
      <c r="U86" s="146">
        <f>L83</f>
        <v>0.50866724381232675</v>
      </c>
      <c r="V86" s="8"/>
      <c r="W86" s="167" t="s">
        <v>4</v>
      </c>
      <c r="X86" s="59">
        <f>T86*$U$20</f>
        <v>8.3515798261413323</v>
      </c>
      <c r="Y86" s="59">
        <f>S86*U92</f>
        <v>1.01516280157233</v>
      </c>
      <c r="Z86" s="59">
        <f>U92*U86</f>
        <v>7.0636924590738444</v>
      </c>
      <c r="AA86" s="59">
        <f>SUM(X86:Z86)</f>
        <v>16.430435086787508</v>
      </c>
      <c r="AB86" s="8"/>
      <c r="AC86" s="8"/>
      <c r="AD86" s="8"/>
      <c r="AE86" s="8"/>
      <c r="AF86" s="64"/>
      <c r="AG86" s="64"/>
      <c r="AH86" s="8"/>
      <c r="AI86" s="8"/>
      <c r="AJ86" s="11"/>
      <c r="AK86" s="11"/>
      <c r="AL86" s="11"/>
      <c r="AM86" s="11"/>
      <c r="AN86" s="70"/>
    </row>
    <row r="87" spans="2:40" x14ac:dyDescent="0.3">
      <c r="B87" s="69"/>
      <c r="C87" s="167" t="s">
        <v>3</v>
      </c>
      <c r="D87" s="4">
        <f>_xlfn.STDEV.S(D83:D85)</f>
        <v>4.5368858629387171E-3</v>
      </c>
      <c r="E87" s="4">
        <f>_xlfn.STDEV.S(E83:E85)</f>
        <v>4.5368858629386581E-3</v>
      </c>
      <c r="F87" s="4">
        <f>_xlfn.STDEV.S(F83:F85)</f>
        <v>9.9999999999988987E-5</v>
      </c>
      <c r="G87" s="8"/>
      <c r="H87" s="8"/>
      <c r="I87" s="8"/>
      <c r="J87" s="8"/>
      <c r="K87" s="8"/>
      <c r="L87" s="8"/>
      <c r="M87" s="8"/>
      <c r="N87" s="8"/>
      <c r="O87" s="8"/>
      <c r="P87" s="8"/>
      <c r="Q87" s="348"/>
      <c r="R87" s="167" t="s">
        <v>3</v>
      </c>
      <c r="S87" s="139"/>
      <c r="T87" s="139"/>
      <c r="U87" s="139"/>
      <c r="V87" s="8"/>
      <c r="W87" s="167" t="s">
        <v>5</v>
      </c>
      <c r="X87" s="59">
        <v>0</v>
      </c>
      <c r="Y87" s="59">
        <f>Y85-Y86</f>
        <v>4.6368371984276706</v>
      </c>
      <c r="Z87" s="59">
        <f>U94*U88</f>
        <v>9.5414167093150635</v>
      </c>
      <c r="AA87" s="59">
        <f>SUM(X87:Z87)</f>
        <v>14.178253907742734</v>
      </c>
      <c r="AB87" s="8"/>
      <c r="AC87" s="8"/>
      <c r="AD87" s="8"/>
      <c r="AE87" s="8"/>
      <c r="AF87" s="8"/>
      <c r="AG87" s="8"/>
      <c r="AH87" s="8"/>
      <c r="AI87" s="8"/>
      <c r="AJ87" s="11"/>
      <c r="AK87" s="11"/>
      <c r="AL87" s="11"/>
      <c r="AM87" s="11"/>
      <c r="AN87" s="70"/>
    </row>
    <row r="88" spans="2:40" x14ac:dyDescent="0.3">
      <c r="B88" s="69"/>
      <c r="C88" s="8"/>
      <c r="D88" s="8"/>
      <c r="E88" s="8"/>
      <c r="F88" s="8"/>
      <c r="G88" s="8"/>
      <c r="H88" s="8"/>
      <c r="I88" s="8"/>
      <c r="J88" s="8"/>
      <c r="K88" s="8"/>
      <c r="L88" s="8"/>
      <c r="M88" s="8"/>
      <c r="N88" s="8"/>
      <c r="O88" s="8"/>
      <c r="P88" s="8"/>
      <c r="Q88" s="348" t="s">
        <v>5</v>
      </c>
      <c r="R88" s="167" t="s">
        <v>13</v>
      </c>
      <c r="S88" s="139">
        <f>N91</f>
        <v>3.6597321771823156E-2</v>
      </c>
      <c r="T88" s="139">
        <f>M91</f>
        <v>0.3361593314998938</v>
      </c>
      <c r="U88" s="139">
        <f>L91</f>
        <v>0.62724334672828297</v>
      </c>
      <c r="V88" s="8"/>
      <c r="W88" s="167" t="s">
        <v>62</v>
      </c>
      <c r="X88" s="59">
        <f>SUM(X86:X87)</f>
        <v>8.3515798261413323</v>
      </c>
      <c r="Y88" s="59">
        <f>SUM(Y86:Y87)</f>
        <v>5.652000000000001</v>
      </c>
      <c r="Z88" s="59">
        <f>SUM(Z86:Z87)</f>
        <v>16.605109168388907</v>
      </c>
      <c r="AA88" s="59">
        <f>SUM(X88:Z88)</f>
        <v>30.60868899453024</v>
      </c>
      <c r="AB88" s="8"/>
      <c r="AC88" s="8"/>
      <c r="AD88" s="8"/>
      <c r="AE88" s="8"/>
      <c r="AF88" s="8"/>
      <c r="AG88" s="8"/>
      <c r="AH88" s="8"/>
      <c r="AI88" s="8"/>
      <c r="AJ88" s="11"/>
      <c r="AK88" s="11"/>
      <c r="AL88" s="11"/>
      <c r="AM88" s="11"/>
      <c r="AN88" s="70"/>
    </row>
    <row r="89" spans="2:40" x14ac:dyDescent="0.3">
      <c r="B89" s="69"/>
      <c r="C89" s="8"/>
      <c r="D89" s="8"/>
      <c r="E89" s="8"/>
      <c r="F89" s="8"/>
      <c r="G89" s="8"/>
      <c r="H89" s="347" t="s">
        <v>131</v>
      </c>
      <c r="I89" s="347"/>
      <c r="J89" s="347"/>
      <c r="K89" s="8"/>
      <c r="L89" s="8"/>
      <c r="M89" s="8"/>
      <c r="N89" s="8"/>
      <c r="O89" s="8"/>
      <c r="P89" s="8"/>
      <c r="Q89" s="348"/>
      <c r="R89" s="167" t="s">
        <v>3</v>
      </c>
      <c r="S89" s="139"/>
      <c r="T89" s="139"/>
      <c r="U89" s="146"/>
      <c r="V89" s="8"/>
      <c r="W89" s="8"/>
      <c r="X89" s="8"/>
      <c r="Y89" s="8"/>
      <c r="Z89" s="8"/>
      <c r="AA89" s="8"/>
      <c r="AB89" s="8"/>
      <c r="AC89" s="8"/>
      <c r="AD89" s="8"/>
      <c r="AE89" s="8"/>
      <c r="AF89" s="8"/>
      <c r="AG89" s="8"/>
      <c r="AH89" s="8"/>
      <c r="AI89" s="8"/>
      <c r="AJ89" s="11"/>
      <c r="AK89" s="11"/>
      <c r="AL89" s="11"/>
      <c r="AM89" s="11"/>
      <c r="AN89" s="70"/>
    </row>
    <row r="90" spans="2:40" x14ac:dyDescent="0.3">
      <c r="B90" s="69"/>
      <c r="C90" s="167" t="s">
        <v>5</v>
      </c>
      <c r="D90" s="167" t="s">
        <v>14</v>
      </c>
      <c r="E90" s="167" t="s">
        <v>17</v>
      </c>
      <c r="F90" s="167" t="s">
        <v>15</v>
      </c>
      <c r="G90" s="8"/>
      <c r="H90" s="167" t="s">
        <v>54</v>
      </c>
      <c r="I90" s="167" t="s">
        <v>55</v>
      </c>
      <c r="J90" s="167" t="s">
        <v>56</v>
      </c>
      <c r="K90" s="167" t="s">
        <v>12</v>
      </c>
      <c r="L90" s="167" t="s">
        <v>48</v>
      </c>
      <c r="M90" s="167" t="s">
        <v>49</v>
      </c>
      <c r="N90" s="167" t="s">
        <v>50</v>
      </c>
      <c r="O90" s="167" t="s">
        <v>12</v>
      </c>
      <c r="P90" s="8"/>
      <c r="Q90" s="8"/>
      <c r="R90" s="8"/>
      <c r="S90" s="8"/>
      <c r="T90" s="8"/>
      <c r="U90" s="8"/>
      <c r="V90" s="8"/>
      <c r="W90" s="8"/>
      <c r="X90" s="8"/>
      <c r="Y90" s="8"/>
      <c r="Z90" s="8"/>
      <c r="AA90" s="8"/>
      <c r="AB90" s="8"/>
      <c r="AC90" s="8"/>
      <c r="AD90" s="8"/>
      <c r="AE90" s="8"/>
      <c r="AF90" s="8"/>
      <c r="AG90" s="8"/>
      <c r="AH90" s="8"/>
      <c r="AI90" s="8"/>
      <c r="AJ90" s="11"/>
      <c r="AK90" s="11"/>
      <c r="AL90" s="11"/>
      <c r="AM90" s="11"/>
      <c r="AN90" s="70"/>
    </row>
    <row r="91" spans="2:40" x14ac:dyDescent="0.3">
      <c r="B91" s="69"/>
      <c r="C91" s="167" t="s">
        <v>7</v>
      </c>
      <c r="D91" s="4">
        <v>0.60709999999999997</v>
      </c>
      <c r="E91" s="4">
        <f>D91+1.5</f>
        <v>2.1071</v>
      </c>
      <c r="F91" s="4">
        <v>1.3481000000000001</v>
      </c>
      <c r="G91" s="8"/>
      <c r="H91" s="4">
        <f>1.333</f>
        <v>1.333</v>
      </c>
      <c r="I91" s="4">
        <f>I93*0.1378</f>
        <v>1.3367938562715885E-2</v>
      </c>
      <c r="J91" s="4">
        <f>J93*0.16</f>
        <v>1.689815693231378E-3</v>
      </c>
      <c r="K91" s="4">
        <f>SUM(H91:J91)</f>
        <v>1.3480577542559473</v>
      </c>
      <c r="L91" s="4">
        <v>0.62724334672828297</v>
      </c>
      <c r="M91" s="4">
        <f>I93*(E94/D94)</f>
        <v>0.3361593314998938</v>
      </c>
      <c r="N91" s="4">
        <f>J93*(E94/D94)</f>
        <v>3.6597321771823156E-2</v>
      </c>
      <c r="O91" s="4">
        <f>SUM(L91:N91)</f>
        <v>1</v>
      </c>
      <c r="P91" s="8"/>
      <c r="Q91" s="4"/>
      <c r="R91" s="4"/>
      <c r="S91" s="4" t="s">
        <v>23</v>
      </c>
      <c r="T91" s="4" t="s">
        <v>60</v>
      </c>
      <c r="U91" s="4" t="s">
        <v>61</v>
      </c>
      <c r="V91" s="8"/>
      <c r="W91" s="8"/>
      <c r="X91" s="8"/>
      <c r="Y91" s="8"/>
      <c r="Z91" s="8"/>
      <c r="AA91" s="8"/>
      <c r="AB91" s="8"/>
      <c r="AC91" s="8"/>
      <c r="AD91" s="8"/>
      <c r="AE91" s="8"/>
      <c r="AF91" s="8"/>
      <c r="AG91" s="8"/>
      <c r="AH91" s="8"/>
      <c r="AI91" s="8"/>
      <c r="AJ91" s="11"/>
      <c r="AK91" s="11"/>
      <c r="AL91" s="11"/>
      <c r="AM91" s="11"/>
      <c r="AN91" s="70"/>
    </row>
    <row r="92" spans="2:40" x14ac:dyDescent="0.3">
      <c r="B92" s="69"/>
      <c r="C92" s="167" t="s">
        <v>8</v>
      </c>
      <c r="D92" s="4">
        <v>0.60770000000000002</v>
      </c>
      <c r="E92" s="4">
        <f>D92+1.5</f>
        <v>2.1076999999999999</v>
      </c>
      <c r="F92" s="4">
        <v>1.3480000000000001</v>
      </c>
      <c r="G92" s="8"/>
      <c r="H92" s="167" t="s">
        <v>48</v>
      </c>
      <c r="I92" s="167" t="s">
        <v>49</v>
      </c>
      <c r="J92" s="167" t="s">
        <v>50</v>
      </c>
      <c r="K92" s="167" t="s">
        <v>12</v>
      </c>
      <c r="L92" s="4"/>
      <c r="M92" s="4"/>
      <c r="N92" s="4"/>
      <c r="O92" s="4"/>
      <c r="P92" s="8"/>
      <c r="Q92" s="352" t="s">
        <v>4</v>
      </c>
      <c r="R92" s="4" t="s">
        <v>13</v>
      </c>
      <c r="S92" s="4">
        <f>AVERAGE(D83:D85)*2</f>
        <v>1.1109333333333333</v>
      </c>
      <c r="T92" s="4">
        <v>12.5</v>
      </c>
      <c r="U92" s="4">
        <f>S92*T92</f>
        <v>13.886666666666667</v>
      </c>
      <c r="V92" s="8"/>
      <c r="W92" s="8"/>
      <c r="X92" s="8"/>
      <c r="Y92" s="8"/>
      <c r="Z92" s="8"/>
      <c r="AA92" s="8"/>
      <c r="AB92" s="8"/>
      <c r="AC92" s="8"/>
      <c r="AD92" s="8"/>
      <c r="AE92" s="8"/>
      <c r="AF92" s="8"/>
      <c r="AG92" s="8"/>
      <c r="AH92" s="8"/>
      <c r="AI92" s="8"/>
      <c r="AJ92" s="11"/>
      <c r="AK92" s="11"/>
      <c r="AL92" s="11"/>
      <c r="AM92" s="11"/>
      <c r="AN92" s="70"/>
    </row>
    <row r="93" spans="2:40" x14ac:dyDescent="0.3">
      <c r="B93" s="69"/>
      <c r="C93" s="167" t="s">
        <v>9</v>
      </c>
      <c r="D93" s="4">
        <v>0.61060000000000003</v>
      </c>
      <c r="E93" s="4">
        <f>D93+1.5</f>
        <v>2.1105999999999998</v>
      </c>
      <c r="F93" s="4">
        <v>1.3480000000000001</v>
      </c>
      <c r="G93" s="8"/>
      <c r="H93" s="4">
        <f>(L91*D94+1.5)/E94</f>
        <v>0.89242893810949631</v>
      </c>
      <c r="I93" s="4">
        <v>9.7009713807807582E-2</v>
      </c>
      <c r="J93" s="4">
        <f>1-H93-I93</f>
        <v>1.0561348082696112E-2</v>
      </c>
      <c r="K93" s="4">
        <f>SUM(H93:J93)</f>
        <v>1</v>
      </c>
      <c r="L93" s="4"/>
      <c r="M93" s="4"/>
      <c r="N93" s="4"/>
      <c r="O93" s="4"/>
      <c r="P93" s="8"/>
      <c r="Q93" s="352"/>
      <c r="R93" s="4" t="s">
        <v>3</v>
      </c>
      <c r="S93" s="4">
        <f>D87*2</f>
        <v>9.0737717258774341E-3</v>
      </c>
      <c r="T93" s="4"/>
      <c r="U93" s="4"/>
      <c r="V93" s="8"/>
      <c r="W93" s="8"/>
      <c r="X93" s="8"/>
      <c r="Y93" s="8"/>
      <c r="Z93" s="8"/>
      <c r="AA93" s="8"/>
      <c r="AB93" s="8"/>
      <c r="AC93" s="8"/>
      <c r="AD93" s="8"/>
      <c r="AE93" s="8"/>
      <c r="AF93" s="8"/>
      <c r="AG93" s="8"/>
      <c r="AH93" s="8"/>
      <c r="AI93" s="8"/>
      <c r="AJ93" s="11"/>
      <c r="AK93" s="11"/>
      <c r="AL93" s="11"/>
      <c r="AM93" s="11"/>
      <c r="AN93" s="70"/>
    </row>
    <row r="94" spans="2:40" x14ac:dyDescent="0.3">
      <c r="B94" s="69"/>
      <c r="C94" s="167" t="s">
        <v>13</v>
      </c>
      <c r="D94" s="4">
        <f>AVERAGE(D91:D93)</f>
        <v>0.6084666666666666</v>
      </c>
      <c r="E94" s="4">
        <f>D94+1.5</f>
        <v>2.1084666666666667</v>
      </c>
      <c r="F94" s="4">
        <f>AVERAGE(F91:F93)</f>
        <v>1.3480333333333334</v>
      </c>
      <c r="G94" s="8"/>
      <c r="H94" s="3"/>
      <c r="I94" s="3"/>
      <c r="J94" s="3"/>
      <c r="K94" s="3"/>
      <c r="L94" s="8"/>
      <c r="M94" s="8"/>
      <c r="N94" s="8"/>
      <c r="O94" s="8"/>
      <c r="P94" s="8"/>
      <c r="Q94" s="352" t="s">
        <v>5</v>
      </c>
      <c r="R94" s="4" t="s">
        <v>13</v>
      </c>
      <c r="S94" s="4">
        <f>AVERAGE(D91:D93)*2</f>
        <v>1.2169333333333332</v>
      </c>
      <c r="T94" s="4">
        <v>12.5</v>
      </c>
      <c r="U94" s="4">
        <f>S94*T94</f>
        <v>15.211666666666664</v>
      </c>
      <c r="V94" s="8"/>
      <c r="W94" s="8"/>
      <c r="X94" s="8"/>
      <c r="Y94" s="8"/>
      <c r="Z94" s="8"/>
      <c r="AA94" s="8"/>
      <c r="AB94" s="8"/>
      <c r="AC94" s="8"/>
      <c r="AD94" s="8"/>
      <c r="AE94" s="8"/>
      <c r="AF94" s="8"/>
      <c r="AG94" s="8"/>
      <c r="AH94" s="8"/>
      <c r="AI94" s="8"/>
      <c r="AJ94" s="11"/>
      <c r="AK94" s="11"/>
      <c r="AL94" s="11"/>
      <c r="AM94" s="11"/>
      <c r="AN94" s="70"/>
    </row>
    <row r="95" spans="2:40" x14ac:dyDescent="0.3">
      <c r="B95" s="69"/>
      <c r="C95" s="167" t="s">
        <v>3</v>
      </c>
      <c r="D95" s="4">
        <f>_xlfn.STDEV.S(D91:D93)</f>
        <v>1.8717193521822185E-3</v>
      </c>
      <c r="E95" s="4">
        <f>_xlfn.STDEV.S(E91:E93)</f>
        <v>1.8717193521821148E-3</v>
      </c>
      <c r="F95" s="4">
        <f>_xlfn.STDEV.S(F91:F93)</f>
        <v>5.7735026918956222E-5</v>
      </c>
      <c r="G95" s="8"/>
      <c r="H95" s="8"/>
      <c r="I95" s="8"/>
      <c r="J95" s="8"/>
      <c r="K95" s="8"/>
      <c r="L95" s="8"/>
      <c r="M95" s="8"/>
      <c r="N95" s="8"/>
      <c r="O95" s="8"/>
      <c r="P95" s="8"/>
      <c r="Q95" s="352"/>
      <c r="R95" s="4" t="s">
        <v>3</v>
      </c>
      <c r="S95" s="4">
        <f>D95*2</f>
        <v>3.743438704364437E-3</v>
      </c>
      <c r="T95" s="4"/>
      <c r="U95" s="4"/>
      <c r="V95" s="8"/>
      <c r="W95" s="8"/>
      <c r="X95" s="8"/>
      <c r="Y95" s="8"/>
      <c r="Z95" s="8"/>
      <c r="AA95" s="8"/>
      <c r="AB95" s="8"/>
      <c r="AC95" s="8"/>
      <c r="AD95" s="8"/>
      <c r="AE95" s="8"/>
      <c r="AF95" s="8"/>
      <c r="AG95" s="8"/>
      <c r="AH95" s="8"/>
      <c r="AI95" s="8"/>
      <c r="AJ95" s="11"/>
      <c r="AK95" s="11"/>
      <c r="AL95" s="11"/>
      <c r="AM95" s="11"/>
      <c r="AN95" s="70"/>
    </row>
    <row r="96" spans="2:40" ht="15" thickBot="1" x14ac:dyDescent="0.35">
      <c r="B96" s="71"/>
      <c r="C96" s="73"/>
      <c r="D96" s="73"/>
      <c r="E96" s="73"/>
      <c r="F96" s="73"/>
      <c r="G96" s="73"/>
      <c r="H96" s="73"/>
      <c r="I96" s="73"/>
      <c r="J96" s="73"/>
      <c r="K96" s="73"/>
      <c r="L96" s="73"/>
      <c r="M96" s="73"/>
      <c r="N96" s="73"/>
      <c r="O96" s="73"/>
      <c r="P96" s="73"/>
      <c r="Q96" s="149"/>
      <c r="R96" s="73"/>
      <c r="S96" s="73"/>
      <c r="T96" s="73"/>
      <c r="U96" s="73"/>
      <c r="V96" s="73"/>
      <c r="W96" s="73"/>
      <c r="X96" s="73"/>
      <c r="Y96" s="73"/>
      <c r="Z96" s="73"/>
      <c r="AA96" s="73"/>
      <c r="AB96" s="73"/>
      <c r="AC96" s="73"/>
      <c r="AD96" s="73"/>
      <c r="AE96" s="73"/>
      <c r="AF96" s="73"/>
      <c r="AG96" s="73"/>
      <c r="AH96" s="73"/>
      <c r="AI96" s="73"/>
      <c r="AJ96" s="164"/>
      <c r="AK96" s="164"/>
      <c r="AL96" s="164"/>
      <c r="AM96" s="164"/>
      <c r="AN96" s="72"/>
    </row>
    <row r="97" spans="2:42" ht="15" thickBot="1" x14ac:dyDescent="0.35">
      <c r="B97" s="65"/>
      <c r="C97" s="67"/>
      <c r="D97" s="67"/>
      <c r="E97" s="67"/>
      <c r="F97" s="67"/>
      <c r="G97" s="67"/>
      <c r="H97" s="67"/>
      <c r="I97" s="67"/>
      <c r="J97" s="67"/>
      <c r="K97" s="67"/>
      <c r="L97" s="67"/>
      <c r="M97" s="67"/>
      <c r="N97" s="67"/>
      <c r="O97" s="67"/>
      <c r="P97" s="67"/>
      <c r="Q97" s="151"/>
      <c r="R97" s="67"/>
      <c r="S97" s="67"/>
      <c r="T97" s="67"/>
      <c r="U97" s="67"/>
      <c r="V97" s="67"/>
      <c r="W97" s="67"/>
      <c r="X97" s="67"/>
      <c r="Y97" s="67"/>
      <c r="Z97" s="67"/>
      <c r="AA97" s="67"/>
      <c r="AB97" s="67"/>
      <c r="AC97" s="67"/>
      <c r="AD97" s="67"/>
      <c r="AE97" s="67"/>
      <c r="AF97" s="67"/>
      <c r="AG97" s="67"/>
      <c r="AH97" s="67"/>
      <c r="AI97" s="67"/>
      <c r="AJ97" s="165"/>
      <c r="AK97" s="165"/>
      <c r="AL97" s="165"/>
      <c r="AM97" s="165"/>
      <c r="AN97" s="68"/>
    </row>
    <row r="98" spans="2:42" x14ac:dyDescent="0.3">
      <c r="B98" s="69"/>
      <c r="C98" s="8"/>
      <c r="D98" s="8"/>
      <c r="E98" s="8"/>
      <c r="F98" s="8"/>
      <c r="G98" s="8"/>
      <c r="H98" s="8"/>
      <c r="I98" s="8"/>
      <c r="J98" s="8"/>
      <c r="K98" s="8"/>
      <c r="L98" s="8"/>
      <c r="M98" s="8"/>
      <c r="N98" s="8"/>
      <c r="O98" s="8"/>
      <c r="P98" s="8"/>
      <c r="Q98" s="8"/>
      <c r="R98" s="8"/>
      <c r="S98" s="8"/>
      <c r="T98" s="8"/>
      <c r="U98" s="8"/>
      <c r="V98" s="8"/>
      <c r="W98" s="8"/>
      <c r="X98" s="8"/>
      <c r="Y98" s="8"/>
      <c r="Z98" s="8"/>
      <c r="AA98" s="8"/>
      <c r="AB98" s="8"/>
      <c r="AC98" s="180"/>
      <c r="AD98" s="358" t="s">
        <v>57</v>
      </c>
      <c r="AE98" s="358"/>
      <c r="AF98" s="358"/>
      <c r="AG98" s="358"/>
      <c r="AH98" s="354" t="s">
        <v>117</v>
      </c>
      <c r="AI98" s="355"/>
      <c r="AJ98" s="359" t="s">
        <v>77</v>
      </c>
      <c r="AK98" s="359"/>
      <c r="AL98" s="359"/>
      <c r="AM98" s="360"/>
      <c r="AN98" s="70"/>
    </row>
    <row r="99" spans="2:42" x14ac:dyDescent="0.3">
      <c r="B99" s="74" t="s">
        <v>127</v>
      </c>
      <c r="C99" s="8"/>
      <c r="D99" s="8"/>
      <c r="E99" s="8"/>
      <c r="F99" s="8"/>
      <c r="G99" s="8"/>
      <c r="H99" s="8"/>
      <c r="I99" s="8"/>
      <c r="J99" s="8"/>
      <c r="K99" s="8"/>
      <c r="L99" s="8"/>
      <c r="M99" s="8"/>
      <c r="N99" s="8"/>
      <c r="O99" s="8"/>
      <c r="P99" s="8"/>
      <c r="Q99" s="8"/>
      <c r="R99" s="167" t="s">
        <v>69</v>
      </c>
      <c r="S99" s="167" t="s">
        <v>70</v>
      </c>
      <c r="T99" s="167" t="s">
        <v>71</v>
      </c>
      <c r="U99" s="167" t="s">
        <v>72</v>
      </c>
      <c r="V99" s="8"/>
      <c r="W99" s="8"/>
      <c r="X99" s="167"/>
      <c r="Y99" s="167" t="s">
        <v>68</v>
      </c>
      <c r="Z99" s="167" t="s">
        <v>67</v>
      </c>
      <c r="AA99" s="167" t="s">
        <v>73</v>
      </c>
      <c r="AB99" s="8"/>
      <c r="AC99" s="175"/>
      <c r="AD99" s="167" t="s">
        <v>0</v>
      </c>
      <c r="AE99" s="167" t="s">
        <v>52</v>
      </c>
      <c r="AF99" s="167" t="s">
        <v>20</v>
      </c>
      <c r="AG99" s="167" t="s">
        <v>12</v>
      </c>
      <c r="AH99" s="167" t="s">
        <v>15</v>
      </c>
      <c r="AI99" s="167" t="s">
        <v>76</v>
      </c>
      <c r="AJ99" s="186" t="s">
        <v>0</v>
      </c>
      <c r="AK99" s="186" t="s">
        <v>52</v>
      </c>
      <c r="AL99" s="186" t="s">
        <v>20</v>
      </c>
      <c r="AM99" s="187" t="s">
        <v>12</v>
      </c>
      <c r="AN99" s="70"/>
    </row>
    <row r="100" spans="2:42" x14ac:dyDescent="0.3">
      <c r="B100" s="69"/>
      <c r="C100" s="167"/>
      <c r="D100" s="348" t="s">
        <v>57</v>
      </c>
      <c r="E100" s="348"/>
      <c r="F100" s="348"/>
      <c r="G100" s="174"/>
      <c r="H100" s="181"/>
      <c r="I100" s="181"/>
      <c r="J100" s="181"/>
      <c r="K100" s="181"/>
      <c r="L100" s="145"/>
      <c r="M100" s="167"/>
      <c r="N100" s="174" t="s">
        <v>11</v>
      </c>
      <c r="O100" s="174"/>
      <c r="P100" s="167"/>
      <c r="Q100" s="8"/>
      <c r="R100" s="59">
        <v>0.13780000000000001</v>
      </c>
      <c r="S100" s="59">
        <v>0.16</v>
      </c>
      <c r="T100" s="59">
        <f>F110</f>
        <v>1.3531666666666666</v>
      </c>
      <c r="U100" s="59">
        <f>F118</f>
        <v>1.3500000000000003</v>
      </c>
      <c r="V100" s="8"/>
      <c r="W100" s="8"/>
      <c r="X100" s="167" t="s">
        <v>6</v>
      </c>
      <c r="Y100" s="59">
        <f>N102</f>
        <v>0.24625689519306537</v>
      </c>
      <c r="Z100" s="59">
        <f>O102</f>
        <v>0.20449172576832148</v>
      </c>
      <c r="AA100" s="59">
        <f>P102</f>
        <v>0.54925137903861321</v>
      </c>
      <c r="AB100" s="8"/>
      <c r="AC100" s="175" t="s">
        <v>6</v>
      </c>
      <c r="AD100" s="59">
        <f>Y100*$AG100</f>
        <v>7.5</v>
      </c>
      <c r="AE100" s="59">
        <f>Z100*$AG100</f>
        <v>6.2279999999999998</v>
      </c>
      <c r="AF100" s="59">
        <f>AA100*$AG100</f>
        <v>16.728000000000005</v>
      </c>
      <c r="AG100" s="59">
        <f>AA109</f>
        <v>30.456000000000003</v>
      </c>
      <c r="AH100" s="59"/>
      <c r="AI100" s="59"/>
      <c r="AJ100" s="79">
        <f t="shared" ref="AJ100:AM103" si="7">AD100/$AG100</f>
        <v>0.24625689519306537</v>
      </c>
      <c r="AK100" s="79">
        <f t="shared" si="7"/>
        <v>0.20449172576832148</v>
      </c>
      <c r="AL100" s="79">
        <f t="shared" si="7"/>
        <v>0.54925137903861321</v>
      </c>
      <c r="AM100" s="79">
        <f t="shared" si="7"/>
        <v>1</v>
      </c>
      <c r="AN100" s="70"/>
    </row>
    <row r="101" spans="2:42" x14ac:dyDescent="0.3">
      <c r="B101" s="69"/>
      <c r="C101" s="167" t="s">
        <v>6</v>
      </c>
      <c r="D101" s="167" t="s">
        <v>0</v>
      </c>
      <c r="E101" s="167" t="s">
        <v>52</v>
      </c>
      <c r="F101" s="167" t="s">
        <v>20</v>
      </c>
      <c r="G101" s="167" t="s">
        <v>12</v>
      </c>
      <c r="H101" s="64"/>
      <c r="I101" s="64"/>
      <c r="J101" s="64"/>
      <c r="K101" s="8"/>
      <c r="L101" s="8"/>
      <c r="M101" s="167" t="s">
        <v>6</v>
      </c>
      <c r="N101" s="167" t="s">
        <v>10</v>
      </c>
      <c r="O101" s="167" t="s">
        <v>58</v>
      </c>
      <c r="P101" s="167" t="s">
        <v>59</v>
      </c>
      <c r="Q101" s="8"/>
      <c r="R101" s="8"/>
      <c r="S101" s="8"/>
      <c r="T101" s="8"/>
      <c r="U101" s="8"/>
      <c r="V101" s="8"/>
      <c r="W101" s="8"/>
      <c r="X101" s="167" t="s">
        <v>4</v>
      </c>
      <c r="Y101" s="59">
        <v>0.13306275679379803</v>
      </c>
      <c r="Z101" s="59">
        <v>1.1567251461988302E-2</v>
      </c>
      <c r="AA101" s="59">
        <f>1-Z101-Y101</f>
        <v>0.85536999174421369</v>
      </c>
      <c r="AB101" s="8"/>
      <c r="AC101" s="175" t="s">
        <v>4</v>
      </c>
      <c r="AD101" s="59">
        <f>Y101*$AG101*E110/D110</f>
        <v>7.3722089774035862</v>
      </c>
      <c r="AE101" s="59">
        <f>Z101*$AG101*E110/D110</f>
        <v>0.64087199999999989</v>
      </c>
      <c r="AF101" s="59">
        <f>AG101-AD101-AE101</f>
        <v>6.8909190225964156</v>
      </c>
      <c r="AG101" s="59">
        <f>U116</f>
        <v>14.904000000000002</v>
      </c>
      <c r="AH101" s="59">
        <f>Y101*$R$4+Z101*$S$4+1.333</f>
        <v>1.3531868081201035</v>
      </c>
      <c r="AI101" s="59">
        <f>(T100-AH101)^2/T100</f>
        <v>2.9979909832470279E-10</v>
      </c>
      <c r="AJ101" s="79">
        <f t="shared" si="7"/>
        <v>0.49464633503781436</v>
      </c>
      <c r="AK101" s="79">
        <f t="shared" si="7"/>
        <v>4.299999999999999E-2</v>
      </c>
      <c r="AL101" s="79">
        <f t="shared" si="7"/>
        <v>0.46235366496218566</v>
      </c>
      <c r="AM101" s="79">
        <f t="shared" si="7"/>
        <v>1</v>
      </c>
      <c r="AN101" s="70"/>
      <c r="AO101" s="27"/>
      <c r="AP101" s="27"/>
    </row>
    <row r="102" spans="2:42" x14ac:dyDescent="0.3">
      <c r="B102" s="69"/>
      <c r="C102" s="167" t="s">
        <v>7</v>
      </c>
      <c r="D102" s="4">
        <v>7.5</v>
      </c>
      <c r="E102" s="4">
        <f>6+0.38*1.2/2</f>
        <v>6.2279999999999998</v>
      </c>
      <c r="F102" s="4">
        <f>16.5+0.38*1.2/2</f>
        <v>16.728000000000002</v>
      </c>
      <c r="G102" s="63">
        <f>SUM(D102:F102)</f>
        <v>30.456000000000003</v>
      </c>
      <c r="H102" s="64"/>
      <c r="I102" s="64"/>
      <c r="J102" s="64"/>
      <c r="K102" s="8"/>
      <c r="L102" s="8"/>
      <c r="M102" s="167" t="s">
        <v>7</v>
      </c>
      <c r="N102" s="139">
        <f>D102/G102</f>
        <v>0.24625689519306537</v>
      </c>
      <c r="O102" s="139">
        <f>E102/G102</f>
        <v>0.20449172576832148</v>
      </c>
      <c r="P102" s="139">
        <f>1-O102-N102</f>
        <v>0.54925137903861321</v>
      </c>
      <c r="Q102" s="8"/>
      <c r="R102" s="8"/>
      <c r="S102" s="8"/>
      <c r="T102" s="8"/>
      <c r="U102" s="8"/>
      <c r="V102" s="8"/>
      <c r="W102" s="8"/>
      <c r="X102" s="167" t="s">
        <v>5</v>
      </c>
      <c r="Y102" s="59">
        <v>2.1918104205994916E-3</v>
      </c>
      <c r="Z102" s="59">
        <v>0.10576283989385005</v>
      </c>
      <c r="AA102" s="59">
        <f>1-Z102-Y102</f>
        <v>0.89204534968555049</v>
      </c>
      <c r="AB102" s="8"/>
      <c r="AC102" s="175" t="s">
        <v>5</v>
      </c>
      <c r="AD102" s="59">
        <f>Y102*$AG102*E118/D118</f>
        <v>0.11613124862678022</v>
      </c>
      <c r="AE102" s="59">
        <f>Z102*$AG102*E118/D118</f>
        <v>5.603755936075733</v>
      </c>
      <c r="AF102" s="59">
        <f>AG102-AD102-AE102</f>
        <v>9.7642794819641523</v>
      </c>
      <c r="AG102" s="59">
        <f>U118</f>
        <v>15.484166666666665</v>
      </c>
      <c r="AH102" s="59">
        <f>Y102*$R$4+Z102*$S$4+1.333</f>
        <v>1.3502240858589747</v>
      </c>
      <c r="AI102" s="59">
        <f>(U100-AH102)^2/U100</f>
        <v>3.7195905327617922E-8</v>
      </c>
      <c r="AJ102" s="79">
        <f t="shared" si="7"/>
        <v>7.4999999113145831E-3</v>
      </c>
      <c r="AK102" s="79">
        <f t="shared" si="7"/>
        <v>0.36190232620907808</v>
      </c>
      <c r="AL102" s="79">
        <f t="shared" si="7"/>
        <v>0.6305976738796073</v>
      </c>
      <c r="AM102" s="79">
        <f t="shared" si="7"/>
        <v>1</v>
      </c>
      <c r="AN102" s="70"/>
      <c r="AO102" s="27"/>
      <c r="AP102" s="27"/>
    </row>
    <row r="103" spans="2:42" x14ac:dyDescent="0.3">
      <c r="B103" s="69"/>
      <c r="C103" s="8"/>
      <c r="D103" s="8"/>
      <c r="E103" s="8"/>
      <c r="F103" s="8"/>
      <c r="G103" s="8"/>
      <c r="H103" s="64"/>
      <c r="I103" s="64"/>
      <c r="J103" s="64"/>
      <c r="K103" s="64"/>
      <c r="L103" s="8"/>
      <c r="M103" s="8"/>
      <c r="N103" s="142"/>
      <c r="O103" s="142"/>
      <c r="P103" s="142"/>
      <c r="Q103" s="8"/>
      <c r="R103" s="8"/>
      <c r="S103" s="8"/>
      <c r="T103" s="8"/>
      <c r="U103" s="8"/>
      <c r="V103" s="8"/>
      <c r="W103" s="8"/>
      <c r="X103" s="8"/>
      <c r="Y103" s="8"/>
      <c r="Z103" s="8"/>
      <c r="AA103" s="8"/>
      <c r="AB103" s="8"/>
      <c r="AC103" s="175" t="s">
        <v>75</v>
      </c>
      <c r="AD103" s="59">
        <f>SUM(AD101:AD102)</f>
        <v>7.488340226030366</v>
      </c>
      <c r="AE103" s="59">
        <f>SUM(AE101:AE102)</f>
        <v>6.2446279360757329</v>
      </c>
      <c r="AF103" s="59">
        <f>SUM(AF101:AF102)</f>
        <v>16.655198504560566</v>
      </c>
      <c r="AG103" s="59">
        <f>SUM(AG101:AG102)</f>
        <v>30.388166666666667</v>
      </c>
      <c r="AH103" s="59"/>
      <c r="AI103" s="59"/>
      <c r="AJ103" s="79">
        <f t="shared" si="7"/>
        <v>0.24642290231494823</v>
      </c>
      <c r="AK103" s="79">
        <f t="shared" si="7"/>
        <v>0.20549538261304784</v>
      </c>
      <c r="AL103" s="79">
        <f t="shared" si="7"/>
        <v>0.54808171507200387</v>
      </c>
      <c r="AM103" s="79">
        <f t="shared" si="7"/>
        <v>1</v>
      </c>
      <c r="AN103" s="70"/>
    </row>
    <row r="104" spans="2:42" x14ac:dyDescent="0.3">
      <c r="B104" s="69"/>
      <c r="C104" s="8" t="s">
        <v>16</v>
      </c>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175" t="s">
        <v>76</v>
      </c>
      <c r="AD104" s="59">
        <f>(AD103-AD100)^2/AD100</f>
        <v>1.8126710536394023E-5</v>
      </c>
      <c r="AE104" s="59">
        <f>(AE103-AE100)^2/AE100</f>
        <v>4.4394389553414607E-5</v>
      </c>
      <c r="AF104" s="59">
        <f>(AF103-AF100)^2/AF100</f>
        <v>3.1683750228471094E-4</v>
      </c>
      <c r="AG104" s="59"/>
      <c r="AH104" s="178" t="s">
        <v>74</v>
      </c>
      <c r="AI104" s="59">
        <f>AI101+AI102+AD104+AE104+AF104</f>
        <v>3.7939609807894552E-4</v>
      </c>
      <c r="AJ104" s="79"/>
      <c r="AK104" s="184" t="s">
        <v>118</v>
      </c>
      <c r="AL104" s="79">
        <f>ABS(U110-AL101)/U110</f>
        <v>9.0105708523777993E-3</v>
      </c>
      <c r="AM104" s="79"/>
      <c r="AN104" s="70"/>
    </row>
    <row r="105" spans="2:42" ht="15" thickBot="1" x14ac:dyDescent="0.35">
      <c r="B105" s="69"/>
      <c r="C105" s="8">
        <v>1.5</v>
      </c>
      <c r="D105" s="8"/>
      <c r="E105" s="8"/>
      <c r="F105" s="8"/>
      <c r="G105" s="8"/>
      <c r="H105" s="347" t="s">
        <v>130</v>
      </c>
      <c r="I105" s="347"/>
      <c r="J105" s="347"/>
      <c r="K105" s="8"/>
      <c r="L105" s="8"/>
      <c r="M105" s="8"/>
      <c r="N105" s="8"/>
      <c r="O105" s="8"/>
      <c r="P105" s="8"/>
      <c r="Q105" s="8"/>
      <c r="R105" s="8"/>
      <c r="S105" s="8"/>
      <c r="T105" s="8"/>
      <c r="U105" s="8"/>
      <c r="V105" s="8"/>
      <c r="W105" s="8"/>
      <c r="X105" s="8"/>
      <c r="Y105" s="8"/>
      <c r="Z105" s="8"/>
      <c r="AA105" s="8"/>
      <c r="AB105" s="8"/>
      <c r="AC105" s="179" t="s">
        <v>110</v>
      </c>
      <c r="AD105" s="59">
        <f>ABS((AD100-AD103)/AD100)</f>
        <v>1.5546365292845366E-3</v>
      </c>
      <c r="AE105" s="59">
        <f>ABS((AE100-AE103)/AE100)</f>
        <v>2.6698677064439782E-3</v>
      </c>
      <c r="AF105" s="59">
        <f>ABS((AF100-AF103)/AF100)</f>
        <v>4.3520740937015127E-3</v>
      </c>
      <c r="AG105" s="59">
        <f>AVERAGE(AD105:AF105)</f>
        <v>2.8588594431433428E-3</v>
      </c>
      <c r="AH105" s="59"/>
      <c r="AI105" s="59"/>
      <c r="AJ105" s="79"/>
      <c r="AK105" s="184" t="s">
        <v>119</v>
      </c>
      <c r="AL105" s="79">
        <f>ABS(U112-AL102)/U112</f>
        <v>0.144283845961414</v>
      </c>
      <c r="AM105" s="79"/>
      <c r="AN105" s="70"/>
    </row>
    <row r="106" spans="2:42" x14ac:dyDescent="0.3">
      <c r="B106" s="69"/>
      <c r="C106" s="167" t="s">
        <v>4</v>
      </c>
      <c r="D106" s="167" t="s">
        <v>14</v>
      </c>
      <c r="E106" s="167" t="s">
        <v>17</v>
      </c>
      <c r="F106" s="167" t="s">
        <v>15</v>
      </c>
      <c r="G106" s="8"/>
      <c r="H106" s="167" t="s">
        <v>54</v>
      </c>
      <c r="I106" s="167" t="s">
        <v>55</v>
      </c>
      <c r="J106" s="167" t="s">
        <v>56</v>
      </c>
      <c r="K106" s="167" t="s">
        <v>12</v>
      </c>
      <c r="L106" s="167" t="s">
        <v>48</v>
      </c>
      <c r="M106" s="167" t="s">
        <v>49</v>
      </c>
      <c r="N106" s="167" t="s">
        <v>50</v>
      </c>
      <c r="O106" s="167" t="s">
        <v>12</v>
      </c>
      <c r="P106" s="8"/>
      <c r="Q106" s="147"/>
      <c r="R106" s="147"/>
      <c r="S106" s="8"/>
      <c r="T106" s="8"/>
      <c r="U106" s="8"/>
      <c r="V106" s="8"/>
      <c r="W106" s="8"/>
      <c r="X106" s="8"/>
      <c r="Y106" s="8"/>
      <c r="Z106" s="8"/>
      <c r="AA106" s="8"/>
      <c r="AB106" s="8"/>
      <c r="AC106" s="8"/>
      <c r="AD106" s="8"/>
      <c r="AE106" s="8"/>
      <c r="AF106" s="8"/>
      <c r="AG106" s="8"/>
      <c r="AH106" s="8"/>
      <c r="AI106" s="8"/>
      <c r="AJ106" s="11"/>
      <c r="AK106" s="11"/>
      <c r="AL106" s="11"/>
      <c r="AM106" s="11"/>
      <c r="AN106" s="70"/>
    </row>
    <row r="107" spans="2:42" x14ac:dyDescent="0.3">
      <c r="B107" s="69"/>
      <c r="C107" s="167" t="s">
        <v>7</v>
      </c>
      <c r="D107" s="4">
        <v>0.55049999999999999</v>
      </c>
      <c r="E107" s="4">
        <f>D107+1.5</f>
        <v>2.0505</v>
      </c>
      <c r="F107" s="4">
        <v>1.3532</v>
      </c>
      <c r="G107" s="8"/>
      <c r="H107" s="4">
        <f>1.333</f>
        <v>1.333</v>
      </c>
      <c r="I107" s="4">
        <f>I109*0.1378</f>
        <v>1.731723512639901E-2</v>
      </c>
      <c r="J107" s="4">
        <f>J109*0.16</f>
        <v>2.8527648736351675E-3</v>
      </c>
      <c r="K107" s="4">
        <f>SUM(H107:J107)</f>
        <v>1.3531700000000342</v>
      </c>
      <c r="L107" s="4">
        <v>0.46655761541257712</v>
      </c>
      <c r="M107" s="4">
        <f>I109*(E110/D110)</f>
        <v>0.46716211374617123</v>
      </c>
      <c r="N107" s="4">
        <f>J109*(E110/D110)</f>
        <v>6.6280270841251848E-2</v>
      </c>
      <c r="O107" s="4">
        <f>SUM(L107:N107)</f>
        <v>1.0000000000000002</v>
      </c>
      <c r="P107" s="8"/>
      <c r="Q107" s="167"/>
      <c r="R107" s="167"/>
      <c r="S107" s="167" t="s">
        <v>58</v>
      </c>
      <c r="T107" s="167" t="s">
        <v>10</v>
      </c>
      <c r="U107" s="167" t="s">
        <v>59</v>
      </c>
      <c r="V107" s="8"/>
      <c r="W107" s="349" t="s">
        <v>57</v>
      </c>
      <c r="X107" s="350"/>
      <c r="Y107" s="350"/>
      <c r="Z107" s="350"/>
      <c r="AA107" s="351"/>
      <c r="AB107" s="145"/>
      <c r="AC107" s="145"/>
      <c r="AD107" s="8"/>
      <c r="AE107" s="8"/>
      <c r="AF107" s="8"/>
      <c r="AG107" s="8"/>
      <c r="AH107" s="8"/>
      <c r="AI107" s="8"/>
      <c r="AJ107" s="11"/>
      <c r="AK107" s="11"/>
      <c r="AL107" s="11"/>
      <c r="AM107" s="11"/>
      <c r="AN107" s="70"/>
    </row>
    <row r="108" spans="2:42" x14ac:dyDescent="0.3">
      <c r="B108" s="69"/>
      <c r="C108" s="167" t="s">
        <v>8</v>
      </c>
      <c r="D108" s="4">
        <v>0.55349999999999999</v>
      </c>
      <c r="E108" s="4">
        <f>D108+1.5</f>
        <v>2.0535000000000001</v>
      </c>
      <c r="F108" s="4">
        <v>1.3531</v>
      </c>
      <c r="G108" s="8"/>
      <c r="H108" s="167" t="s">
        <v>48</v>
      </c>
      <c r="I108" s="167" t="s">
        <v>49</v>
      </c>
      <c r="J108" s="167" t="s">
        <v>50</v>
      </c>
      <c r="K108" s="167" t="s">
        <v>12</v>
      </c>
      <c r="L108" s="4"/>
      <c r="M108" s="4"/>
      <c r="N108" s="4"/>
      <c r="O108" s="4"/>
      <c r="P108" s="8"/>
      <c r="Q108" s="348" t="s">
        <v>6</v>
      </c>
      <c r="R108" s="167" t="s">
        <v>13</v>
      </c>
      <c r="S108" s="139">
        <f>O102</f>
        <v>0.20449172576832148</v>
      </c>
      <c r="T108" s="139">
        <f>N102</f>
        <v>0.24625689519306537</v>
      </c>
      <c r="U108" s="139">
        <f>P102</f>
        <v>0.54925137903861321</v>
      </c>
      <c r="V108" s="8"/>
      <c r="W108" s="167"/>
      <c r="X108" s="167" t="s">
        <v>0</v>
      </c>
      <c r="Y108" s="167" t="s">
        <v>52</v>
      </c>
      <c r="Z108" s="167" t="s">
        <v>20</v>
      </c>
      <c r="AA108" s="167" t="s">
        <v>12</v>
      </c>
      <c r="AB108" s="8"/>
      <c r="AC108" s="8"/>
      <c r="AD108" s="8"/>
      <c r="AE108" s="8"/>
      <c r="AF108" s="8"/>
      <c r="AG108" s="8"/>
      <c r="AH108" s="8"/>
      <c r="AI108" s="8"/>
      <c r="AJ108" s="11"/>
      <c r="AK108" s="11"/>
      <c r="AL108" s="11"/>
      <c r="AM108" s="11"/>
      <c r="AN108" s="70"/>
    </row>
    <row r="109" spans="2:42" x14ac:dyDescent="0.3">
      <c r="B109" s="69"/>
      <c r="C109" s="167" t="s">
        <v>9</v>
      </c>
      <c r="D109" s="4">
        <v>0.55200000000000005</v>
      </c>
      <c r="E109" s="4">
        <f>D109+1.5</f>
        <v>2.052</v>
      </c>
      <c r="F109" s="4">
        <v>1.3532</v>
      </c>
      <c r="G109" s="8"/>
      <c r="H109" s="4">
        <f>(L107*D110+1.5)/E110</f>
        <v>0.85650087899987448</v>
      </c>
      <c r="I109" s="4">
        <v>0.12566934053990572</v>
      </c>
      <c r="J109" s="4">
        <f>1-H109-I109</f>
        <v>1.7829780460219796E-2</v>
      </c>
      <c r="K109" s="4">
        <f>SUM(H109:J109)</f>
        <v>1</v>
      </c>
      <c r="L109" s="4"/>
      <c r="M109" s="4"/>
      <c r="N109" s="4"/>
      <c r="O109" s="4"/>
      <c r="P109" s="8"/>
      <c r="Q109" s="348"/>
      <c r="R109" s="167" t="s">
        <v>3</v>
      </c>
      <c r="S109" s="139"/>
      <c r="T109" s="139"/>
      <c r="U109" s="139"/>
      <c r="V109" s="8"/>
      <c r="W109" s="167" t="s">
        <v>6</v>
      </c>
      <c r="X109" s="59">
        <f>D102</f>
        <v>7.5</v>
      </c>
      <c r="Y109" s="59">
        <f>E102</f>
        <v>6.2279999999999998</v>
      </c>
      <c r="Z109" s="59">
        <f>F102</f>
        <v>16.728000000000002</v>
      </c>
      <c r="AA109" s="59">
        <f>SUM(X109:Z109)</f>
        <v>30.456000000000003</v>
      </c>
      <c r="AB109" s="8"/>
      <c r="AC109" s="8"/>
      <c r="AD109" s="8"/>
      <c r="AE109" s="8"/>
      <c r="AF109" s="8"/>
      <c r="AG109" s="8"/>
      <c r="AH109" s="8"/>
      <c r="AI109" s="8"/>
      <c r="AJ109" s="11"/>
      <c r="AK109" s="11"/>
      <c r="AL109" s="11"/>
      <c r="AM109" s="11"/>
      <c r="AN109" s="70"/>
    </row>
    <row r="110" spans="2:42" x14ac:dyDescent="0.3">
      <c r="B110" s="69"/>
      <c r="C110" s="167" t="s">
        <v>13</v>
      </c>
      <c r="D110" s="4">
        <f>AVERAGE(D107:D109)</f>
        <v>0.55200000000000005</v>
      </c>
      <c r="E110" s="4">
        <f>D110+1.5</f>
        <v>2.052</v>
      </c>
      <c r="F110" s="4">
        <f>AVERAGE(F107:F109)</f>
        <v>1.3531666666666666</v>
      </c>
      <c r="G110" s="8"/>
      <c r="H110" s="3"/>
      <c r="I110" s="3"/>
      <c r="J110" s="3"/>
      <c r="K110" s="3"/>
      <c r="L110" s="8"/>
      <c r="M110" s="8"/>
      <c r="N110" s="8"/>
      <c r="O110" s="8"/>
      <c r="P110" s="8"/>
      <c r="Q110" s="348" t="s">
        <v>4</v>
      </c>
      <c r="R110" s="167" t="s">
        <v>13</v>
      </c>
      <c r="S110" s="139">
        <f>N107</f>
        <v>6.6280270841251848E-2</v>
      </c>
      <c r="T110" s="139">
        <f>M107</f>
        <v>0.46716211374617123</v>
      </c>
      <c r="U110" s="146">
        <f>L107</f>
        <v>0.46655761541257712</v>
      </c>
      <c r="V110" s="8"/>
      <c r="W110" s="167" t="s">
        <v>4</v>
      </c>
      <c r="X110" s="59">
        <f>T110*$U$20</f>
        <v>9.3287135331859172</v>
      </c>
      <c r="Y110" s="59">
        <f>S110*U116</f>
        <v>0.98784115661801764</v>
      </c>
      <c r="Z110" s="59">
        <f>U116*U110</f>
        <v>6.9535747001090504</v>
      </c>
      <c r="AA110" s="59">
        <f>SUM(X110:Z110)</f>
        <v>17.270129389912984</v>
      </c>
      <c r="AB110" s="8"/>
      <c r="AC110" s="8"/>
      <c r="AD110" s="8"/>
      <c r="AE110" s="8"/>
      <c r="AF110" s="8"/>
      <c r="AG110" s="8"/>
      <c r="AH110" s="8"/>
      <c r="AI110" s="8"/>
      <c r="AJ110" s="11"/>
      <c r="AK110" s="11"/>
      <c r="AL110" s="11"/>
      <c r="AM110" s="11"/>
      <c r="AN110" s="70"/>
    </row>
    <row r="111" spans="2:42" x14ac:dyDescent="0.3">
      <c r="B111" s="69"/>
      <c r="C111" s="167" t="s">
        <v>3</v>
      </c>
      <c r="D111" s="4">
        <f>_xlfn.STDEV.S(D107:D109)</f>
        <v>1.5000000000000013E-3</v>
      </c>
      <c r="E111" s="4">
        <f>_xlfn.STDEV.S(E107:E109)</f>
        <v>1.5000000000000568E-3</v>
      </c>
      <c r="F111" s="4">
        <f>_xlfn.STDEV.S(F107:F109)</f>
        <v>5.7735026918956222E-5</v>
      </c>
      <c r="G111" s="8"/>
      <c r="H111" s="8"/>
      <c r="I111" s="8"/>
      <c r="J111" s="8"/>
      <c r="K111" s="8"/>
      <c r="L111" s="8"/>
      <c r="M111" s="8"/>
      <c r="N111" s="8"/>
      <c r="O111" s="8"/>
      <c r="P111" s="8"/>
      <c r="Q111" s="348"/>
      <c r="R111" s="167" t="s">
        <v>3</v>
      </c>
      <c r="S111" s="139"/>
      <c r="T111" s="139"/>
      <c r="U111" s="139"/>
      <c r="V111" s="8"/>
      <c r="W111" s="167" t="s">
        <v>5</v>
      </c>
      <c r="X111" s="59">
        <v>0</v>
      </c>
      <c r="Y111" s="59">
        <f>Y109-Y110</f>
        <v>5.2401588433819821</v>
      </c>
      <c r="Z111" s="59">
        <f>U118*U112</f>
        <v>8.5330921313149517</v>
      </c>
      <c r="AA111" s="59">
        <f>SUM(X111:Z111)</f>
        <v>13.773250974696934</v>
      </c>
      <c r="AB111" s="8"/>
      <c r="AC111" s="8"/>
      <c r="AD111" s="8"/>
      <c r="AE111" s="8"/>
      <c r="AF111" s="8"/>
      <c r="AG111" s="8"/>
      <c r="AH111" s="8"/>
      <c r="AI111" s="8"/>
      <c r="AJ111" s="8"/>
      <c r="AK111" s="8"/>
      <c r="AL111" s="8"/>
      <c r="AM111" s="8"/>
      <c r="AN111" s="70"/>
    </row>
    <row r="112" spans="2:42" x14ac:dyDescent="0.3">
      <c r="B112" s="69"/>
      <c r="C112" s="8"/>
      <c r="D112" s="8"/>
      <c r="E112" s="8"/>
      <c r="F112" s="8"/>
      <c r="G112" s="8"/>
      <c r="H112" s="8"/>
      <c r="I112" s="8"/>
      <c r="J112" s="8"/>
      <c r="K112" s="8"/>
      <c r="L112" s="8"/>
      <c r="M112" s="8"/>
      <c r="N112" s="8"/>
      <c r="O112" s="8"/>
      <c r="P112" s="8"/>
      <c r="Q112" s="348" t="s">
        <v>5</v>
      </c>
      <c r="R112" s="167" t="s">
        <v>13</v>
      </c>
      <c r="S112" s="139">
        <f>N115</f>
        <v>1.4037279372774191E-13</v>
      </c>
      <c r="T112" s="139">
        <f>M115</f>
        <v>0.44891499071198804</v>
      </c>
      <c r="U112" s="139">
        <f>L115</f>
        <v>0.55108500928787163</v>
      </c>
      <c r="V112" s="8"/>
      <c r="W112" s="167" t="s">
        <v>62</v>
      </c>
      <c r="X112" s="59">
        <f>SUM(X110:X111)</f>
        <v>9.3287135331859172</v>
      </c>
      <c r="Y112" s="59">
        <f>SUM(Y110:Y111)</f>
        <v>6.2279999999999998</v>
      </c>
      <c r="Z112" s="59">
        <f>SUM(Z110:Z111)</f>
        <v>15.486666831424003</v>
      </c>
      <c r="AA112" s="59">
        <f>SUM(X112:Z112)</f>
        <v>31.04338036460992</v>
      </c>
      <c r="AB112" s="8"/>
      <c r="AC112" s="8"/>
      <c r="AD112" s="8"/>
      <c r="AE112" s="8"/>
      <c r="AF112" s="8"/>
      <c r="AG112" s="8"/>
      <c r="AH112" s="8"/>
      <c r="AI112" s="8"/>
      <c r="AJ112" s="8"/>
      <c r="AK112" s="8"/>
      <c r="AL112" s="8"/>
      <c r="AM112" s="8"/>
      <c r="AN112" s="70"/>
    </row>
    <row r="113" spans="2:42" x14ac:dyDescent="0.3">
      <c r="B113" s="69"/>
      <c r="C113" s="8"/>
      <c r="D113" s="8"/>
      <c r="E113" s="8"/>
      <c r="F113" s="8"/>
      <c r="G113" s="8"/>
      <c r="H113" s="347" t="s">
        <v>131</v>
      </c>
      <c r="I113" s="347"/>
      <c r="J113" s="347"/>
      <c r="K113" s="8"/>
      <c r="L113" s="8"/>
      <c r="M113" s="8"/>
      <c r="N113" s="8"/>
      <c r="O113" s="8"/>
      <c r="P113" s="8"/>
      <c r="Q113" s="348"/>
      <c r="R113" s="167" t="s">
        <v>3</v>
      </c>
      <c r="S113" s="139"/>
      <c r="T113" s="139"/>
      <c r="U113" s="146"/>
      <c r="V113" s="8"/>
      <c r="W113" s="176"/>
      <c r="X113" s="8"/>
      <c r="Y113" s="8"/>
      <c r="Z113" s="8"/>
      <c r="AA113" s="8"/>
      <c r="AB113" s="8"/>
      <c r="AC113" s="8"/>
      <c r="AD113" s="8"/>
      <c r="AE113" s="8"/>
      <c r="AF113" s="8"/>
      <c r="AG113" s="8"/>
      <c r="AH113" s="8"/>
      <c r="AI113" s="8"/>
      <c r="AJ113" s="8"/>
      <c r="AK113" s="8"/>
      <c r="AL113" s="8"/>
      <c r="AM113" s="8"/>
      <c r="AN113" s="70"/>
    </row>
    <row r="114" spans="2:42" x14ac:dyDescent="0.3">
      <c r="B114" s="69"/>
      <c r="C114" s="167" t="s">
        <v>5</v>
      </c>
      <c r="D114" s="167" t="s">
        <v>14</v>
      </c>
      <c r="E114" s="167" t="s">
        <v>17</v>
      </c>
      <c r="F114" s="167" t="s">
        <v>15</v>
      </c>
      <c r="G114" s="8"/>
      <c r="H114" s="167" t="s">
        <v>54</v>
      </c>
      <c r="I114" s="167" t="s">
        <v>55</v>
      </c>
      <c r="J114" s="167" t="s">
        <v>56</v>
      </c>
      <c r="K114" s="167" t="s">
        <v>12</v>
      </c>
      <c r="L114" s="167" t="s">
        <v>48</v>
      </c>
      <c r="M114" s="167" t="s">
        <v>49</v>
      </c>
      <c r="N114" s="167" t="s">
        <v>50</v>
      </c>
      <c r="O114" s="167" t="s">
        <v>12</v>
      </c>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70"/>
    </row>
    <row r="115" spans="2:42" x14ac:dyDescent="0.3">
      <c r="B115" s="69"/>
      <c r="C115" s="167" t="s">
        <v>7</v>
      </c>
      <c r="D115" s="4">
        <v>0.61770000000000003</v>
      </c>
      <c r="E115" s="4">
        <f>D115+1.5</f>
        <v>2.1177000000000001</v>
      </c>
      <c r="F115" s="4">
        <v>1.35</v>
      </c>
      <c r="G115" s="8"/>
      <c r="H115" s="4">
        <f>1.333</f>
        <v>1.333</v>
      </c>
      <c r="I115" s="4">
        <f>I117*0.1378</f>
        <v>1.8078194510394618E-2</v>
      </c>
      <c r="J115" s="4">
        <f>J117*0.16</f>
        <v>6.563638521583926E-15</v>
      </c>
      <c r="K115" s="4">
        <f>SUM(H115:J115)</f>
        <v>1.3510781945104013</v>
      </c>
      <c r="L115" s="4">
        <v>0.55108500928787163</v>
      </c>
      <c r="M115" s="4">
        <f>I117*(E118/D118)</f>
        <v>0.44891499071198804</v>
      </c>
      <c r="N115" s="4">
        <f>J117*(E118/D118)</f>
        <v>1.4037279372774191E-13</v>
      </c>
      <c r="O115" s="4">
        <f>SUM(L115:N115)</f>
        <v>1</v>
      </c>
      <c r="P115" s="8"/>
      <c r="Q115" s="167"/>
      <c r="R115" s="167"/>
      <c r="S115" s="167" t="s">
        <v>23</v>
      </c>
      <c r="T115" s="167" t="s">
        <v>60</v>
      </c>
      <c r="U115" s="167" t="s">
        <v>61</v>
      </c>
      <c r="V115" s="8"/>
      <c r="W115" s="8"/>
      <c r="X115" s="8"/>
      <c r="Y115" s="8"/>
      <c r="Z115" s="8"/>
      <c r="AA115" s="8"/>
      <c r="AB115" s="8"/>
      <c r="AC115" s="8"/>
      <c r="AD115" s="8"/>
      <c r="AE115" s="8"/>
      <c r="AF115" s="8"/>
      <c r="AG115" s="8"/>
      <c r="AH115" s="8"/>
      <c r="AI115" s="8"/>
      <c r="AJ115" s="8"/>
      <c r="AK115" s="8"/>
      <c r="AL115" s="8"/>
      <c r="AM115" s="8"/>
      <c r="AN115" s="70"/>
    </row>
    <row r="116" spans="2:42" x14ac:dyDescent="0.3">
      <c r="B116" s="69"/>
      <c r="C116" s="167" t="s">
        <v>8</v>
      </c>
      <c r="D116" s="4">
        <v>0.61939999999999995</v>
      </c>
      <c r="E116" s="4">
        <f>D116+1.5</f>
        <v>2.1193999999999997</v>
      </c>
      <c r="F116" s="4">
        <v>1.35</v>
      </c>
      <c r="G116" s="8"/>
      <c r="H116" s="167" t="s">
        <v>48</v>
      </c>
      <c r="I116" s="167" t="s">
        <v>49</v>
      </c>
      <c r="J116" s="167" t="s">
        <v>50</v>
      </c>
      <c r="K116" s="167" t="s">
        <v>12</v>
      </c>
      <c r="L116" s="4"/>
      <c r="M116" s="4"/>
      <c r="N116" s="4"/>
      <c r="O116" s="4"/>
      <c r="P116" s="8"/>
      <c r="Q116" s="348" t="s">
        <v>4</v>
      </c>
      <c r="R116" s="167" t="s">
        <v>13</v>
      </c>
      <c r="S116" s="4">
        <f>AVERAGE(D107:D109)*2</f>
        <v>1.1040000000000001</v>
      </c>
      <c r="T116" s="4">
        <v>13.5</v>
      </c>
      <c r="U116" s="4">
        <f>S116*T116</f>
        <v>14.904000000000002</v>
      </c>
      <c r="V116" s="8"/>
      <c r="W116" s="8"/>
      <c r="X116" s="8"/>
      <c r="Y116" s="8"/>
      <c r="Z116" s="8"/>
      <c r="AA116" s="8"/>
      <c r="AB116" s="8"/>
      <c r="AC116" s="8"/>
      <c r="AD116" s="8"/>
      <c r="AE116" s="8"/>
      <c r="AF116" s="8"/>
      <c r="AG116" s="8"/>
      <c r="AH116" s="8"/>
      <c r="AI116" s="8"/>
      <c r="AJ116" s="8"/>
      <c r="AK116" s="8"/>
      <c r="AL116" s="8"/>
      <c r="AM116" s="8"/>
      <c r="AN116" s="70"/>
    </row>
    <row r="117" spans="2:42" x14ac:dyDescent="0.3">
      <c r="B117" s="69"/>
      <c r="C117" s="167" t="s">
        <v>9</v>
      </c>
      <c r="D117" s="4">
        <v>0.621</v>
      </c>
      <c r="E117" s="4">
        <f>D117+1.5</f>
        <v>2.121</v>
      </c>
      <c r="F117" s="4">
        <v>1.35</v>
      </c>
      <c r="G117" s="8"/>
      <c r="H117" s="4">
        <f>(L115*D118+1.5)/E118</f>
        <v>0.86880845783454086</v>
      </c>
      <c r="I117" s="4">
        <v>0.13119154216541812</v>
      </c>
      <c r="J117" s="4">
        <f>1-H117-I117</f>
        <v>4.1022740759899534E-14</v>
      </c>
      <c r="K117" s="4">
        <f>SUM(H117:J117)</f>
        <v>1</v>
      </c>
      <c r="L117" s="4"/>
      <c r="M117" s="4"/>
      <c r="N117" s="4"/>
      <c r="O117" s="4"/>
      <c r="P117" s="8"/>
      <c r="Q117" s="348"/>
      <c r="R117" s="167" t="s">
        <v>3</v>
      </c>
      <c r="S117" s="4">
        <f>D111*2</f>
        <v>3.0000000000000027E-3</v>
      </c>
      <c r="T117" s="4"/>
      <c r="U117" s="4"/>
      <c r="V117" s="8"/>
      <c r="W117" s="8"/>
      <c r="X117" s="8"/>
      <c r="Y117" s="8"/>
      <c r="Z117" s="8"/>
      <c r="AA117" s="8"/>
      <c r="AB117" s="8"/>
      <c r="AC117" s="8"/>
      <c r="AD117" s="8"/>
      <c r="AE117" s="8"/>
      <c r="AF117" s="8"/>
      <c r="AG117" s="8"/>
      <c r="AH117" s="8"/>
      <c r="AI117" s="8"/>
      <c r="AJ117" s="8"/>
      <c r="AK117" s="8"/>
      <c r="AL117" s="8"/>
      <c r="AM117" s="8"/>
      <c r="AN117" s="70"/>
    </row>
    <row r="118" spans="2:42" x14ac:dyDescent="0.3">
      <c r="B118" s="69"/>
      <c r="C118" s="167" t="s">
        <v>13</v>
      </c>
      <c r="D118" s="4">
        <f>AVERAGE(D115:D117)</f>
        <v>0.61936666666666662</v>
      </c>
      <c r="E118" s="4">
        <f>D118+1.5</f>
        <v>2.1193666666666666</v>
      </c>
      <c r="F118" s="4">
        <f>AVERAGE(F115:F117)</f>
        <v>1.3500000000000003</v>
      </c>
      <c r="G118" s="8"/>
      <c r="H118" s="3"/>
      <c r="I118" s="3"/>
      <c r="J118" s="3"/>
      <c r="K118" s="3"/>
      <c r="L118" s="8"/>
      <c r="M118" s="8"/>
      <c r="N118" s="8"/>
      <c r="O118" s="8"/>
      <c r="P118" s="8"/>
      <c r="Q118" s="348" t="s">
        <v>5</v>
      </c>
      <c r="R118" s="167" t="s">
        <v>13</v>
      </c>
      <c r="S118" s="4">
        <f>AVERAGE(D115:D117)*2</f>
        <v>1.2387333333333332</v>
      </c>
      <c r="T118" s="4">
        <v>12.5</v>
      </c>
      <c r="U118" s="4">
        <f>S118*T118</f>
        <v>15.484166666666665</v>
      </c>
      <c r="V118" s="8"/>
      <c r="W118" s="8"/>
      <c r="X118" s="8"/>
      <c r="Y118" s="8"/>
      <c r="Z118" s="8"/>
      <c r="AA118" s="8"/>
      <c r="AB118" s="8"/>
      <c r="AC118" s="8"/>
      <c r="AD118" s="8"/>
      <c r="AE118" s="8"/>
      <c r="AF118" s="8"/>
      <c r="AG118" s="8"/>
      <c r="AH118" s="8"/>
      <c r="AI118" s="8"/>
      <c r="AJ118" s="8"/>
      <c r="AK118" s="8"/>
      <c r="AL118" s="8"/>
      <c r="AM118" s="8"/>
      <c r="AN118" s="70"/>
      <c r="AO118" s="1"/>
      <c r="AP118" s="1"/>
    </row>
    <row r="119" spans="2:42" x14ac:dyDescent="0.3">
      <c r="B119" s="69"/>
      <c r="C119" s="167" t="s">
        <v>3</v>
      </c>
      <c r="D119" s="4">
        <f>_xlfn.STDEV.S(D115:D117)</f>
        <v>1.6502525059315259E-3</v>
      </c>
      <c r="E119" s="4">
        <f>_xlfn.STDEV.S(E115:E117)</f>
        <v>1.6502525059314676E-3</v>
      </c>
      <c r="F119" s="4">
        <f>_xlfn.STDEV.S(F115:F117)</f>
        <v>2.7194799110210365E-16</v>
      </c>
      <c r="G119" s="8"/>
      <c r="H119" s="8"/>
      <c r="I119" s="8"/>
      <c r="J119" s="8"/>
      <c r="K119" s="8"/>
      <c r="L119" s="8"/>
      <c r="M119" s="8"/>
      <c r="N119" s="8"/>
      <c r="O119" s="8"/>
      <c r="P119" s="8"/>
      <c r="Q119" s="348"/>
      <c r="R119" s="167" t="s">
        <v>3</v>
      </c>
      <c r="S119" s="4">
        <f>D119*2</f>
        <v>3.3005050118630518E-3</v>
      </c>
      <c r="T119" s="4"/>
      <c r="U119" s="4"/>
      <c r="V119" s="8"/>
      <c r="W119" s="8"/>
      <c r="X119" s="8"/>
      <c r="Y119" s="8"/>
      <c r="Z119" s="8"/>
      <c r="AA119" s="8"/>
      <c r="AB119" s="8"/>
      <c r="AC119" s="8"/>
      <c r="AD119" s="8"/>
      <c r="AE119" s="8"/>
      <c r="AF119" s="8"/>
      <c r="AG119" s="8"/>
      <c r="AH119" s="8"/>
      <c r="AI119" s="8"/>
      <c r="AJ119" s="8"/>
      <c r="AK119" s="8"/>
      <c r="AL119" s="8"/>
      <c r="AM119" s="8"/>
      <c r="AN119" s="70"/>
      <c r="AO119" s="1"/>
      <c r="AP119" s="1"/>
    </row>
    <row r="120" spans="2:42" ht="15" thickBot="1" x14ac:dyDescent="0.35">
      <c r="B120" s="71"/>
      <c r="C120" s="73"/>
      <c r="D120" s="73"/>
      <c r="E120" s="73"/>
      <c r="F120" s="73"/>
      <c r="G120" s="73"/>
      <c r="H120" s="73"/>
      <c r="I120" s="73"/>
      <c r="J120" s="73"/>
      <c r="K120" s="73"/>
      <c r="L120" s="73"/>
      <c r="M120" s="73"/>
      <c r="N120" s="73"/>
      <c r="O120" s="73"/>
      <c r="P120" s="73"/>
      <c r="Q120" s="73"/>
      <c r="R120" s="73"/>
      <c r="S120" s="73"/>
      <c r="T120" s="73"/>
      <c r="U120" s="73"/>
      <c r="V120" s="73"/>
      <c r="W120" s="73"/>
      <c r="X120" s="73"/>
      <c r="Y120" s="73"/>
      <c r="Z120" s="73"/>
      <c r="AA120" s="73"/>
      <c r="AB120" s="73"/>
      <c r="AC120" s="73"/>
      <c r="AD120" s="353"/>
      <c r="AE120" s="353"/>
      <c r="AF120" s="353"/>
      <c r="AG120" s="353"/>
      <c r="AH120" s="73"/>
      <c r="AI120" s="73"/>
      <c r="AJ120" s="353"/>
      <c r="AK120" s="353"/>
      <c r="AL120" s="353"/>
      <c r="AM120" s="353"/>
      <c r="AN120" s="72"/>
      <c r="AO120" s="1"/>
      <c r="AP120" s="1"/>
    </row>
    <row r="121" spans="2:42" x14ac:dyDescent="0.3">
      <c r="C121" s="3"/>
      <c r="D121" s="3"/>
      <c r="E121" s="3"/>
      <c r="F121" s="3"/>
      <c r="G121" s="8"/>
      <c r="H121" s="3"/>
      <c r="I121" s="3"/>
      <c r="J121" s="3"/>
      <c r="K121" s="3"/>
      <c r="L121" s="3"/>
      <c r="M121" s="3"/>
      <c r="N121" s="3"/>
      <c r="O121" s="3"/>
      <c r="P121" s="3"/>
      <c r="Q121" s="3"/>
      <c r="R121" s="3"/>
      <c r="S121" s="3"/>
      <c r="T121" s="3"/>
      <c r="U121" s="3"/>
      <c r="V121" s="3"/>
      <c r="W121" s="3"/>
      <c r="X121" s="3"/>
      <c r="Y121" s="3"/>
      <c r="Z121" s="3"/>
      <c r="AA121" s="3"/>
      <c r="AB121" s="8"/>
      <c r="AC121" s="8"/>
      <c r="AD121" s="8"/>
      <c r="AE121" s="8"/>
      <c r="AF121" s="64"/>
      <c r="AG121" s="8"/>
      <c r="AH121" s="8"/>
      <c r="AI121" s="8"/>
      <c r="AJ121" s="8"/>
      <c r="AK121" s="8"/>
      <c r="AL121" s="64"/>
      <c r="AM121" s="8"/>
      <c r="AN121" s="1"/>
      <c r="AO121" s="1"/>
      <c r="AP121" s="1"/>
    </row>
    <row r="122" spans="2:42" x14ac:dyDescent="0.3">
      <c r="C122" s="3"/>
      <c r="D122" s="3"/>
      <c r="E122" s="3"/>
      <c r="F122" s="3"/>
      <c r="G122" s="8"/>
      <c r="H122" s="3"/>
      <c r="I122" s="3"/>
      <c r="J122" s="3"/>
      <c r="K122" s="3"/>
      <c r="L122" s="3"/>
      <c r="M122" s="3"/>
      <c r="N122" s="3"/>
      <c r="O122" s="3"/>
      <c r="P122" s="3"/>
      <c r="Q122" s="3"/>
      <c r="R122" s="3"/>
      <c r="S122" s="3"/>
      <c r="T122" s="3"/>
      <c r="U122" s="3"/>
      <c r="V122" s="3"/>
      <c r="W122" s="3"/>
      <c r="X122" s="3"/>
      <c r="Y122" s="3"/>
      <c r="Z122" s="3"/>
      <c r="AA122" s="3"/>
      <c r="AB122" s="8"/>
      <c r="AC122" s="8"/>
      <c r="AD122" s="8"/>
      <c r="AE122" s="8"/>
      <c r="AF122" s="8"/>
      <c r="AG122" s="8"/>
      <c r="AH122" s="8"/>
      <c r="AI122" s="8"/>
      <c r="AJ122" s="142"/>
      <c r="AK122" s="142"/>
      <c r="AL122" s="142"/>
      <c r="AM122" s="8"/>
      <c r="AN122" s="1"/>
      <c r="AO122" s="1"/>
      <c r="AP122" s="1"/>
    </row>
    <row r="123" spans="2:42" x14ac:dyDescent="0.3">
      <c r="AB123" s="1"/>
      <c r="AC123" s="1"/>
      <c r="AD123" s="8"/>
      <c r="AE123" s="8"/>
      <c r="AF123" s="8"/>
      <c r="AG123" s="77"/>
      <c r="AH123" s="1"/>
      <c r="AI123" s="57"/>
      <c r="AJ123" s="11"/>
      <c r="AK123" s="11"/>
      <c r="AL123" s="11"/>
      <c r="AM123" s="1"/>
      <c r="AN123" s="1"/>
      <c r="AO123" s="78"/>
      <c r="AP123" s="78"/>
    </row>
    <row r="124" spans="2:42" x14ac:dyDescent="0.3">
      <c r="AB124" s="1"/>
      <c r="AC124" s="1"/>
      <c r="AD124" s="8"/>
      <c r="AE124" s="8"/>
      <c r="AF124" s="8"/>
      <c r="AG124" s="77"/>
      <c r="AH124" s="1"/>
      <c r="AI124" s="57"/>
      <c r="AJ124" s="11"/>
      <c r="AK124" s="11"/>
      <c r="AL124" s="11"/>
      <c r="AM124" s="1"/>
      <c r="AN124" s="1"/>
      <c r="AO124" s="78"/>
      <c r="AP124" s="78"/>
    </row>
    <row r="125" spans="2:42" x14ac:dyDescent="0.3">
      <c r="AB125" s="1"/>
      <c r="AC125" s="1"/>
      <c r="AD125" s="8"/>
      <c r="AE125" s="8"/>
      <c r="AF125" s="8"/>
      <c r="AG125" s="77"/>
      <c r="AH125" s="1"/>
      <c r="AI125" s="1"/>
      <c r="AJ125" s="11"/>
      <c r="AK125" s="11"/>
      <c r="AL125" s="11"/>
      <c r="AM125" s="1"/>
      <c r="AN125" s="1"/>
      <c r="AO125" s="1"/>
      <c r="AP125" s="1"/>
    </row>
    <row r="126" spans="2:42" x14ac:dyDescent="0.3">
      <c r="AB126" s="1"/>
      <c r="AC126" s="1"/>
      <c r="AD126" s="8"/>
      <c r="AE126" s="8"/>
      <c r="AF126" s="8"/>
      <c r="AG126" s="77"/>
      <c r="AH126" s="1"/>
      <c r="AI126" s="57"/>
      <c r="AJ126" s="1"/>
      <c r="AK126" s="1"/>
      <c r="AL126" s="1"/>
      <c r="AM126" s="1"/>
      <c r="AN126" s="1"/>
      <c r="AO126" s="1"/>
      <c r="AP126" s="1"/>
    </row>
    <row r="127" spans="2:42" x14ac:dyDescent="0.3">
      <c r="AB127" s="1"/>
      <c r="AC127" s="1"/>
      <c r="AD127" s="8"/>
      <c r="AE127" s="8"/>
      <c r="AF127" s="8"/>
      <c r="AG127" s="77"/>
      <c r="AH127" s="1"/>
      <c r="AI127" s="1"/>
      <c r="AJ127" s="1"/>
      <c r="AK127" s="1"/>
      <c r="AL127" s="1"/>
      <c r="AM127" s="1"/>
      <c r="AN127" s="1"/>
      <c r="AO127" s="1"/>
      <c r="AP127" s="1"/>
    </row>
    <row r="128" spans="2:42" x14ac:dyDescent="0.3">
      <c r="AB128" s="1"/>
      <c r="AC128" s="1"/>
      <c r="AD128" s="1"/>
      <c r="AE128" s="1"/>
      <c r="AF128" s="1"/>
      <c r="AG128" s="1"/>
      <c r="AH128" s="1"/>
      <c r="AI128" s="1"/>
      <c r="AJ128" s="1"/>
      <c r="AK128" s="1"/>
      <c r="AL128" s="1"/>
      <c r="AM128" s="1"/>
      <c r="AN128" s="1"/>
      <c r="AO128" s="1"/>
      <c r="AP128" s="1"/>
    </row>
  </sheetData>
  <mergeCells count="75">
    <mergeCell ref="AT37:AV37"/>
    <mergeCell ref="H113:J113"/>
    <mergeCell ref="H89:J89"/>
    <mergeCell ref="H65:J65"/>
    <mergeCell ref="H41:J41"/>
    <mergeCell ref="AD74:AG74"/>
    <mergeCell ref="AJ74:AM74"/>
    <mergeCell ref="AD98:AG98"/>
    <mergeCell ref="AJ98:AM98"/>
    <mergeCell ref="H57:J57"/>
    <mergeCell ref="Q38:Q39"/>
    <mergeCell ref="Q40:Q41"/>
    <mergeCell ref="Q44:Q45"/>
    <mergeCell ref="Q46:Q47"/>
    <mergeCell ref="Q110:Q111"/>
    <mergeCell ref="Q112:Q113"/>
    <mergeCell ref="AZ16:AZ18"/>
    <mergeCell ref="AH2:AI2"/>
    <mergeCell ref="AZ7:AZ9"/>
    <mergeCell ref="AZ10:AZ12"/>
    <mergeCell ref="AY10:AY12"/>
    <mergeCell ref="AY13:AY15"/>
    <mergeCell ref="AZ13:AZ15"/>
    <mergeCell ref="AW7:AW9"/>
    <mergeCell ref="AW10:AW12"/>
    <mergeCell ref="AW13:AW15"/>
    <mergeCell ref="AW16:AW18"/>
    <mergeCell ref="AY7:AY9"/>
    <mergeCell ref="AY16:AY18"/>
    <mergeCell ref="AD120:AG120"/>
    <mergeCell ref="AJ120:AM120"/>
    <mergeCell ref="AH74:AI74"/>
    <mergeCell ref="AH98:AI98"/>
    <mergeCell ref="AD2:AG2"/>
    <mergeCell ref="AJ2:AM2"/>
    <mergeCell ref="AD26:AG26"/>
    <mergeCell ref="AJ26:AM26"/>
    <mergeCell ref="AD50:AG50"/>
    <mergeCell ref="AJ50:AM50"/>
    <mergeCell ref="AH26:AI26"/>
    <mergeCell ref="AH50:AI50"/>
    <mergeCell ref="D28:F28"/>
    <mergeCell ref="H33:J33"/>
    <mergeCell ref="Q36:Q37"/>
    <mergeCell ref="D4:F4"/>
    <mergeCell ref="H9:J9"/>
    <mergeCell ref="Q12:Q13"/>
    <mergeCell ref="Q14:Q15"/>
    <mergeCell ref="Q16:Q17"/>
    <mergeCell ref="H17:J17"/>
    <mergeCell ref="D52:F52"/>
    <mergeCell ref="D100:F100"/>
    <mergeCell ref="H105:J105"/>
    <mergeCell ref="Q108:Q109"/>
    <mergeCell ref="D76:F76"/>
    <mergeCell ref="H81:J81"/>
    <mergeCell ref="Q84:Q85"/>
    <mergeCell ref="Q86:Q87"/>
    <mergeCell ref="Q88:Q89"/>
    <mergeCell ref="Q116:Q117"/>
    <mergeCell ref="Q118:Q119"/>
    <mergeCell ref="W11:AA11"/>
    <mergeCell ref="W35:AA35"/>
    <mergeCell ref="W59:AA59"/>
    <mergeCell ref="W83:AA83"/>
    <mergeCell ref="W107:AA107"/>
    <mergeCell ref="Q92:Q93"/>
    <mergeCell ref="Q94:Q95"/>
    <mergeCell ref="Q60:Q61"/>
    <mergeCell ref="Q62:Q63"/>
    <mergeCell ref="Q64:Q65"/>
    <mergeCell ref="Q68:Q69"/>
    <mergeCell ref="Q70:Q71"/>
    <mergeCell ref="Q20:Q21"/>
    <mergeCell ref="Q22:Q2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10072-CD44-4004-A72C-58CB0EE09E20}">
  <dimension ref="B1:BB126"/>
  <sheetViews>
    <sheetView zoomScale="40" zoomScaleNormal="40" workbookViewId="0">
      <selection activeCell="AJ15" sqref="AJ15"/>
    </sheetView>
  </sheetViews>
  <sheetFormatPr defaultRowHeight="14.4" x14ac:dyDescent="0.3"/>
  <cols>
    <col min="4" max="4" width="11.6640625" bestFit="1" customWidth="1"/>
    <col min="5" max="5" width="10.33203125" bestFit="1" customWidth="1"/>
    <col min="6" max="7" width="9.33203125" customWidth="1"/>
    <col min="8" max="8" width="10.6640625" customWidth="1"/>
    <col min="9" max="9" width="10.44140625" customWidth="1"/>
    <col min="10" max="10" width="11.5546875" customWidth="1"/>
    <col min="11" max="11" width="10.6640625" customWidth="1"/>
    <col min="12" max="12" width="11.88671875" bestFit="1" customWidth="1"/>
    <col min="13" max="13" width="8.44140625" bestFit="1" customWidth="1"/>
    <col min="14" max="14" width="8.33203125" bestFit="1" customWidth="1"/>
    <col min="15" max="15" width="9.6640625" bestFit="1" customWidth="1"/>
    <col min="38" max="38" width="24.33203125" bestFit="1" customWidth="1"/>
    <col min="44" max="44" width="11.5546875" bestFit="1" customWidth="1"/>
    <col min="45" max="45" width="12.44140625" bestFit="1" customWidth="1"/>
    <col min="46" max="46" width="15.5546875" bestFit="1" customWidth="1"/>
    <col min="47" max="47" width="11.5546875" bestFit="1" customWidth="1"/>
    <col min="48" max="48" width="15.44140625" bestFit="1" customWidth="1"/>
    <col min="49" max="49" width="14.109375" bestFit="1" customWidth="1"/>
    <col min="50" max="50" width="32.5546875" bestFit="1" customWidth="1"/>
    <col min="51" max="51" width="25.5546875" bestFit="1" customWidth="1"/>
    <col min="52" max="52" width="25.109375" bestFit="1" customWidth="1"/>
    <col min="54" max="54" width="15.5546875" bestFit="1" customWidth="1"/>
    <col min="55" max="55" width="14.88671875" bestFit="1" customWidth="1"/>
  </cols>
  <sheetData>
    <row r="1" spans="2:52" x14ac:dyDescent="0.3">
      <c r="B1" s="65"/>
      <c r="C1" s="92" t="s">
        <v>27</v>
      </c>
      <c r="D1" s="92" t="s">
        <v>51</v>
      </c>
      <c r="E1" s="92"/>
      <c r="F1" s="92" t="s">
        <v>52</v>
      </c>
      <c r="G1" s="92"/>
      <c r="H1" s="92" t="s">
        <v>53</v>
      </c>
      <c r="I1" s="92"/>
      <c r="J1" s="66"/>
      <c r="K1" s="66"/>
      <c r="L1" s="66"/>
      <c r="M1" s="66"/>
      <c r="N1" s="66"/>
      <c r="O1" s="66"/>
      <c r="P1" s="66"/>
      <c r="Q1" s="66"/>
      <c r="R1" s="66"/>
      <c r="S1" s="66"/>
      <c r="T1" s="66"/>
      <c r="U1" s="66"/>
      <c r="V1" s="66"/>
      <c r="W1" s="66"/>
      <c r="X1" s="66"/>
      <c r="Y1" s="66"/>
      <c r="Z1" s="66"/>
      <c r="AA1" s="66"/>
      <c r="AB1" s="66"/>
      <c r="AC1" s="50"/>
      <c r="AD1" s="376" t="s">
        <v>57</v>
      </c>
      <c r="AE1" s="376"/>
      <c r="AF1" s="376"/>
      <c r="AG1" s="376"/>
      <c r="AH1" s="381" t="s">
        <v>117</v>
      </c>
      <c r="AI1" s="382"/>
      <c r="AJ1" s="376" t="s">
        <v>77</v>
      </c>
      <c r="AK1" s="376"/>
      <c r="AL1" s="376"/>
      <c r="AM1" s="377"/>
      <c r="AN1" s="68"/>
    </row>
    <row r="2" spans="2:52" ht="18" x14ac:dyDescent="0.35">
      <c r="B2" s="74" t="s">
        <v>123</v>
      </c>
      <c r="C2" s="1"/>
      <c r="D2" s="1"/>
      <c r="E2" s="1"/>
      <c r="F2" s="1"/>
      <c r="G2" s="1"/>
      <c r="H2" s="1"/>
      <c r="I2" s="1"/>
      <c r="J2" s="1"/>
      <c r="K2" s="1"/>
      <c r="L2" s="1"/>
      <c r="M2" s="1"/>
      <c r="N2" s="1"/>
      <c r="O2" s="1"/>
      <c r="P2" s="1"/>
      <c r="Q2" s="1"/>
      <c r="R2" s="9" t="s">
        <v>69</v>
      </c>
      <c r="S2" s="9" t="s">
        <v>70</v>
      </c>
      <c r="T2" s="9" t="s">
        <v>71</v>
      </c>
      <c r="U2" s="9" t="s">
        <v>72</v>
      </c>
      <c r="V2" s="1"/>
      <c r="W2" s="1"/>
      <c r="X2" s="9"/>
      <c r="Y2" s="9" t="s">
        <v>68</v>
      </c>
      <c r="Z2" s="9" t="s">
        <v>67</v>
      </c>
      <c r="AA2" s="9" t="s">
        <v>73</v>
      </c>
      <c r="AB2" s="1"/>
      <c r="AC2" s="51"/>
      <c r="AD2" s="52" t="s">
        <v>0</v>
      </c>
      <c r="AE2" s="52" t="s">
        <v>52</v>
      </c>
      <c r="AF2" s="52" t="s">
        <v>20</v>
      </c>
      <c r="AG2" s="52" t="s">
        <v>12</v>
      </c>
      <c r="AH2" s="52" t="s">
        <v>15</v>
      </c>
      <c r="AI2" s="52" t="s">
        <v>76</v>
      </c>
      <c r="AJ2" s="52" t="s">
        <v>0</v>
      </c>
      <c r="AK2" s="52" t="s">
        <v>52</v>
      </c>
      <c r="AL2" s="52" t="s">
        <v>20</v>
      </c>
      <c r="AM2" s="53" t="s">
        <v>12</v>
      </c>
      <c r="AN2" s="70"/>
      <c r="AR2" s="96" t="s">
        <v>133</v>
      </c>
    </row>
    <row r="3" spans="2:52" x14ac:dyDescent="0.3">
      <c r="B3" s="69"/>
      <c r="C3" s="9"/>
      <c r="D3" s="372" t="s">
        <v>57</v>
      </c>
      <c r="E3" s="372"/>
      <c r="F3" s="373"/>
      <c r="G3" s="201"/>
      <c r="H3" s="145"/>
      <c r="I3" s="145"/>
      <c r="J3" s="145"/>
      <c r="K3" s="145"/>
      <c r="L3" s="145"/>
      <c r="M3" s="106"/>
      <c r="N3" s="201" t="s">
        <v>11</v>
      </c>
      <c r="O3" s="201"/>
      <c r="P3" s="106"/>
      <c r="Q3" s="8"/>
      <c r="R3" s="59">
        <v>0.1358</v>
      </c>
      <c r="S3" s="59">
        <v>0.16</v>
      </c>
      <c r="T3" s="59">
        <f>F13</f>
        <v>1.3445</v>
      </c>
      <c r="U3" s="59">
        <f>F21</f>
        <v>1.3407</v>
      </c>
      <c r="V3" s="8"/>
      <c r="W3" s="8"/>
      <c r="X3" s="106" t="s">
        <v>6</v>
      </c>
      <c r="Y3" s="59">
        <f>N5</f>
        <v>0.1485246550927454</v>
      </c>
      <c r="Z3" s="59">
        <f>O5</f>
        <v>0.10376922569146478</v>
      </c>
      <c r="AA3" s="59">
        <f>P5</f>
        <v>0.74770611921578989</v>
      </c>
      <c r="AB3" s="8"/>
      <c r="AC3" s="202" t="s">
        <v>6</v>
      </c>
      <c r="AD3" s="59">
        <f>Y3*$AG3</f>
        <v>4.5</v>
      </c>
      <c r="AE3" s="59">
        <f>Z3*$AG3</f>
        <v>3.1440000000000001</v>
      </c>
      <c r="AF3" s="59">
        <f>AA3*$AG3</f>
        <v>22.654000000000003</v>
      </c>
      <c r="AG3" s="59">
        <f>AA12</f>
        <v>30.298000000000002</v>
      </c>
      <c r="AH3" s="59"/>
      <c r="AI3" s="59"/>
      <c r="AJ3" s="79">
        <f>AD3/$AG3</f>
        <v>0.1485246550927454</v>
      </c>
      <c r="AK3" s="79">
        <f t="shared" ref="AK3:AM6" si="0">AE3/$AG3</f>
        <v>0.10376922569146478</v>
      </c>
      <c r="AL3" s="79">
        <f t="shared" si="0"/>
        <v>0.74770611921578989</v>
      </c>
      <c r="AM3" s="79">
        <f t="shared" si="0"/>
        <v>1</v>
      </c>
      <c r="AN3" s="70"/>
    </row>
    <row r="4" spans="2:52" x14ac:dyDescent="0.3">
      <c r="B4" s="69"/>
      <c r="C4" s="9" t="s">
        <v>6</v>
      </c>
      <c r="D4" s="203" t="s">
        <v>0</v>
      </c>
      <c r="E4" s="106" t="s">
        <v>52</v>
      </c>
      <c r="F4" s="204" t="s">
        <v>20</v>
      </c>
      <c r="G4" s="106" t="s">
        <v>12</v>
      </c>
      <c r="H4" s="64"/>
      <c r="I4" s="64"/>
      <c r="J4" s="64"/>
      <c r="K4" s="8"/>
      <c r="L4" s="8"/>
      <c r="M4" s="106" t="s">
        <v>6</v>
      </c>
      <c r="N4" s="106" t="s">
        <v>10</v>
      </c>
      <c r="O4" s="106" t="s">
        <v>58</v>
      </c>
      <c r="P4" s="106" t="s">
        <v>59</v>
      </c>
      <c r="Q4" s="8"/>
      <c r="R4" s="8"/>
      <c r="S4" s="8"/>
      <c r="T4" s="8"/>
      <c r="U4" s="8"/>
      <c r="V4" s="8"/>
      <c r="W4" s="8"/>
      <c r="X4" s="106" t="s">
        <v>4</v>
      </c>
      <c r="Y4" s="59">
        <v>6.2137539690285438E-2</v>
      </c>
      <c r="Z4" s="59">
        <v>1.717885868178972E-2</v>
      </c>
      <c r="AA4" s="59">
        <f>1-Z4-Y4</f>
        <v>0.92068360162792484</v>
      </c>
      <c r="AB4" s="8"/>
      <c r="AC4" s="202" t="s">
        <v>4</v>
      </c>
      <c r="AD4" s="59">
        <f>Y4*$AG4*E13/D13</f>
        <v>4.3140851056171368</v>
      </c>
      <c r="AE4" s="59">
        <f>Z4*$AG4*E13/D13</f>
        <v>1.1926938005592966</v>
      </c>
      <c r="AF4" s="59">
        <f>AG4-AD4-AE4</f>
        <v>12.921221093823563</v>
      </c>
      <c r="AG4" s="59">
        <f>U19</f>
        <v>18.427999999999997</v>
      </c>
      <c r="AH4" s="59">
        <f>Y4*$R$3+Z4*$S$3+1.333</f>
        <v>1.344186895279027</v>
      </c>
      <c r="AI4" s="59">
        <f>(T3-AH4)^2/T3</f>
        <v>7.2915259424014649E-8</v>
      </c>
      <c r="AJ4" s="79">
        <f>AD4/$AG4</f>
        <v>0.23410490045675805</v>
      </c>
      <c r="AK4" s="79">
        <f t="shared" si="0"/>
        <v>6.4721825513311099E-2</v>
      </c>
      <c r="AL4" s="79">
        <f t="shared" si="0"/>
        <v>0.70117327402993079</v>
      </c>
      <c r="AM4" s="79">
        <f t="shared" si="0"/>
        <v>1</v>
      </c>
      <c r="AN4" s="70"/>
      <c r="AO4" s="27"/>
      <c r="AP4" s="27"/>
    </row>
    <row r="5" spans="2:52" x14ac:dyDescent="0.3">
      <c r="B5" s="69"/>
      <c r="C5" s="9" t="s">
        <v>7</v>
      </c>
      <c r="D5" s="4">
        <v>4.5</v>
      </c>
      <c r="E5" s="4">
        <f>3+0.12*1.2</f>
        <v>3.1440000000000001</v>
      </c>
      <c r="F5" s="56">
        <f>22.51+0.12*1.2</f>
        <v>22.654</v>
      </c>
      <c r="G5" s="4">
        <f>SUM(D5:F5)</f>
        <v>30.298000000000002</v>
      </c>
      <c r="H5" s="8"/>
      <c r="I5" s="8"/>
      <c r="J5" s="8"/>
      <c r="K5" s="8"/>
      <c r="L5" s="8"/>
      <c r="M5" s="106" t="s">
        <v>7</v>
      </c>
      <c r="N5" s="139">
        <f>D5/G5</f>
        <v>0.1485246550927454</v>
      </c>
      <c r="O5" s="139">
        <f>E5/G5</f>
        <v>0.10376922569146478</v>
      </c>
      <c r="P5" s="139">
        <f>1-O5-N5</f>
        <v>0.74770611921578989</v>
      </c>
      <c r="Q5" s="8"/>
      <c r="R5" s="8"/>
      <c r="S5" s="8"/>
      <c r="T5" s="8"/>
      <c r="U5" s="8"/>
      <c r="V5" s="8"/>
      <c r="W5" s="8"/>
      <c r="X5" s="106" t="s">
        <v>5</v>
      </c>
      <c r="Y5" s="59">
        <v>3.5069453459691028E-3</v>
      </c>
      <c r="Z5" s="59">
        <v>4.4674342863412132E-2</v>
      </c>
      <c r="AA5" s="59">
        <f>1-Z5-Y5</f>
        <v>0.95181871179061883</v>
      </c>
      <c r="AB5" s="8"/>
      <c r="AC5" s="202" t="s">
        <v>5</v>
      </c>
      <c r="AD5" s="59">
        <f>Y5*$AG5*E21/D21</f>
        <v>0.15127840000000001</v>
      </c>
      <c r="AE5" s="59">
        <f>Z5*$AG5*E21/D21</f>
        <v>1.9271081932304366</v>
      </c>
      <c r="AF5" s="59">
        <f>AG5-AD5-AE5</f>
        <v>9.5584134067695636</v>
      </c>
      <c r="AG5" s="59">
        <f>U21</f>
        <v>11.636800000000001</v>
      </c>
      <c r="AH5" s="59">
        <f>Y5*$R$3+Z5*$S$3+1.333</f>
        <v>1.3406241380361286</v>
      </c>
      <c r="AI5" s="59">
        <f>(U3-AH5)^2/U3</f>
        <v>4.2925617680549639E-9</v>
      </c>
      <c r="AJ5" s="79">
        <f>AD5/$AG5</f>
        <v>1.2999999999999999E-2</v>
      </c>
      <c r="AK5" s="79">
        <f t="shared" si="0"/>
        <v>0.16560465018135884</v>
      </c>
      <c r="AL5" s="79">
        <f t="shared" si="0"/>
        <v>0.82139534981864115</v>
      </c>
      <c r="AM5" s="79">
        <f t="shared" si="0"/>
        <v>1</v>
      </c>
      <c r="AN5" s="70"/>
      <c r="AO5" s="27"/>
      <c r="AP5" s="27"/>
      <c r="AR5" s="36" t="s">
        <v>27</v>
      </c>
      <c r="AS5" s="36" t="s">
        <v>95</v>
      </c>
      <c r="AT5" s="36" t="s">
        <v>104</v>
      </c>
      <c r="AU5" s="36" t="s">
        <v>105</v>
      </c>
      <c r="AV5" s="36" t="s">
        <v>104</v>
      </c>
      <c r="AW5" s="36" t="s">
        <v>87</v>
      </c>
      <c r="AX5" s="36" t="s">
        <v>108</v>
      </c>
      <c r="AY5" s="36" t="s">
        <v>106</v>
      </c>
      <c r="AZ5" s="36" t="s">
        <v>107</v>
      </c>
    </row>
    <row r="6" spans="2:52" x14ac:dyDescent="0.3">
      <c r="B6" s="69"/>
      <c r="C6" s="1"/>
      <c r="D6" s="8"/>
      <c r="E6" s="8"/>
      <c r="F6" s="8"/>
      <c r="G6" s="8"/>
      <c r="H6" s="8"/>
      <c r="I6" s="8"/>
      <c r="J6" s="8"/>
      <c r="K6" s="8"/>
      <c r="L6" s="8"/>
      <c r="M6" s="8"/>
      <c r="N6" s="142"/>
      <c r="O6" s="142"/>
      <c r="P6" s="142"/>
      <c r="Q6" s="8"/>
      <c r="R6" s="8"/>
      <c r="S6" s="8"/>
      <c r="T6" s="8"/>
      <c r="U6" s="8"/>
      <c r="V6" s="8"/>
      <c r="W6" s="8"/>
      <c r="X6" s="8"/>
      <c r="Y6" s="8"/>
      <c r="Z6" s="8"/>
      <c r="AA6" s="8"/>
      <c r="AB6" s="8"/>
      <c r="AC6" s="202" t="s">
        <v>75</v>
      </c>
      <c r="AD6" s="59">
        <f>SUM(AD4:AD5)</f>
        <v>4.4653635056171366</v>
      </c>
      <c r="AE6" s="59">
        <f>SUM(AE4:AE5)</f>
        <v>3.119801993789733</v>
      </c>
      <c r="AF6" s="59">
        <f>SUM(AF4:AF5)</f>
        <v>22.479634500593129</v>
      </c>
      <c r="AG6" s="59">
        <f>SUM(AG4:AG5)</f>
        <v>30.064799999999998</v>
      </c>
      <c r="AH6" s="59"/>
      <c r="AI6" s="59"/>
      <c r="AJ6" s="79">
        <f>AD6/$AG6</f>
        <v>0.14852463697137971</v>
      </c>
      <c r="AK6" s="79">
        <f t="shared" si="0"/>
        <v>0.10376925819528929</v>
      </c>
      <c r="AL6" s="79">
        <f t="shared" si="0"/>
        <v>0.747706104833331</v>
      </c>
      <c r="AM6" s="79">
        <f t="shared" si="0"/>
        <v>1</v>
      </c>
      <c r="AN6" s="70"/>
      <c r="AR6" s="60" t="s">
        <v>78</v>
      </c>
      <c r="AS6" s="188">
        <f>AK3</f>
        <v>0.10376922569146478</v>
      </c>
      <c r="AT6" s="188">
        <f>$AG$8*AS6</f>
        <v>7.9869313406569751E-4</v>
      </c>
      <c r="AU6" s="188">
        <f>AJ3</f>
        <v>0.1485246550927454</v>
      </c>
      <c r="AV6" s="188">
        <f>$AG$8*AU6</f>
        <v>1.1431676537199868E-3</v>
      </c>
      <c r="AW6" s="366">
        <f>(AU7-AU8)/(AS7-AS8)</f>
        <v>-2.1917001351250609</v>
      </c>
      <c r="AX6" s="59" t="s">
        <v>109</v>
      </c>
      <c r="AY6" s="361">
        <f>AX8/AX7</f>
        <v>1.583597688494558</v>
      </c>
      <c r="AZ6" s="361">
        <f>T19/T21</f>
        <v>1.6190476190476191</v>
      </c>
    </row>
    <row r="7" spans="2:52" x14ac:dyDescent="0.3">
      <c r="B7" s="69"/>
      <c r="C7" s="1" t="s">
        <v>16</v>
      </c>
      <c r="D7" s="8"/>
      <c r="E7" s="8"/>
      <c r="F7" s="8"/>
      <c r="G7" s="8"/>
      <c r="H7" s="8"/>
      <c r="I7" s="8"/>
      <c r="J7" s="8"/>
      <c r="K7" s="8"/>
      <c r="L7" s="8"/>
      <c r="M7" s="8"/>
      <c r="N7" s="8"/>
      <c r="O7" s="8"/>
      <c r="P7" s="8"/>
      <c r="Q7" s="8"/>
      <c r="R7" s="8"/>
      <c r="S7" s="8"/>
      <c r="T7" s="8"/>
      <c r="U7" s="8"/>
      <c r="V7" s="8"/>
      <c r="W7" s="8"/>
      <c r="X7" s="8"/>
      <c r="Y7" s="8"/>
      <c r="Z7" s="8"/>
      <c r="AA7" s="8"/>
      <c r="AB7" s="8"/>
      <c r="AC7" s="202" t="s">
        <v>76</v>
      </c>
      <c r="AD7" s="59">
        <f>(AD6-AD3)^2/AD3</f>
        <v>2.665970540298066E-4</v>
      </c>
      <c r="AE7" s="59">
        <f>(AE6-AE3)^2/AE3</f>
        <v>1.8624157269469675E-4</v>
      </c>
      <c r="AF7" s="59">
        <f>(AF6-AF3)^2/AF3</f>
        <v>1.3420732490248462E-3</v>
      </c>
      <c r="AG7" s="59"/>
      <c r="AH7" s="178" t="s">
        <v>74</v>
      </c>
      <c r="AI7" s="59">
        <f>AI4+AI5+AD7+AE7+AF7+AM8+AM9</f>
        <v>1.7949890835705416E-3</v>
      </c>
      <c r="AJ7" s="79"/>
      <c r="AK7" s="184" t="s">
        <v>118</v>
      </c>
      <c r="AL7" s="79">
        <f>ABS(U13-AL4)/U13</f>
        <v>4.8204854392992795E-3</v>
      </c>
      <c r="AM7" s="79"/>
      <c r="AN7" s="70"/>
      <c r="AR7" s="60" t="s">
        <v>79</v>
      </c>
      <c r="AS7" s="188">
        <f>AK4</f>
        <v>6.4721825513311099E-2</v>
      </c>
      <c r="AT7" s="188">
        <f>$AG$8*AS7</f>
        <v>4.9815229242798045E-4</v>
      </c>
      <c r="AU7" s="188">
        <f>AJ4</f>
        <v>0.23410490045675805</v>
      </c>
      <c r="AV7" s="188">
        <f>$AG$8*AU7</f>
        <v>1.8018634657820862E-3</v>
      </c>
      <c r="AW7" s="367"/>
      <c r="AX7" s="59">
        <f>SQRT((AS6-AS7)^2+(AU6-AU7)^2)</f>
        <v>9.4067411239161278E-2</v>
      </c>
      <c r="AY7" s="362"/>
      <c r="AZ7" s="362"/>
    </row>
    <row r="8" spans="2:52" ht="15" thickBot="1" x14ac:dyDescent="0.35">
      <c r="B8" s="69"/>
      <c r="C8" s="1">
        <v>1.5</v>
      </c>
      <c r="D8" s="8"/>
      <c r="E8" s="8"/>
      <c r="F8" s="8"/>
      <c r="G8" s="8"/>
      <c r="H8" s="347" t="s">
        <v>130</v>
      </c>
      <c r="I8" s="347"/>
      <c r="J8" s="347"/>
      <c r="K8" s="8"/>
      <c r="L8" s="8"/>
      <c r="M8" s="8"/>
      <c r="N8" s="8"/>
      <c r="O8" s="8"/>
      <c r="P8" s="8"/>
      <c r="Q8" s="8"/>
      <c r="R8" s="8"/>
      <c r="S8" s="8"/>
      <c r="T8" s="8"/>
      <c r="U8" s="8"/>
      <c r="V8" s="8"/>
      <c r="W8" s="8"/>
      <c r="X8" s="8"/>
      <c r="Y8" s="8"/>
      <c r="Z8" s="8"/>
      <c r="AA8" s="8"/>
      <c r="AB8" s="8"/>
      <c r="AC8" s="205" t="s">
        <v>110</v>
      </c>
      <c r="AD8" s="59">
        <f>ABS((AD3-AD6)/AD3)</f>
        <v>7.6969987517474282E-3</v>
      </c>
      <c r="AE8" s="59">
        <f>ABS((AE3-AE6)/AE3)</f>
        <v>7.6965668607719877E-3</v>
      </c>
      <c r="AF8" s="59">
        <f>ABS((AF3-AF6)/AF3)</f>
        <v>7.6968967690860257E-3</v>
      </c>
      <c r="AG8" s="59">
        <f>AVERAGE(AD8:AF8)</f>
        <v>7.6968207938684806E-3</v>
      </c>
      <c r="AH8" s="59"/>
      <c r="AI8" s="59"/>
      <c r="AJ8" s="79"/>
      <c r="AK8" s="184" t="s">
        <v>119</v>
      </c>
      <c r="AL8" s="79">
        <f>ABS(U15-AL5)/U15</f>
        <v>4.8850493872660038E-3</v>
      </c>
      <c r="AM8" s="79"/>
      <c r="AN8" s="70"/>
      <c r="AR8" s="60" t="s">
        <v>8</v>
      </c>
      <c r="AS8" s="188">
        <f>AK5</f>
        <v>0.16560465018135884</v>
      </c>
      <c r="AT8" s="188">
        <f>$AG$8*AS8</f>
        <v>1.2746293150771983E-3</v>
      </c>
      <c r="AU8" s="188">
        <f>AJ5</f>
        <v>1.2999999999999999E-2</v>
      </c>
      <c r="AV8" s="188">
        <f>$AG$8*AU8</f>
        <v>1.0005867032029024E-4</v>
      </c>
      <c r="AW8" s="368"/>
      <c r="AX8" s="59">
        <f>SQRT((AS6-AS8)^2+(AU6-AU8)^2)</f>
        <v>0.1489649350010028</v>
      </c>
      <c r="AY8" s="363"/>
      <c r="AZ8" s="363"/>
    </row>
    <row r="9" spans="2:52" x14ac:dyDescent="0.3">
      <c r="B9" s="69"/>
      <c r="C9" s="9" t="s">
        <v>4</v>
      </c>
      <c r="D9" s="106" t="s">
        <v>14</v>
      </c>
      <c r="E9" s="106" t="s">
        <v>17</v>
      </c>
      <c r="F9" s="106" t="s">
        <v>15</v>
      </c>
      <c r="G9" s="8"/>
      <c r="H9" s="106" t="s">
        <v>54</v>
      </c>
      <c r="I9" s="106" t="s">
        <v>55</v>
      </c>
      <c r="J9" s="106" t="s">
        <v>56</v>
      </c>
      <c r="K9" s="106" t="s">
        <v>12</v>
      </c>
      <c r="L9" s="106" t="s">
        <v>48</v>
      </c>
      <c r="M9" s="106" t="s">
        <v>49</v>
      </c>
      <c r="N9" s="106" t="s">
        <v>50</v>
      </c>
      <c r="O9" s="106" t="s">
        <v>12</v>
      </c>
      <c r="P9" s="8"/>
      <c r="Q9" s="8"/>
      <c r="R9" s="8"/>
      <c r="S9" s="8"/>
      <c r="T9" s="8"/>
      <c r="U9" s="8"/>
      <c r="V9" s="8"/>
      <c r="W9" s="8"/>
      <c r="X9" s="8"/>
      <c r="Y9" s="8"/>
      <c r="Z9" s="8"/>
      <c r="AA9" s="8"/>
      <c r="AB9" s="8"/>
      <c r="AC9" s="8"/>
      <c r="AD9" s="8"/>
      <c r="AE9" s="8"/>
      <c r="AF9" s="8"/>
      <c r="AG9" s="8"/>
      <c r="AH9" s="8"/>
      <c r="AI9" s="8"/>
      <c r="AJ9" s="11"/>
      <c r="AK9" s="11"/>
      <c r="AL9" s="24"/>
      <c r="AM9" s="11"/>
      <c r="AN9" s="70"/>
      <c r="AR9" s="60" t="s">
        <v>78</v>
      </c>
      <c r="AS9" s="188">
        <f>AK27</f>
        <v>0.12387045709385927</v>
      </c>
      <c r="AT9" s="188">
        <f>$AG$32*AS9</f>
        <v>1.1696357101363582E-3</v>
      </c>
      <c r="AU9" s="188">
        <f>AJ27</f>
        <v>0.16819471011147022</v>
      </c>
      <c r="AV9" s="188">
        <f>$AG$32*AU9</f>
        <v>1.5881635041787609E-3</v>
      </c>
      <c r="AW9" s="366">
        <f>(AU10-AU11)/(AS10-AS11)</f>
        <v>-2.0268425201407267</v>
      </c>
      <c r="AX9" s="59" t="s">
        <v>109</v>
      </c>
      <c r="AY9" s="361">
        <f>AX11/AX10</f>
        <v>1.1032565652940649</v>
      </c>
      <c r="AZ9" s="361">
        <f>T43/T45</f>
        <v>1.2</v>
      </c>
    </row>
    <row r="10" spans="2:52" x14ac:dyDescent="0.3">
      <c r="B10" s="69"/>
      <c r="C10" s="9" t="s">
        <v>7</v>
      </c>
      <c r="D10" s="4">
        <v>0.54239999999999999</v>
      </c>
      <c r="E10" s="4">
        <f>D10+1.5</f>
        <v>2.0423999999999998</v>
      </c>
      <c r="F10" s="4">
        <v>1.3445</v>
      </c>
      <c r="G10" s="8"/>
      <c r="H10" s="4">
        <f>1.333</f>
        <v>1.333</v>
      </c>
      <c r="I10" s="4">
        <f>I12*0.1368</f>
        <v>7.8549920100128567E-3</v>
      </c>
      <c r="J10" s="4">
        <f>J12*0.16</f>
        <v>3.6463521786917652E-3</v>
      </c>
      <c r="K10" s="4">
        <f>SUM(H10:J10)</f>
        <v>1.3445013441887046</v>
      </c>
      <c r="L10" s="4">
        <v>0.69780949352697919</v>
      </c>
      <c r="M10" s="4">
        <f>I12*(E13/D13)</f>
        <v>0.21632967680410242</v>
      </c>
      <c r="N10" s="4">
        <f>J12*(E13/D13)</f>
        <v>8.5860829668918184E-2</v>
      </c>
      <c r="O10" s="4">
        <f>SUM(L10:N10)</f>
        <v>0.99999999999999978</v>
      </c>
      <c r="P10" s="8"/>
      <c r="Q10" s="106"/>
      <c r="R10" s="106"/>
      <c r="S10" s="106" t="s">
        <v>58</v>
      </c>
      <c r="T10" s="106" t="s">
        <v>10</v>
      </c>
      <c r="U10" s="106" t="s">
        <v>59</v>
      </c>
      <c r="V10" s="8"/>
      <c r="W10" s="373" t="s">
        <v>57</v>
      </c>
      <c r="X10" s="374"/>
      <c r="Y10" s="374"/>
      <c r="Z10" s="374"/>
      <c r="AA10" s="375"/>
      <c r="AB10" s="145"/>
      <c r="AC10" s="145"/>
      <c r="AD10" s="8"/>
      <c r="AE10" s="8"/>
      <c r="AF10" s="8"/>
      <c r="AG10" s="8"/>
      <c r="AH10" s="8"/>
      <c r="AI10" s="8"/>
      <c r="AJ10" s="11"/>
      <c r="AK10" s="11"/>
      <c r="AL10" s="11"/>
      <c r="AM10" s="11"/>
      <c r="AN10" s="70"/>
      <c r="AR10" s="60" t="s">
        <v>79</v>
      </c>
      <c r="AS10" s="188">
        <f>AK28</f>
        <v>0.05</v>
      </c>
      <c r="AT10" s="188">
        <f>$AG$32*AS10</f>
        <v>4.721205271932195E-4</v>
      </c>
      <c r="AU10" s="188">
        <f>AJ28</f>
        <v>0.32082533813724157</v>
      </c>
      <c r="AV10" s="188">
        <f>$AG$32*AU10</f>
        <v>3.0293645555659479E-3</v>
      </c>
      <c r="AW10" s="367"/>
      <c r="AX10" s="59">
        <f>SQRT((AS9-AS10)^2+(AU9-AU10)^2)</f>
        <v>0.16956695740266464</v>
      </c>
      <c r="AY10" s="362"/>
      <c r="AZ10" s="362"/>
    </row>
    <row r="11" spans="2:52" x14ac:dyDescent="0.3">
      <c r="B11" s="69"/>
      <c r="C11" s="9" t="s">
        <v>8</v>
      </c>
      <c r="D11" s="4">
        <v>0.5423</v>
      </c>
      <c r="E11" s="4">
        <f>D11+1.5</f>
        <v>2.0423</v>
      </c>
      <c r="F11" s="4">
        <v>1.3445</v>
      </c>
      <c r="G11" s="8"/>
      <c r="H11" s="106" t="s">
        <v>48</v>
      </c>
      <c r="I11" s="106" t="s">
        <v>49</v>
      </c>
      <c r="J11" s="106" t="s">
        <v>50</v>
      </c>
      <c r="K11" s="106" t="s">
        <v>12</v>
      </c>
      <c r="L11" s="4"/>
      <c r="M11" s="4"/>
      <c r="N11" s="4"/>
      <c r="O11" s="4"/>
      <c r="P11" s="8"/>
      <c r="Q11" s="372" t="s">
        <v>6</v>
      </c>
      <c r="R11" s="106" t="s">
        <v>13</v>
      </c>
      <c r="S11" s="139">
        <f>O5</f>
        <v>0.10376922569146478</v>
      </c>
      <c r="T11" s="139">
        <f>N5</f>
        <v>0.1485246550927454</v>
      </c>
      <c r="U11" s="139">
        <f>P5</f>
        <v>0.74770611921578989</v>
      </c>
      <c r="V11" s="8"/>
      <c r="W11" s="106"/>
      <c r="X11" s="106" t="s">
        <v>0</v>
      </c>
      <c r="Y11" s="106" t="s">
        <v>52</v>
      </c>
      <c r="Z11" s="106" t="s">
        <v>20</v>
      </c>
      <c r="AA11" s="106" t="s">
        <v>12</v>
      </c>
      <c r="AB11" s="8"/>
      <c r="AC11" s="8"/>
      <c r="AD11" s="8"/>
      <c r="AE11" s="8"/>
      <c r="AF11" s="8"/>
      <c r="AG11" s="8"/>
      <c r="AH11" s="8"/>
      <c r="AI11" s="8"/>
      <c r="AJ11" s="11"/>
      <c r="AK11" s="11"/>
      <c r="AL11" s="11"/>
      <c r="AM11" s="11"/>
      <c r="AN11" s="70"/>
      <c r="AR11" s="60" t="s">
        <v>8</v>
      </c>
      <c r="AS11" s="188">
        <f>AK29</f>
        <v>0.20779486317221901</v>
      </c>
      <c r="AT11" s="188">
        <f>$AG$32*AS11</f>
        <v>1.9620844069782187E-3</v>
      </c>
      <c r="AU11" s="188">
        <f>AJ29</f>
        <v>1.0000000000000005E-3</v>
      </c>
      <c r="AV11" s="188">
        <f>$AG$32*AU11</f>
        <v>9.442410543864394E-6</v>
      </c>
      <c r="AW11" s="368"/>
      <c r="AX11" s="59">
        <f>SQRT((AS9-AS11)^2+(AU9-AU11)^2)</f>
        <v>0.18707585901142881</v>
      </c>
      <c r="AY11" s="363"/>
      <c r="AZ11" s="363"/>
    </row>
    <row r="12" spans="2:52" x14ac:dyDescent="0.3">
      <c r="B12" s="69"/>
      <c r="C12" s="9" t="s">
        <v>9</v>
      </c>
      <c r="D12" s="4">
        <v>0.5413</v>
      </c>
      <c r="E12" s="4">
        <f>D12+1.5</f>
        <v>2.0413000000000001</v>
      </c>
      <c r="F12" s="4">
        <v>1.3445</v>
      </c>
      <c r="G12" s="8"/>
      <c r="H12" s="4">
        <f>(L10*D13+1.5)/E13</f>
        <v>0.91979076664624038</v>
      </c>
      <c r="I12" s="4">
        <v>5.7419532236936091E-2</v>
      </c>
      <c r="J12" s="4">
        <f>1-H12-I12</f>
        <v>2.2789701116823533E-2</v>
      </c>
      <c r="K12" s="4">
        <f>SUM(H12:J12)</f>
        <v>1</v>
      </c>
      <c r="L12" s="4"/>
      <c r="M12" s="4"/>
      <c r="N12" s="4"/>
      <c r="O12" s="4"/>
      <c r="P12" s="8"/>
      <c r="Q12" s="372"/>
      <c r="R12" s="106" t="s">
        <v>3</v>
      </c>
      <c r="S12" s="139"/>
      <c r="T12" s="139"/>
      <c r="U12" s="139"/>
      <c r="V12" s="8"/>
      <c r="W12" s="106" t="s">
        <v>6</v>
      </c>
      <c r="X12" s="59">
        <f>D5</f>
        <v>4.5</v>
      </c>
      <c r="Y12" s="59">
        <f>E5</f>
        <v>3.1440000000000001</v>
      </c>
      <c r="Z12" s="59">
        <f>F5</f>
        <v>22.654</v>
      </c>
      <c r="AA12" s="59">
        <f>SUM(X12:Z12)</f>
        <v>30.298000000000002</v>
      </c>
      <c r="AB12" s="8"/>
      <c r="AC12" s="8"/>
      <c r="AD12" s="8"/>
      <c r="AE12" s="8"/>
      <c r="AF12" s="8"/>
      <c r="AG12" s="8"/>
      <c r="AH12" s="8"/>
      <c r="AI12" s="8"/>
      <c r="AJ12" s="11"/>
      <c r="AK12" s="11"/>
      <c r="AL12" s="11"/>
      <c r="AM12" s="11"/>
      <c r="AN12" s="70"/>
      <c r="AR12" s="60" t="s">
        <v>78</v>
      </c>
      <c r="AS12" s="188">
        <f>AK51</f>
        <v>0.14436179316700679</v>
      </c>
      <c r="AT12" s="188">
        <f>$AG$56*AS12</f>
        <v>3.6602157545154584E-3</v>
      </c>
      <c r="AU12" s="188">
        <f>AJ51</f>
        <v>0.18761108551115793</v>
      </c>
      <c r="AV12" s="188">
        <f>$AG$56*AU12</f>
        <v>4.7567783403415671E-3</v>
      </c>
      <c r="AW12" s="366">
        <f>(AU13-AU14)/(AS13-AS14)</f>
        <v>-1.706878489329642</v>
      </c>
      <c r="AX12" s="59" t="s">
        <v>109</v>
      </c>
      <c r="AY12" s="361">
        <f>AX14/AX13</f>
        <v>1.0454838884236111</v>
      </c>
      <c r="AZ12" s="361">
        <f>T67/T69</f>
        <v>1.1200000000000001</v>
      </c>
    </row>
    <row r="13" spans="2:52" x14ac:dyDescent="0.3">
      <c r="B13" s="69"/>
      <c r="C13" s="9" t="s">
        <v>13</v>
      </c>
      <c r="D13" s="4">
        <f>AVERAGE(D10:D12)</f>
        <v>0.54199999999999993</v>
      </c>
      <c r="E13" s="4">
        <f>D13+1.5</f>
        <v>2.0419999999999998</v>
      </c>
      <c r="F13" s="4">
        <f>AVERAGE(F10:F12)</f>
        <v>1.3445</v>
      </c>
      <c r="G13" s="8"/>
      <c r="H13" s="8"/>
      <c r="I13" s="8"/>
      <c r="J13" s="8"/>
      <c r="K13" s="8"/>
      <c r="L13" s="8"/>
      <c r="M13" s="8"/>
      <c r="N13" s="8"/>
      <c r="O13" s="8"/>
      <c r="P13" s="8"/>
      <c r="Q13" s="372" t="s">
        <v>4</v>
      </c>
      <c r="R13" s="106" t="s">
        <v>13</v>
      </c>
      <c r="S13" s="139">
        <f>N10</f>
        <v>8.5860829668918184E-2</v>
      </c>
      <c r="T13" s="139">
        <f>M10</f>
        <v>0.21632967680410242</v>
      </c>
      <c r="U13" s="146">
        <f>L10</f>
        <v>0.69780949352697919</v>
      </c>
      <c r="V13" s="8"/>
      <c r="W13" s="106" t="s">
        <v>4</v>
      </c>
      <c r="X13" s="59">
        <f>T13*$U$19</f>
        <v>3.9865232841459988</v>
      </c>
      <c r="Y13" s="59">
        <f>S13*U19</f>
        <v>1.582243369138824</v>
      </c>
      <c r="Z13" s="59">
        <f>U19*U13</f>
        <v>12.85923334671517</v>
      </c>
      <c r="AA13" s="59">
        <f>SUM(X13:Z13)</f>
        <v>18.427999999999994</v>
      </c>
      <c r="AB13" s="8"/>
      <c r="AC13" s="8"/>
      <c r="AD13" s="8"/>
      <c r="AE13" s="8"/>
      <c r="AF13" s="8"/>
      <c r="AG13" s="8"/>
      <c r="AH13" s="8"/>
      <c r="AI13" s="8"/>
      <c r="AJ13" s="11"/>
      <c r="AK13" s="11"/>
      <c r="AL13" s="11"/>
      <c r="AM13" s="11"/>
      <c r="AN13" s="70"/>
      <c r="AR13" s="60" t="s">
        <v>79</v>
      </c>
      <c r="AS13" s="188">
        <f>AK52</f>
        <v>3.8999999999999993E-2</v>
      </c>
      <c r="AT13" s="188">
        <f>$AG$56*AS13</f>
        <v>9.888240599849195E-4</v>
      </c>
      <c r="AU13" s="188">
        <f>AJ52</f>
        <v>0.36666943106097999</v>
      </c>
      <c r="AV13" s="188">
        <f>$AG$56*AU13</f>
        <v>9.2967065511302266E-3</v>
      </c>
      <c r="AW13" s="367"/>
      <c r="AX13" s="59">
        <f>SQRT((AS12-AS13)^2+(AU12-AU13)^2)</f>
        <v>0.20775706623459669</v>
      </c>
      <c r="AY13" s="362"/>
      <c r="AZ13" s="362"/>
    </row>
    <row r="14" spans="2:52" x14ac:dyDescent="0.3">
      <c r="B14" s="69"/>
      <c r="C14" s="36" t="s">
        <v>3</v>
      </c>
      <c r="D14" s="88">
        <f>_xlfn.STDEV.S(D10:D12)</f>
        <v>6.0827625302981893E-4</v>
      </c>
      <c r="E14" s="88">
        <f>_xlfn.STDEV.S(E10:E12)</f>
        <v>6.0827625302968199E-4</v>
      </c>
      <c r="F14" s="88">
        <f>_xlfn.STDEV.S(F10:F12)</f>
        <v>0</v>
      </c>
      <c r="G14" s="8"/>
      <c r="H14" s="8"/>
      <c r="I14" s="8"/>
      <c r="J14" s="8"/>
      <c r="K14" s="8"/>
      <c r="L14" s="8"/>
      <c r="M14" s="8"/>
      <c r="N14" s="8"/>
      <c r="O14" s="8"/>
      <c r="P14" s="8"/>
      <c r="Q14" s="372"/>
      <c r="R14" s="106" t="s">
        <v>3</v>
      </c>
      <c r="S14" s="139"/>
      <c r="T14" s="139"/>
      <c r="U14" s="139"/>
      <c r="V14" s="8"/>
      <c r="W14" s="106" t="s">
        <v>5</v>
      </c>
      <c r="X14" s="59">
        <f>X12-X13</f>
        <v>0.51347671585400123</v>
      </c>
      <c r="Y14" s="59">
        <f>Y12-Y13</f>
        <v>1.5617566308611761</v>
      </c>
      <c r="Z14" s="59">
        <f>Z12-Z13</f>
        <v>9.7947666532848299</v>
      </c>
      <c r="AA14" s="59">
        <f>SUM(X14:Z14)</f>
        <v>11.870000000000008</v>
      </c>
      <c r="AB14" s="8"/>
      <c r="AC14" s="8"/>
      <c r="AD14" s="8"/>
      <c r="AE14" s="8"/>
      <c r="AF14" s="8"/>
      <c r="AG14" s="8"/>
      <c r="AH14" s="8"/>
      <c r="AI14" s="8"/>
      <c r="AJ14" s="11"/>
      <c r="AK14" s="11"/>
      <c r="AL14" s="11"/>
      <c r="AM14" s="11"/>
      <c r="AN14" s="70"/>
      <c r="AR14" s="60" t="s">
        <v>8</v>
      </c>
      <c r="AS14" s="188">
        <f>AK53</f>
        <v>0.25381870757243263</v>
      </c>
      <c r="AT14" s="188">
        <f>$AG$56*AS14</f>
        <v>6.4354370492794334E-3</v>
      </c>
      <c r="AU14" s="188">
        <f>AJ53</f>
        <v>0</v>
      </c>
      <c r="AV14" s="188">
        <f>$AG$56*AU14</f>
        <v>0</v>
      </c>
      <c r="AW14" s="368"/>
      <c r="AX14" s="59">
        <f>SQRT((AS12-AS14)^2+(AU12-AU14)^2)</f>
        <v>0.21720666545442785</v>
      </c>
      <c r="AY14" s="363"/>
      <c r="AZ14" s="363"/>
    </row>
    <row r="15" spans="2:52" x14ac:dyDescent="0.3">
      <c r="B15" s="69"/>
      <c r="C15" s="87"/>
      <c r="D15" s="89"/>
      <c r="E15" s="89"/>
      <c r="F15" s="89"/>
      <c r="G15" s="8"/>
      <c r="H15" s="8"/>
      <c r="I15" s="8"/>
      <c r="J15" s="8"/>
      <c r="K15" s="8"/>
      <c r="L15" s="8"/>
      <c r="M15" s="8"/>
      <c r="N15" s="8"/>
      <c r="O15" s="8"/>
      <c r="P15" s="8"/>
      <c r="Q15" s="372" t="s">
        <v>5</v>
      </c>
      <c r="R15" s="106" t="s">
        <v>13</v>
      </c>
      <c r="S15" s="139">
        <f>N18</f>
        <v>0.15362041085964315</v>
      </c>
      <c r="T15" s="139">
        <f>M18</f>
        <v>2.8977289922659313E-2</v>
      </c>
      <c r="U15" s="139">
        <f>L18</f>
        <v>0.81740229921769791</v>
      </c>
      <c r="V15" s="8"/>
      <c r="W15" s="106" t="s">
        <v>62</v>
      </c>
      <c r="X15" s="59">
        <f>SUM(X13:X14)</f>
        <v>4.5</v>
      </c>
      <c r="Y15" s="59">
        <f>SUM(Y13:Y14)</f>
        <v>3.1440000000000001</v>
      </c>
      <c r="Z15" s="59">
        <f>SUM(Z13:Z14)</f>
        <v>22.654</v>
      </c>
      <c r="AA15" s="59">
        <f>SUM(X15:Z15)</f>
        <v>30.298000000000002</v>
      </c>
      <c r="AB15" s="8"/>
      <c r="AC15" s="8"/>
      <c r="AD15" s="8"/>
      <c r="AE15" s="8"/>
      <c r="AF15" s="8"/>
      <c r="AG15" s="8"/>
      <c r="AH15" s="8"/>
      <c r="AI15" s="8"/>
      <c r="AJ15" s="11"/>
      <c r="AK15" s="11"/>
      <c r="AL15" s="11"/>
      <c r="AM15" s="11"/>
      <c r="AN15" s="70"/>
      <c r="AR15" s="60" t="s">
        <v>78</v>
      </c>
      <c r="AS15" s="188">
        <f>AK75</f>
        <v>0.18602825745682891</v>
      </c>
      <c r="AT15" s="188">
        <f>$AG$104*AS15</f>
        <v>2.11272462007031E-4</v>
      </c>
      <c r="AU15" s="188">
        <f>AJ75</f>
        <v>0.22566718995290425</v>
      </c>
      <c r="AV15" s="188">
        <f>$AG$104*AU15</f>
        <v>2.5629043386928864E-4</v>
      </c>
      <c r="AW15" s="366">
        <f>(AU16-AU17)/(AS16-AS17)</f>
        <v>-1.523170091673012</v>
      </c>
      <c r="AX15" s="59" t="s">
        <v>109</v>
      </c>
      <c r="AY15" s="361">
        <f>AX17/AX16</f>
        <v>0.93986867160120247</v>
      </c>
      <c r="AZ15" s="361">
        <f>T91/T93</f>
        <v>1.0384615384615385</v>
      </c>
    </row>
    <row r="16" spans="2:52" x14ac:dyDescent="0.3">
      <c r="B16" s="69"/>
      <c r="C16" s="21"/>
      <c r="D16" s="147"/>
      <c r="E16" s="147"/>
      <c r="F16" s="147"/>
      <c r="G16" s="8"/>
      <c r="H16" s="347" t="s">
        <v>131</v>
      </c>
      <c r="I16" s="347"/>
      <c r="J16" s="347"/>
      <c r="K16" s="8"/>
      <c r="L16" s="8"/>
      <c r="M16" s="8"/>
      <c r="N16" s="8"/>
      <c r="O16" s="8"/>
      <c r="P16" s="8"/>
      <c r="Q16" s="372"/>
      <c r="R16" s="106" t="s">
        <v>3</v>
      </c>
      <c r="S16" s="139"/>
      <c r="T16" s="139"/>
      <c r="U16" s="146"/>
      <c r="V16" s="8"/>
      <c r="W16" s="8"/>
      <c r="X16" s="8"/>
      <c r="Y16" s="8"/>
      <c r="Z16" s="8"/>
      <c r="AA16" s="8"/>
      <c r="AB16" s="8"/>
      <c r="AC16" s="8"/>
      <c r="AD16" s="8"/>
      <c r="AE16" s="8"/>
      <c r="AF16" s="8"/>
      <c r="AG16" s="8"/>
      <c r="AH16" s="8"/>
      <c r="AI16" s="8"/>
      <c r="AJ16" s="11"/>
      <c r="AK16" s="11"/>
      <c r="AL16" s="11"/>
      <c r="AM16" s="11"/>
      <c r="AN16" s="70"/>
      <c r="AR16" s="60" t="s">
        <v>79</v>
      </c>
      <c r="AS16" s="188">
        <f>AK76</f>
        <v>2.8376517219081177E-2</v>
      </c>
      <c r="AT16" s="188">
        <f>$AG$104*AS16</f>
        <v>3.2227236539327765E-5</v>
      </c>
      <c r="AU16" s="188">
        <f>AJ76</f>
        <v>0.46573049098997077</v>
      </c>
      <c r="AV16" s="188">
        <f>$AG$104*AU16</f>
        <v>5.2893054425362767E-4</v>
      </c>
      <c r="AW16" s="367"/>
      <c r="AX16" s="59">
        <f>SQRT((AS15-AS16)^2+(AU15-AU16)^2)</f>
        <v>0.28720107887123875</v>
      </c>
      <c r="AY16" s="362"/>
      <c r="AZ16" s="362"/>
    </row>
    <row r="17" spans="2:54" x14ac:dyDescent="0.3">
      <c r="B17" s="69"/>
      <c r="C17" s="35" t="s">
        <v>5</v>
      </c>
      <c r="D17" s="206" t="s">
        <v>14</v>
      </c>
      <c r="E17" s="206" t="s">
        <v>17</v>
      </c>
      <c r="F17" s="206" t="s">
        <v>15</v>
      </c>
      <c r="G17" s="8"/>
      <c r="H17" s="106" t="s">
        <v>54</v>
      </c>
      <c r="I17" s="106" t="s">
        <v>55</v>
      </c>
      <c r="J17" s="106" t="s">
        <v>56</v>
      </c>
      <c r="K17" s="106" t="s">
        <v>12</v>
      </c>
      <c r="L17" s="106" t="s">
        <v>48</v>
      </c>
      <c r="M17" s="106" t="s">
        <v>49</v>
      </c>
      <c r="N17" s="106" t="s">
        <v>50</v>
      </c>
      <c r="O17" s="106" t="s">
        <v>12</v>
      </c>
      <c r="P17" s="8"/>
      <c r="Q17" s="8"/>
      <c r="R17" s="8"/>
      <c r="S17" s="8"/>
      <c r="T17" s="8"/>
      <c r="U17" s="8"/>
      <c r="V17" s="8"/>
      <c r="W17" s="8"/>
      <c r="X17" s="8"/>
      <c r="Y17" s="8"/>
      <c r="Z17" s="8"/>
      <c r="AA17" s="8"/>
      <c r="AB17" s="8"/>
      <c r="AC17" s="8"/>
      <c r="AD17" s="8"/>
      <c r="AE17" s="8"/>
      <c r="AF17" s="8"/>
      <c r="AG17" s="8"/>
      <c r="AH17" s="8"/>
      <c r="AI17" s="8"/>
      <c r="AJ17" s="11"/>
      <c r="AK17" s="11"/>
      <c r="AL17" s="11"/>
      <c r="AM17" s="11"/>
      <c r="AN17" s="70"/>
      <c r="AR17" s="60" t="s">
        <v>8</v>
      </c>
      <c r="AS17" s="188">
        <f>AK77</f>
        <v>0.33414045884061344</v>
      </c>
      <c r="AT17" s="188">
        <f>$AG$104*AS17</f>
        <v>3.794836244799967E-4</v>
      </c>
      <c r="AU17" s="188">
        <f>AJ77</f>
        <v>0</v>
      </c>
      <c r="AV17" s="188">
        <f>$AG$104*AU17</f>
        <v>0</v>
      </c>
      <c r="AW17" s="368"/>
      <c r="AX17" s="59">
        <f>SQRT((AS15-AS17)^2+(AU15-AU17)^2)</f>
        <v>0.26993129648114333</v>
      </c>
      <c r="AY17" s="363"/>
      <c r="AZ17" s="363"/>
    </row>
    <row r="18" spans="2:54" x14ac:dyDescent="0.3">
      <c r="B18" s="69"/>
      <c r="C18" s="9" t="s">
        <v>7</v>
      </c>
      <c r="D18" s="4">
        <v>0.55179999999999996</v>
      </c>
      <c r="E18" s="4">
        <f>D18+1.5</f>
        <v>2.0518000000000001</v>
      </c>
      <c r="F18" s="4">
        <v>1.3407</v>
      </c>
      <c r="G18" s="8"/>
      <c r="H18" s="4">
        <f>1.333</f>
        <v>1.333</v>
      </c>
      <c r="I18" s="4">
        <f>I20*0.1368</f>
        <v>1.069373724163356E-3</v>
      </c>
      <c r="J18" s="4">
        <f>J20*0.16</f>
        <v>6.6306262758164545E-3</v>
      </c>
      <c r="K18" s="4">
        <f>SUM(H18:J18)</f>
        <v>1.3406999999999798</v>
      </c>
      <c r="L18" s="4">
        <v>0.81740229921769791</v>
      </c>
      <c r="M18" s="4">
        <f>I20*(E21/D21)</f>
        <v>2.8977289922659313E-2</v>
      </c>
      <c r="N18" s="4">
        <f>J20*(E21/D21)</f>
        <v>0.15362041085964315</v>
      </c>
      <c r="O18" s="4">
        <f>SUM(L18:N18)</f>
        <v>1.0000000000000004</v>
      </c>
      <c r="P18" s="8"/>
      <c r="Q18" s="106"/>
      <c r="R18" s="106"/>
      <c r="S18" s="106" t="s">
        <v>23</v>
      </c>
      <c r="T18" s="106" t="s">
        <v>60</v>
      </c>
      <c r="U18" s="106" t="s">
        <v>61</v>
      </c>
      <c r="V18" s="8"/>
      <c r="W18" s="8"/>
      <c r="X18" s="8"/>
      <c r="Y18" s="8"/>
      <c r="Z18" s="8"/>
      <c r="AA18" s="8"/>
      <c r="AB18" s="8"/>
      <c r="AC18" s="8"/>
      <c r="AD18" s="8"/>
      <c r="AE18" s="8"/>
      <c r="AF18" s="8"/>
      <c r="AG18" s="8"/>
      <c r="AH18" s="8"/>
      <c r="AI18" s="8"/>
      <c r="AJ18" s="11"/>
      <c r="AK18" s="11"/>
      <c r="AL18" s="11"/>
      <c r="AM18" s="11"/>
      <c r="AN18" s="70"/>
      <c r="AS18" s="189"/>
      <c r="AT18" s="189"/>
      <c r="AU18" s="189"/>
      <c r="AV18" s="188" t="s">
        <v>2</v>
      </c>
      <c r="AW18" s="188">
        <f>AVERAGE(AW6,AW9,AW12,AW15)</f>
        <v>-1.8621478090671104</v>
      </c>
    </row>
    <row r="19" spans="2:54" x14ac:dyDescent="0.3">
      <c r="B19" s="69"/>
      <c r="C19" s="9" t="s">
        <v>8</v>
      </c>
      <c r="D19" s="4">
        <v>0.55410000000000004</v>
      </c>
      <c r="E19" s="4">
        <f>D19+1.5</f>
        <v>2.0541</v>
      </c>
      <c r="F19" s="4">
        <v>1.3407</v>
      </c>
      <c r="G19" s="8"/>
      <c r="H19" s="106" t="s">
        <v>48</v>
      </c>
      <c r="I19" s="106" t="s">
        <v>49</v>
      </c>
      <c r="J19" s="106" t="s">
        <v>50</v>
      </c>
      <c r="K19" s="106" t="s">
        <v>12</v>
      </c>
      <c r="L19" s="4"/>
      <c r="M19" s="4"/>
      <c r="N19" s="4"/>
      <c r="O19" s="4"/>
      <c r="P19" s="8"/>
      <c r="Q19" s="372" t="s">
        <v>4</v>
      </c>
      <c r="R19" s="106" t="s">
        <v>13</v>
      </c>
      <c r="S19" s="4">
        <f>AVERAGE(D10:D12)*2</f>
        <v>1.0839999999999999</v>
      </c>
      <c r="T19" s="4">
        <v>17</v>
      </c>
      <c r="U19" s="4">
        <f>S19*T19</f>
        <v>18.427999999999997</v>
      </c>
      <c r="V19" s="8"/>
      <c r="W19" s="8"/>
      <c r="X19" s="8"/>
      <c r="Y19" s="8"/>
      <c r="Z19" s="8"/>
      <c r="AA19" s="8"/>
      <c r="AB19" s="8"/>
      <c r="AC19" s="8"/>
      <c r="AD19" s="8"/>
      <c r="AE19" s="8"/>
      <c r="AF19" s="8"/>
      <c r="AG19" s="8"/>
      <c r="AH19" s="8"/>
      <c r="AI19" s="8"/>
      <c r="AJ19" s="11"/>
      <c r="AK19" s="11"/>
      <c r="AL19" s="11"/>
      <c r="AM19" s="11"/>
      <c r="AN19" s="70"/>
      <c r="AS19" s="189"/>
      <c r="AT19" s="189"/>
      <c r="AU19" s="189"/>
      <c r="AV19" s="188" t="s">
        <v>80</v>
      </c>
      <c r="AW19" s="191">
        <f>_xlfn.STDEV.S(AW6,AW9,AW12,AW15)</f>
        <v>0.30262382479864069</v>
      </c>
    </row>
    <row r="20" spans="2:54" x14ac:dyDescent="0.3">
      <c r="B20" s="69"/>
      <c r="C20" s="9" t="s">
        <v>9</v>
      </c>
      <c r="D20" s="4">
        <v>0.55649999999999999</v>
      </c>
      <c r="E20" s="4">
        <f>D20+1.5</f>
        <v>2.0564999999999998</v>
      </c>
      <c r="F20" s="4">
        <v>1.3407</v>
      </c>
      <c r="G20" s="8"/>
      <c r="H20" s="4">
        <f>(L18*D21+1.5)/E21</f>
        <v>0.95074152638898812</v>
      </c>
      <c r="I20" s="4">
        <v>7.8170593871590352E-3</v>
      </c>
      <c r="J20" s="4">
        <f>1-H20-I20</f>
        <v>4.1441414223852842E-2</v>
      </c>
      <c r="K20" s="4">
        <f>SUM(H20:J20)</f>
        <v>1</v>
      </c>
      <c r="L20" s="4"/>
      <c r="M20" s="4"/>
      <c r="N20" s="4"/>
      <c r="O20" s="4"/>
      <c r="P20" s="8"/>
      <c r="Q20" s="372"/>
      <c r="R20" s="106" t="s">
        <v>3</v>
      </c>
      <c r="S20" s="4">
        <f>D14*2</f>
        <v>1.2165525060596379E-3</v>
      </c>
      <c r="T20" s="4"/>
      <c r="U20" s="4"/>
      <c r="V20" s="8"/>
      <c r="W20" s="8"/>
      <c r="X20" s="8"/>
      <c r="Y20" s="8"/>
      <c r="Z20" s="8"/>
      <c r="AA20" s="8"/>
      <c r="AB20" s="8"/>
      <c r="AC20" s="8"/>
      <c r="AD20" s="8"/>
      <c r="AE20" s="8"/>
      <c r="AF20" s="8"/>
      <c r="AG20" s="8"/>
      <c r="AH20" s="8"/>
      <c r="AI20" s="8"/>
      <c r="AJ20" s="11"/>
      <c r="AK20" s="11"/>
      <c r="AL20" s="11"/>
      <c r="AM20" s="11"/>
      <c r="AN20" s="70"/>
      <c r="AS20" s="25"/>
      <c r="AU20" s="25"/>
    </row>
    <row r="21" spans="2:54" x14ac:dyDescent="0.3">
      <c r="B21" s="69"/>
      <c r="C21" s="9" t="s">
        <v>13</v>
      </c>
      <c r="D21" s="4">
        <f>AVERAGE(D18:D20)</f>
        <v>0.55413333333333337</v>
      </c>
      <c r="E21" s="4">
        <f>D21+1.5</f>
        <v>2.0541333333333336</v>
      </c>
      <c r="F21" s="4">
        <f>AVERAGE(F18:F20)</f>
        <v>1.3407</v>
      </c>
      <c r="G21" s="8"/>
      <c r="H21" s="8"/>
      <c r="I21" s="8"/>
      <c r="J21" s="8"/>
      <c r="K21" s="8"/>
      <c r="L21" s="8"/>
      <c r="M21" s="8"/>
      <c r="N21" s="8"/>
      <c r="O21" s="8"/>
      <c r="P21" s="8"/>
      <c r="Q21" s="372" t="s">
        <v>5</v>
      </c>
      <c r="R21" s="106" t="s">
        <v>13</v>
      </c>
      <c r="S21" s="4">
        <f>AVERAGE(D18:D20)*2</f>
        <v>1.1082666666666667</v>
      </c>
      <c r="T21" s="4">
        <v>10.5</v>
      </c>
      <c r="U21" s="4">
        <f>S21*T21</f>
        <v>11.636800000000001</v>
      </c>
      <c r="V21" s="8"/>
      <c r="W21" s="8"/>
      <c r="X21" s="8"/>
      <c r="Y21" s="8"/>
      <c r="Z21" s="8"/>
      <c r="AA21" s="8"/>
      <c r="AB21" s="8"/>
      <c r="AC21" s="8"/>
      <c r="AD21" s="8"/>
      <c r="AE21" s="8"/>
      <c r="AF21" s="8"/>
      <c r="AG21" s="8"/>
      <c r="AH21" s="8"/>
      <c r="AI21" s="8"/>
      <c r="AJ21" s="11"/>
      <c r="AK21" s="11"/>
      <c r="AL21" s="11"/>
      <c r="AM21" s="11"/>
      <c r="AN21" s="70"/>
    </row>
    <row r="22" spans="2:54" ht="15" thickBot="1" x14ac:dyDescent="0.35">
      <c r="B22" s="69"/>
      <c r="C22" s="9" t="s">
        <v>3</v>
      </c>
      <c r="D22" s="4">
        <f>_xlfn.STDEV.S(D18:D20)</f>
        <v>2.3501772982763279E-3</v>
      </c>
      <c r="E22" s="4">
        <f>_xlfn.STDEV.S(E18:E20)</f>
        <v>2.3501772982761609E-3</v>
      </c>
      <c r="F22" s="4">
        <f>_xlfn.STDEV.S(F18:F20)</f>
        <v>0</v>
      </c>
      <c r="G22" s="8"/>
      <c r="H22" s="8"/>
      <c r="I22" s="8"/>
      <c r="J22" s="8"/>
      <c r="K22" s="8"/>
      <c r="L22" s="8"/>
      <c r="M22" s="8"/>
      <c r="N22" s="8"/>
      <c r="O22" s="8"/>
      <c r="P22" s="8"/>
      <c r="Q22" s="372"/>
      <c r="R22" s="106" t="s">
        <v>3</v>
      </c>
      <c r="S22" s="4">
        <f>D22*2</f>
        <v>4.7003545965526557E-3</v>
      </c>
      <c r="T22" s="4"/>
      <c r="U22" s="4"/>
      <c r="V22" s="8"/>
      <c r="W22" s="8"/>
      <c r="X22" s="8"/>
      <c r="Y22" s="8"/>
      <c r="Z22" s="8"/>
      <c r="AA22" s="8"/>
      <c r="AB22" s="8"/>
      <c r="AC22" s="8"/>
      <c r="AD22" s="8"/>
      <c r="AE22" s="8"/>
      <c r="AF22" s="8"/>
      <c r="AG22" s="8"/>
      <c r="AH22" s="8"/>
      <c r="AI22" s="8"/>
      <c r="AJ22" s="11"/>
      <c r="AK22" s="11"/>
      <c r="AL22" s="11"/>
      <c r="AM22" s="11"/>
      <c r="AN22" s="70"/>
    </row>
    <row r="23" spans="2:54" ht="18.600000000000001" thickBot="1" x14ac:dyDescent="0.4">
      <c r="B23" s="71"/>
      <c r="C23" s="16"/>
      <c r="D23" s="73"/>
      <c r="E23" s="73"/>
      <c r="F23" s="73"/>
      <c r="G23" s="73"/>
      <c r="H23" s="73"/>
      <c r="I23" s="73"/>
      <c r="J23" s="73"/>
      <c r="K23" s="73"/>
      <c r="L23" s="73"/>
      <c r="M23" s="73"/>
      <c r="N23" s="73"/>
      <c r="O23" s="73"/>
      <c r="P23" s="73"/>
      <c r="Q23" s="149"/>
      <c r="R23" s="73"/>
      <c r="S23" s="73"/>
      <c r="T23" s="73"/>
      <c r="U23" s="73"/>
      <c r="V23" s="73"/>
      <c r="W23" s="73"/>
      <c r="X23" s="73"/>
      <c r="Y23" s="73"/>
      <c r="Z23" s="73"/>
      <c r="AA23" s="73"/>
      <c r="AB23" s="73"/>
      <c r="AC23" s="73"/>
      <c r="AD23" s="73"/>
      <c r="AE23" s="73"/>
      <c r="AF23" s="73"/>
      <c r="AG23" s="73"/>
      <c r="AH23" s="73"/>
      <c r="AI23" s="73"/>
      <c r="AJ23" s="164"/>
      <c r="AK23" s="164"/>
      <c r="AL23" s="164"/>
      <c r="AM23" s="164"/>
      <c r="AN23" s="72"/>
      <c r="AS23" s="96" t="s">
        <v>138</v>
      </c>
      <c r="BA23" s="98" t="s">
        <v>95</v>
      </c>
      <c r="BB23" s="99" t="s">
        <v>139</v>
      </c>
    </row>
    <row r="24" spans="2:54" ht="15" thickBot="1" x14ac:dyDescent="0.35">
      <c r="B24" s="65"/>
      <c r="C24" s="66"/>
      <c r="D24" s="67"/>
      <c r="E24" s="67"/>
      <c r="F24" s="67"/>
      <c r="G24" s="67"/>
      <c r="H24" s="67"/>
      <c r="I24" s="67"/>
      <c r="J24" s="67"/>
      <c r="K24" s="67"/>
      <c r="L24" s="67"/>
      <c r="M24" s="67"/>
      <c r="N24" s="67"/>
      <c r="O24" s="67"/>
      <c r="P24" s="67"/>
      <c r="Q24" s="151"/>
      <c r="R24" s="67"/>
      <c r="S24" s="67"/>
      <c r="T24" s="67"/>
      <c r="U24" s="67"/>
      <c r="V24" s="67"/>
      <c r="W24" s="67"/>
      <c r="X24" s="67"/>
      <c r="Y24" s="67"/>
      <c r="Z24" s="67"/>
      <c r="AA24" s="67"/>
      <c r="AB24" s="67"/>
      <c r="AC24" s="67"/>
      <c r="AD24" s="67"/>
      <c r="AE24" s="67"/>
      <c r="AF24" s="67"/>
      <c r="AG24" s="67"/>
      <c r="AH24" s="67"/>
      <c r="AI24" s="67"/>
      <c r="AJ24" s="165"/>
      <c r="AK24" s="165"/>
      <c r="AL24" s="165"/>
      <c r="AM24" s="165"/>
      <c r="AN24" s="68"/>
      <c r="AW24" s="25"/>
      <c r="BA24" s="194">
        <v>2.5000000000000001E-2</v>
      </c>
      <c r="BB24" s="182">
        <f t="shared" ref="BB24:BB57" si="1">$AS$36*EXP(-$AT$36*BA24^(0.5)-$AU$36*BA24^3)</f>
        <v>0.49531048296063801</v>
      </c>
    </row>
    <row r="25" spans="2:54" x14ac:dyDescent="0.3">
      <c r="B25" s="69"/>
      <c r="C25" s="1"/>
      <c r="D25" s="8"/>
      <c r="E25" s="8"/>
      <c r="F25" s="8"/>
      <c r="G25" s="8"/>
      <c r="H25" s="8"/>
      <c r="I25" s="8"/>
      <c r="J25" s="8"/>
      <c r="K25" s="8"/>
      <c r="L25" s="8"/>
      <c r="M25" s="8"/>
      <c r="N25" s="8"/>
      <c r="O25" s="8"/>
      <c r="P25" s="8"/>
      <c r="Q25" s="8"/>
      <c r="R25" s="8"/>
      <c r="S25" s="8"/>
      <c r="T25" s="8"/>
      <c r="U25" s="8"/>
      <c r="V25" s="8"/>
      <c r="W25" s="8"/>
      <c r="X25" s="8"/>
      <c r="Y25" s="8"/>
      <c r="Z25" s="8"/>
      <c r="AA25" s="8"/>
      <c r="AB25" s="8"/>
      <c r="AC25" s="207"/>
      <c r="AD25" s="378" t="s">
        <v>57</v>
      </c>
      <c r="AE25" s="378"/>
      <c r="AF25" s="378"/>
      <c r="AG25" s="378"/>
      <c r="AH25" s="383" t="s">
        <v>117</v>
      </c>
      <c r="AI25" s="384"/>
      <c r="AJ25" s="379" t="s">
        <v>77</v>
      </c>
      <c r="AK25" s="379"/>
      <c r="AL25" s="379"/>
      <c r="AM25" s="380"/>
      <c r="AN25" s="70"/>
      <c r="AS25" s="9" t="s">
        <v>95</v>
      </c>
      <c r="AT25" s="9" t="s">
        <v>135</v>
      </c>
      <c r="AU25" s="9" t="s">
        <v>134</v>
      </c>
      <c r="AV25" s="9" t="s">
        <v>136</v>
      </c>
      <c r="BA25" s="194">
        <v>0.03</v>
      </c>
      <c r="BB25" s="182">
        <f t="shared" si="1"/>
        <v>0.44746066301252696</v>
      </c>
    </row>
    <row r="26" spans="2:54" x14ac:dyDescent="0.3">
      <c r="B26" s="74" t="s">
        <v>124</v>
      </c>
      <c r="C26" s="1"/>
      <c r="D26" s="8"/>
      <c r="E26" s="8"/>
      <c r="F26" s="8"/>
      <c r="G26" s="8"/>
      <c r="H26" s="8"/>
      <c r="I26" s="8"/>
      <c r="J26" s="8"/>
      <c r="K26" s="8"/>
      <c r="L26" s="8"/>
      <c r="M26" s="8"/>
      <c r="N26" s="8"/>
      <c r="O26" s="8"/>
      <c r="P26" s="8"/>
      <c r="Q26" s="8"/>
      <c r="R26" s="106" t="s">
        <v>69</v>
      </c>
      <c r="S26" s="106" t="s">
        <v>70</v>
      </c>
      <c r="T26" s="106" t="s">
        <v>71</v>
      </c>
      <c r="U26" s="106" t="s">
        <v>72</v>
      </c>
      <c r="V26" s="8"/>
      <c r="W26" s="8"/>
      <c r="X26" s="106"/>
      <c r="Y26" s="106" t="s">
        <v>68</v>
      </c>
      <c r="Z26" s="106" t="s">
        <v>67</v>
      </c>
      <c r="AA26" s="106" t="s">
        <v>73</v>
      </c>
      <c r="AB26" s="8"/>
      <c r="AC26" s="202"/>
      <c r="AD26" s="208" t="s">
        <v>0</v>
      </c>
      <c r="AE26" s="208" t="s">
        <v>52</v>
      </c>
      <c r="AF26" s="208" t="s">
        <v>20</v>
      </c>
      <c r="AG26" s="208" t="s">
        <v>12</v>
      </c>
      <c r="AH26" s="208" t="s">
        <v>15</v>
      </c>
      <c r="AI26" s="208" t="s">
        <v>76</v>
      </c>
      <c r="AJ26" s="210" t="s">
        <v>0</v>
      </c>
      <c r="AK26" s="210" t="s">
        <v>52</v>
      </c>
      <c r="AL26" s="210" t="s">
        <v>20</v>
      </c>
      <c r="AM26" s="211" t="s">
        <v>12</v>
      </c>
      <c r="AN26" s="70"/>
      <c r="AS26" s="188">
        <v>6.4721825513311099E-2</v>
      </c>
      <c r="AT26" s="188">
        <v>0.23410490045675805</v>
      </c>
      <c r="AU26" s="191">
        <f t="shared" ref="AU26:AU33" si="2">$AS$36*EXP(-$AT$36*AS26^(0.5)-$AU$36*AS26^3)</f>
        <v>0.23801501939611255</v>
      </c>
      <c r="AV26" s="80">
        <f t="shared" ref="AV26:AV33" si="3">(AT26-AU26)^2</f>
        <v>1.5289030119898768E-5</v>
      </c>
      <c r="BA26" s="194">
        <v>3.5000000000000003E-2</v>
      </c>
      <c r="BB26" s="182">
        <f t="shared" si="1"/>
        <v>0.4065296013972749</v>
      </c>
    </row>
    <row r="27" spans="2:54" x14ac:dyDescent="0.3">
      <c r="B27" s="69"/>
      <c r="C27" s="9"/>
      <c r="D27" s="372" t="s">
        <v>57</v>
      </c>
      <c r="E27" s="372"/>
      <c r="F27" s="373"/>
      <c r="G27" s="201"/>
      <c r="H27" s="145"/>
      <c r="I27" s="145"/>
      <c r="J27" s="145"/>
      <c r="K27" s="145"/>
      <c r="L27" s="145"/>
      <c r="M27" s="106"/>
      <c r="N27" s="201" t="s">
        <v>11</v>
      </c>
      <c r="O27" s="201"/>
      <c r="P27" s="106"/>
      <c r="Q27" s="8"/>
      <c r="R27" s="59">
        <v>0.13780000000000001</v>
      </c>
      <c r="S27" s="59">
        <v>0.16</v>
      </c>
      <c r="T27" s="59">
        <f>F37</f>
        <v>1.3468</v>
      </c>
      <c r="U27" s="59">
        <f>F45</f>
        <v>1.3421666666666667</v>
      </c>
      <c r="V27" s="8"/>
      <c r="W27" s="8"/>
      <c r="X27" s="106" t="s">
        <v>6</v>
      </c>
      <c r="Y27" s="59">
        <f>N29</f>
        <v>0.16819471011147022</v>
      </c>
      <c r="Z27" s="59">
        <f>O29</f>
        <v>0.12387045709385927</v>
      </c>
      <c r="AA27" s="59">
        <f>P29</f>
        <v>0.70793483279467051</v>
      </c>
      <c r="AB27" s="8"/>
      <c r="AC27" s="202" t="s">
        <v>6</v>
      </c>
      <c r="AD27" s="59">
        <f>Y27*$AG27</f>
        <v>5.0999999999999996</v>
      </c>
      <c r="AE27" s="59">
        <f>Z27*$AG27</f>
        <v>3.7560000000000002</v>
      </c>
      <c r="AF27" s="59">
        <f>AA27*$AG27</f>
        <v>21.465999999999998</v>
      </c>
      <c r="AG27" s="59">
        <f>AA36</f>
        <v>30.321999999999996</v>
      </c>
      <c r="AH27" s="59"/>
      <c r="AI27" s="59"/>
      <c r="AJ27" s="79">
        <f t="shared" ref="AJ27:AM30" si="4">AD27/$AG27</f>
        <v>0.16819471011147022</v>
      </c>
      <c r="AK27" s="79">
        <f t="shared" si="4"/>
        <v>0.12387045709385927</v>
      </c>
      <c r="AL27" s="79">
        <f t="shared" si="4"/>
        <v>0.70793483279467051</v>
      </c>
      <c r="AM27" s="79">
        <f t="shared" si="4"/>
        <v>1</v>
      </c>
      <c r="AN27" s="70"/>
      <c r="AS27" s="188">
        <v>0.16560465018135884</v>
      </c>
      <c r="AT27" s="188">
        <v>1.2999999999999999E-2</v>
      </c>
      <c r="AU27" s="191">
        <f t="shared" si="2"/>
        <v>1.2468561057318361E-2</v>
      </c>
      <c r="AV27" s="80">
        <f t="shared" si="3"/>
        <v>2.824273497985773E-7</v>
      </c>
      <c r="BA27" s="194">
        <v>0.04</v>
      </c>
      <c r="BB27" s="182">
        <f t="shared" si="1"/>
        <v>0.37071323057808042</v>
      </c>
    </row>
    <row r="28" spans="2:54" x14ac:dyDescent="0.3">
      <c r="B28" s="69"/>
      <c r="C28" s="9" t="s">
        <v>6</v>
      </c>
      <c r="D28" s="203" t="s">
        <v>0</v>
      </c>
      <c r="E28" s="106" t="s">
        <v>52</v>
      </c>
      <c r="F28" s="204" t="s">
        <v>20</v>
      </c>
      <c r="G28" s="106" t="s">
        <v>12</v>
      </c>
      <c r="H28" s="64"/>
      <c r="I28" s="64"/>
      <c r="J28" s="64"/>
      <c r="K28" s="8"/>
      <c r="L28" s="8"/>
      <c r="M28" s="106" t="s">
        <v>6</v>
      </c>
      <c r="N28" s="106" t="s">
        <v>10</v>
      </c>
      <c r="O28" s="106" t="s">
        <v>58</v>
      </c>
      <c r="P28" s="106" t="s">
        <v>59</v>
      </c>
      <c r="Q28" s="8"/>
      <c r="R28" s="8"/>
      <c r="S28" s="8"/>
      <c r="T28" s="8"/>
      <c r="U28" s="8"/>
      <c r="V28" s="8"/>
      <c r="W28" s="8"/>
      <c r="X28" s="106" t="s">
        <v>4</v>
      </c>
      <c r="Y28" s="59">
        <v>8.4708299406117155E-2</v>
      </c>
      <c r="Z28" s="59">
        <v>1.3201622399581317E-2</v>
      </c>
      <c r="AA28" s="59">
        <f>1-Z28-Y28</f>
        <v>0.90209007819430154</v>
      </c>
      <c r="AB28" s="8"/>
      <c r="AC28" s="202" t="s">
        <v>4</v>
      </c>
      <c r="AD28" s="59">
        <f>Y28*$AG28*E37/D37</f>
        <v>5.1794042588876286</v>
      </c>
      <c r="AE28" s="59">
        <f>Z28*$AG28*E37/D37</f>
        <v>0.80720000000000014</v>
      </c>
      <c r="AF28" s="59">
        <f>AG28-AD28-AE28</f>
        <v>10.157395741112373</v>
      </c>
      <c r="AG28" s="59">
        <f>U43</f>
        <v>16.144000000000002</v>
      </c>
      <c r="AH28" s="59">
        <f>Y28*$R$3+Z28*$S$3+1.333</f>
        <v>1.3466156466432837</v>
      </c>
      <c r="AI28" s="59">
        <f>(T27-AH28)^2/T27</f>
        <v>2.523474913317864E-8</v>
      </c>
      <c r="AJ28" s="79">
        <f t="shared" si="4"/>
        <v>0.32082533813724157</v>
      </c>
      <c r="AK28" s="79">
        <f t="shared" si="4"/>
        <v>0.05</v>
      </c>
      <c r="AL28" s="79">
        <f t="shared" si="4"/>
        <v>0.62917466186275839</v>
      </c>
      <c r="AM28" s="79">
        <f t="shared" si="4"/>
        <v>1</v>
      </c>
      <c r="AN28" s="70"/>
      <c r="AO28" s="27"/>
      <c r="AP28" s="27"/>
      <c r="AS28" s="188">
        <v>0.05</v>
      </c>
      <c r="AT28" s="188">
        <v>0.32082533813724157</v>
      </c>
      <c r="AU28" s="191">
        <f t="shared" si="2"/>
        <v>0.30998347474359067</v>
      </c>
      <c r="AV28" s="80">
        <f t="shared" si="3"/>
        <v>1.1754600184658734E-4</v>
      </c>
      <c r="BA28" s="194">
        <v>0.05</v>
      </c>
      <c r="BB28" s="182">
        <f t="shared" si="1"/>
        <v>0.30998347474359067</v>
      </c>
    </row>
    <row r="29" spans="2:54" ht="15.75" customHeight="1" x14ac:dyDescent="0.3">
      <c r="B29" s="69"/>
      <c r="C29" s="9" t="s">
        <v>7</v>
      </c>
      <c r="D29" s="4">
        <v>5.0999999999999996</v>
      </c>
      <c r="E29" s="4">
        <f>3.6+0.26*1.2/2</f>
        <v>3.7560000000000002</v>
      </c>
      <c r="F29" s="56">
        <f>21.31+0.26*1.2/2</f>
        <v>21.465999999999998</v>
      </c>
      <c r="G29" s="4">
        <f>SUM(D29:F29)</f>
        <v>30.321999999999996</v>
      </c>
      <c r="H29" s="8"/>
      <c r="I29" s="8"/>
      <c r="J29" s="8"/>
      <c r="K29" s="8"/>
      <c r="L29" s="8"/>
      <c r="M29" s="106" t="s">
        <v>7</v>
      </c>
      <c r="N29" s="139">
        <f>D29/G29</f>
        <v>0.16819471011147022</v>
      </c>
      <c r="O29" s="139">
        <f>E29/G29</f>
        <v>0.12387045709385927</v>
      </c>
      <c r="P29" s="139">
        <f>1-O29-N29</f>
        <v>0.70793483279467051</v>
      </c>
      <c r="Q29" s="8"/>
      <c r="R29" s="8"/>
      <c r="S29" s="8"/>
      <c r="T29" s="8"/>
      <c r="U29" s="8"/>
      <c r="V29" s="8"/>
      <c r="W29" s="8"/>
      <c r="X29" s="106" t="s">
        <v>5</v>
      </c>
      <c r="Y29" s="59">
        <v>2.7358429650674765E-4</v>
      </c>
      <c r="Z29" s="59">
        <v>5.6849411458687417E-2</v>
      </c>
      <c r="AA29" s="59">
        <f>1-Z29-Y29</f>
        <v>0.94287700424480592</v>
      </c>
      <c r="AB29" s="8"/>
      <c r="AC29" s="202" t="s">
        <v>5</v>
      </c>
      <c r="AD29" s="59">
        <f>Y29*$AG29*E45/D45</f>
        <v>1.4123333333333337E-2</v>
      </c>
      <c r="AE29" s="59">
        <f>Z29*$AG29*E45/D45</f>
        <v>2.9347561175356396</v>
      </c>
      <c r="AF29" s="59">
        <f>AG29-AD29-AE29</f>
        <v>11.174453882464357</v>
      </c>
      <c r="AG29" s="59">
        <f>U45</f>
        <v>14.123333333333331</v>
      </c>
      <c r="AH29" s="59">
        <f>Y29*$R$3+Z29*$S$3+1.333</f>
        <v>1.3421330585808555</v>
      </c>
      <c r="AI29" s="59">
        <f>(U27-AH29)^2/U27</f>
        <v>8.4155228999898652E-10</v>
      </c>
      <c r="AJ29" s="79">
        <f t="shared" si="4"/>
        <v>1.0000000000000005E-3</v>
      </c>
      <c r="AK29" s="79">
        <f t="shared" si="4"/>
        <v>0.20779486317221901</v>
      </c>
      <c r="AL29" s="79">
        <f t="shared" si="4"/>
        <v>0.79120513682778093</v>
      </c>
      <c r="AM29" s="79">
        <f t="shared" si="4"/>
        <v>1</v>
      </c>
      <c r="AN29" s="70"/>
      <c r="AO29" s="27"/>
      <c r="AP29" s="27"/>
      <c r="AS29" s="188">
        <v>0.20779486317221901</v>
      </c>
      <c r="AT29" s="188">
        <v>1.0000000000000005E-3</v>
      </c>
      <c r="AU29" s="191">
        <f t="shared" si="2"/>
        <v>1.1754472082742802E-3</v>
      </c>
      <c r="AV29" s="80">
        <f t="shared" si="3"/>
        <v>3.0781722891238506E-8</v>
      </c>
      <c r="BA29" s="194">
        <v>0.06</v>
      </c>
      <c r="BB29" s="182">
        <f t="shared" si="1"/>
        <v>0.2593526450228657</v>
      </c>
    </row>
    <row r="30" spans="2:54" x14ac:dyDescent="0.3">
      <c r="B30" s="69"/>
      <c r="C30" s="1"/>
      <c r="D30" s="8"/>
      <c r="E30" s="8"/>
      <c r="F30" s="8"/>
      <c r="G30" s="8"/>
      <c r="H30" s="8"/>
      <c r="I30" s="8"/>
      <c r="J30" s="8"/>
      <c r="K30" s="8"/>
      <c r="L30" s="8"/>
      <c r="M30" s="8"/>
      <c r="N30" s="142"/>
      <c r="O30" s="142"/>
      <c r="P30" s="142"/>
      <c r="Q30" s="8"/>
      <c r="R30" s="8"/>
      <c r="S30" s="8"/>
      <c r="T30" s="8"/>
      <c r="U30" s="8"/>
      <c r="V30" s="8"/>
      <c r="W30" s="8"/>
      <c r="X30" s="8"/>
      <c r="Y30" s="8"/>
      <c r="Z30" s="8"/>
      <c r="AA30" s="8"/>
      <c r="AB30" s="8"/>
      <c r="AC30" s="202" t="s">
        <v>75</v>
      </c>
      <c r="AD30" s="59">
        <f>SUM(AD28:AD29)</f>
        <v>5.1935275922209616</v>
      </c>
      <c r="AE30" s="59">
        <f>SUM(AE28:AE29)</f>
        <v>3.7419561175356399</v>
      </c>
      <c r="AF30" s="59">
        <f>SUM(AF28:AF29)</f>
        <v>21.33184962357673</v>
      </c>
      <c r="AG30" s="59">
        <f>SUM(AG28:AG29)</f>
        <v>30.267333333333333</v>
      </c>
      <c r="AH30" s="59"/>
      <c r="AI30" s="59"/>
      <c r="AJ30" s="79">
        <f t="shared" si="4"/>
        <v>0.17158854184558583</v>
      </c>
      <c r="AK30" s="79">
        <f t="shared" si="4"/>
        <v>0.12363018824042334</v>
      </c>
      <c r="AL30" s="79">
        <f t="shared" si="4"/>
        <v>0.70478126991399082</v>
      </c>
      <c r="AM30" s="79">
        <f t="shared" si="4"/>
        <v>1</v>
      </c>
      <c r="AN30" s="70"/>
      <c r="AS30" s="188">
        <v>3.8999999999999993E-2</v>
      </c>
      <c r="AT30" s="188">
        <v>0.36666943106097999</v>
      </c>
      <c r="AU30" s="191">
        <f t="shared" si="2"/>
        <v>0.37753141108979255</v>
      </c>
      <c r="AV30" s="80">
        <f t="shared" si="3"/>
        <v>1.1798261014632283E-4</v>
      </c>
      <c r="BA30" s="194">
        <v>7.0000000000000007E-2</v>
      </c>
      <c r="BB30" s="182">
        <f t="shared" si="1"/>
        <v>0.21575868863268913</v>
      </c>
    </row>
    <row r="31" spans="2:54" x14ac:dyDescent="0.3">
      <c r="B31" s="69"/>
      <c r="C31" s="1" t="s">
        <v>16</v>
      </c>
      <c r="D31" s="8"/>
      <c r="E31" s="8"/>
      <c r="F31" s="8"/>
      <c r="G31" s="8"/>
      <c r="H31" s="8"/>
      <c r="I31" s="8"/>
      <c r="J31" s="8"/>
      <c r="K31" s="8"/>
      <c r="L31" s="8"/>
      <c r="M31" s="8"/>
      <c r="N31" s="8"/>
      <c r="O31" s="8"/>
      <c r="P31" s="8"/>
      <c r="Q31" s="8"/>
      <c r="R31" s="8"/>
      <c r="S31" s="8"/>
      <c r="T31" s="8"/>
      <c r="U31" s="8"/>
      <c r="V31" s="8"/>
      <c r="W31" s="8"/>
      <c r="X31" s="8"/>
      <c r="Y31" s="8"/>
      <c r="Z31" s="8"/>
      <c r="AA31" s="8"/>
      <c r="AB31" s="8"/>
      <c r="AC31" s="202" t="s">
        <v>76</v>
      </c>
      <c r="AD31" s="59">
        <f>(AD30-AD27)^2/AD27</f>
        <v>1.7151785307157933E-3</v>
      </c>
      <c r="AE31" s="59">
        <f>(AE30-AE27)^2/AE27</f>
        <v>5.2510818602972887E-5</v>
      </c>
      <c r="AF31" s="59">
        <f>(AF30-AF27)^2/AF27</f>
        <v>8.3836408713800479E-4</v>
      </c>
      <c r="AG31" s="59"/>
      <c r="AH31" s="178" t="s">
        <v>74</v>
      </c>
      <c r="AI31" s="59">
        <f>AI28+AI29+AD31+AE31+AF31+AM32+AM33</f>
        <v>2.6060795127581943E-3</v>
      </c>
      <c r="AJ31" s="79"/>
      <c r="AK31" s="184" t="s">
        <v>118</v>
      </c>
      <c r="AL31" s="79">
        <f>ABS(U37-AL28)/U37</f>
        <v>1.5734078255376871E-2</v>
      </c>
      <c r="AM31" s="79"/>
      <c r="AN31" s="70"/>
      <c r="AS31" s="188">
        <v>0.25381870757243263</v>
      </c>
      <c r="AT31" s="188">
        <v>0</v>
      </c>
      <c r="AU31" s="191">
        <f t="shared" si="2"/>
        <v>2.849531299528591E-5</v>
      </c>
      <c r="AV31" s="80">
        <f t="shared" si="3"/>
        <v>8.1198286269931E-10</v>
      </c>
      <c r="BA31" s="194">
        <v>0.08</v>
      </c>
      <c r="BB31" s="182">
        <f t="shared" si="1"/>
        <v>0.17757225806351976</v>
      </c>
    </row>
    <row r="32" spans="2:54" ht="15" thickBot="1" x14ac:dyDescent="0.35">
      <c r="B32" s="69"/>
      <c r="C32" s="1">
        <v>1.5</v>
      </c>
      <c r="D32" s="8"/>
      <c r="E32" s="8"/>
      <c r="F32" s="8"/>
      <c r="G32" s="8"/>
      <c r="H32" s="347" t="s">
        <v>130</v>
      </c>
      <c r="I32" s="347"/>
      <c r="J32" s="347"/>
      <c r="K32" s="8"/>
      <c r="L32" s="8"/>
      <c r="M32" s="8"/>
      <c r="N32" s="8"/>
      <c r="O32" s="8"/>
      <c r="P32" s="8"/>
      <c r="Q32" s="8"/>
      <c r="R32" s="8"/>
      <c r="S32" s="8"/>
      <c r="T32" s="8"/>
      <c r="U32" s="8"/>
      <c r="V32" s="8"/>
      <c r="W32" s="8"/>
      <c r="X32" s="8"/>
      <c r="Y32" s="8"/>
      <c r="Z32" s="8"/>
      <c r="AA32" s="8"/>
      <c r="AB32" s="8"/>
      <c r="AC32" s="205" t="s">
        <v>110</v>
      </c>
      <c r="AD32" s="59">
        <f>ABS((AD27-AD30)/AD27)</f>
        <v>1.833874357273764E-2</v>
      </c>
      <c r="AE32" s="59">
        <f>ABS((AE27-AE30)/AE27)</f>
        <v>3.7390528392865492E-3</v>
      </c>
      <c r="AF32" s="59">
        <f>ABS((AF27-AF30)/AF27)</f>
        <v>6.2494352195689778E-3</v>
      </c>
      <c r="AG32" s="59">
        <f>AVERAGE(AD32:AF32)</f>
        <v>9.4424105438643893E-3</v>
      </c>
      <c r="AH32" s="59"/>
      <c r="AI32" s="59"/>
      <c r="AJ32" s="79"/>
      <c r="AK32" s="184" t="s">
        <v>119</v>
      </c>
      <c r="AL32" s="79">
        <f>ABS(U39-AL29)/U39</f>
        <v>3.5453871055151617E-2</v>
      </c>
      <c r="AM32" s="79"/>
      <c r="AN32" s="70"/>
      <c r="AS32" s="188">
        <v>2.8376517219081163E-2</v>
      </c>
      <c r="AT32" s="188">
        <v>0.46573049098997177</v>
      </c>
      <c r="AU32" s="191">
        <f t="shared" si="2"/>
        <v>0.46212775195162525</v>
      </c>
      <c r="AV32" s="80">
        <f t="shared" si="3"/>
        <v>1.2979728578425966E-5</v>
      </c>
      <c r="BA32" s="194">
        <v>0.09</v>
      </c>
      <c r="BB32" s="182">
        <f t="shared" si="1"/>
        <v>0.1439519405319426</v>
      </c>
    </row>
    <row r="33" spans="2:54" x14ac:dyDescent="0.3">
      <c r="B33" s="69"/>
      <c r="C33" s="9" t="s">
        <v>4</v>
      </c>
      <c r="D33" s="106" t="s">
        <v>14</v>
      </c>
      <c r="E33" s="106" t="s">
        <v>17</v>
      </c>
      <c r="F33" s="106" t="s">
        <v>15</v>
      </c>
      <c r="G33" s="8"/>
      <c r="H33" s="106" t="s">
        <v>54</v>
      </c>
      <c r="I33" s="106" t="s">
        <v>55</v>
      </c>
      <c r="J33" s="106" t="s">
        <v>56</v>
      </c>
      <c r="K33" s="106" t="s">
        <v>12</v>
      </c>
      <c r="L33" s="106" t="s">
        <v>48</v>
      </c>
      <c r="M33" s="106" t="s">
        <v>49</v>
      </c>
      <c r="N33" s="106" t="s">
        <v>50</v>
      </c>
      <c r="O33" s="106" t="s">
        <v>12</v>
      </c>
      <c r="P33" s="8"/>
      <c r="Q33" s="147"/>
      <c r="R33" s="147"/>
      <c r="S33" s="8"/>
      <c r="T33" s="8"/>
      <c r="U33" s="8"/>
      <c r="V33" s="8"/>
      <c r="W33" s="8"/>
      <c r="X33" s="8"/>
      <c r="Y33" s="8"/>
      <c r="Z33" s="8"/>
      <c r="AA33" s="8"/>
      <c r="AB33" s="8"/>
      <c r="AC33" s="8"/>
      <c r="AD33" s="8"/>
      <c r="AE33" s="8"/>
      <c r="AF33" s="8"/>
      <c r="AG33" s="8"/>
      <c r="AH33" s="8"/>
      <c r="AI33" s="8"/>
      <c r="AJ33" s="11"/>
      <c r="AK33" s="11"/>
      <c r="AL33" s="24"/>
      <c r="AM33" s="11"/>
      <c r="AN33" s="70"/>
      <c r="AS33" s="188">
        <v>0.3341404588406135</v>
      </c>
      <c r="AT33" s="188">
        <v>0</v>
      </c>
      <c r="AU33" s="191">
        <f t="shared" si="2"/>
        <v>1.0950714025977496E-9</v>
      </c>
      <c r="AV33" s="80">
        <f t="shared" si="3"/>
        <v>1.1991813767874026E-18</v>
      </c>
      <c r="BA33" s="194">
        <v>0.1</v>
      </c>
      <c r="BB33" s="182">
        <f t="shared" si="1"/>
        <v>0.11449566444748553</v>
      </c>
    </row>
    <row r="34" spans="2:54" x14ac:dyDescent="0.3">
      <c r="B34" s="69"/>
      <c r="C34" s="9" t="s">
        <v>7</v>
      </c>
      <c r="D34" s="4">
        <v>0.53749999999999998</v>
      </c>
      <c r="E34" s="4">
        <f>D34+1.5</f>
        <v>2.0375000000000001</v>
      </c>
      <c r="F34" s="4">
        <v>1.3464</v>
      </c>
      <c r="G34" s="8"/>
      <c r="H34" s="4">
        <f>1.333</f>
        <v>1.333</v>
      </c>
      <c r="I34" s="4">
        <f>I36*0.1368</f>
        <v>8.4951423207413525E-3</v>
      </c>
      <c r="J34" s="4">
        <f>J36*0.16</f>
        <v>5.3048576792707148E-3</v>
      </c>
      <c r="K34" s="4">
        <f>SUM(H34:J34)</f>
        <v>1.346800000000012</v>
      </c>
      <c r="L34" s="4">
        <v>0.63923239437929413</v>
      </c>
      <c r="M34" s="4">
        <f>I36*(E37/D37)</f>
        <v>0.23519455296130934</v>
      </c>
      <c r="N34" s="4">
        <f>J36*(E37/D37)</f>
        <v>0.12557305265939692</v>
      </c>
      <c r="O34" s="4">
        <f>SUM(L34:N34)</f>
        <v>1.0000000000000004</v>
      </c>
      <c r="P34" s="8"/>
      <c r="Q34" s="106"/>
      <c r="R34" s="106"/>
      <c r="S34" s="106" t="s">
        <v>58</v>
      </c>
      <c r="T34" s="106" t="s">
        <v>10</v>
      </c>
      <c r="U34" s="106" t="s">
        <v>59</v>
      </c>
      <c r="V34" s="8"/>
      <c r="W34" s="373" t="s">
        <v>57</v>
      </c>
      <c r="X34" s="374"/>
      <c r="Y34" s="374"/>
      <c r="Z34" s="374"/>
      <c r="AA34" s="375"/>
      <c r="AB34" s="145"/>
      <c r="AC34" s="145"/>
      <c r="AD34" s="8"/>
      <c r="AE34" s="8"/>
      <c r="AF34" s="8"/>
      <c r="AG34" s="8"/>
      <c r="AH34" s="8"/>
      <c r="AI34" s="8"/>
      <c r="AJ34" s="11"/>
      <c r="AK34" s="11"/>
      <c r="AL34" s="11"/>
      <c r="AM34" s="11"/>
      <c r="AN34" s="70"/>
      <c r="AS34" s="385" t="s">
        <v>137</v>
      </c>
      <c r="AT34" s="385"/>
      <c r="AU34" s="385"/>
      <c r="AV34" s="80">
        <f>SUM(AV26:AV33)</f>
        <v>2.6411139174678858E-4</v>
      </c>
      <c r="AW34" s="60" t="s">
        <v>74</v>
      </c>
      <c r="BA34" s="194">
        <v>0.11</v>
      </c>
      <c r="BB34" s="182">
        <f t="shared" si="1"/>
        <v>8.9023778729171027E-2</v>
      </c>
    </row>
    <row r="35" spans="2:54" x14ac:dyDescent="0.3">
      <c r="B35" s="69"/>
      <c r="C35" s="9" t="s">
        <v>8</v>
      </c>
      <c r="D35" s="4">
        <v>0.53890000000000005</v>
      </c>
      <c r="E35" s="4">
        <f>D35+1.5</f>
        <v>2.0388999999999999</v>
      </c>
      <c r="F35" s="63">
        <v>1.3463000000000001</v>
      </c>
      <c r="G35" s="64"/>
      <c r="H35" s="106" t="s">
        <v>48</v>
      </c>
      <c r="I35" s="106" t="s">
        <v>49</v>
      </c>
      <c r="J35" s="106" t="s">
        <v>50</v>
      </c>
      <c r="K35" s="106" t="s">
        <v>12</v>
      </c>
      <c r="L35" s="4"/>
      <c r="M35" s="4"/>
      <c r="N35" s="4"/>
      <c r="O35" s="4"/>
      <c r="P35" s="8"/>
      <c r="Q35" s="372" t="s">
        <v>6</v>
      </c>
      <c r="R35" s="106" t="s">
        <v>13</v>
      </c>
      <c r="S35" s="139">
        <f>O29</f>
        <v>0.12387045709385927</v>
      </c>
      <c r="T35" s="139">
        <f>N29</f>
        <v>0.16819471011147022</v>
      </c>
      <c r="U35" s="139">
        <f>P29</f>
        <v>0.70793483279467051</v>
      </c>
      <c r="V35" s="8"/>
      <c r="W35" s="106"/>
      <c r="X35" s="106" t="s">
        <v>0</v>
      </c>
      <c r="Y35" s="106" t="s">
        <v>52</v>
      </c>
      <c r="Z35" s="106" t="s">
        <v>20</v>
      </c>
      <c r="AA35" s="106" t="s">
        <v>12</v>
      </c>
      <c r="AB35" s="8"/>
      <c r="AC35" s="8"/>
      <c r="AD35" s="8"/>
      <c r="AE35" s="8"/>
      <c r="AF35" s="8"/>
      <c r="AG35" s="8"/>
      <c r="AH35" s="8"/>
      <c r="AI35" s="8"/>
      <c r="AJ35" s="11"/>
      <c r="AK35" s="11"/>
      <c r="AL35" s="11"/>
      <c r="AM35" s="11"/>
      <c r="AN35" s="70"/>
      <c r="AS35" s="35" t="s">
        <v>81</v>
      </c>
      <c r="AT35" s="35" t="s">
        <v>82</v>
      </c>
      <c r="AU35" s="35" t="s">
        <v>83</v>
      </c>
      <c r="BA35" s="194">
        <v>0.12</v>
      </c>
      <c r="BB35" s="182">
        <f t="shared" si="1"/>
        <v>6.7432495359653885E-2</v>
      </c>
    </row>
    <row r="36" spans="2:54" x14ac:dyDescent="0.3">
      <c r="B36" s="69"/>
      <c r="C36" s="9" t="s">
        <v>9</v>
      </c>
      <c r="D36" s="4">
        <v>0.53800000000000003</v>
      </c>
      <c r="E36" s="4">
        <f>D36+1.5</f>
        <v>2.0380000000000003</v>
      </c>
      <c r="F36" s="4">
        <v>1.3476999999999999</v>
      </c>
      <c r="G36" s="8"/>
      <c r="H36" s="4">
        <f>(L34*D37+1.5)/E37</f>
        <v>0.90474564593188733</v>
      </c>
      <c r="I36" s="4">
        <v>6.2098993572670701E-2</v>
      </c>
      <c r="J36" s="4">
        <f>1-H36-I36</f>
        <v>3.3155360495441967E-2</v>
      </c>
      <c r="K36" s="4">
        <f>SUM(H36:J36)</f>
        <v>1</v>
      </c>
      <c r="L36" s="4"/>
      <c r="M36" s="4"/>
      <c r="N36" s="4"/>
      <c r="O36" s="4"/>
      <c r="P36" s="8"/>
      <c r="Q36" s="372"/>
      <c r="R36" s="106" t="s">
        <v>3</v>
      </c>
      <c r="S36" s="139"/>
      <c r="T36" s="139"/>
      <c r="U36" s="139"/>
      <c r="V36" s="8"/>
      <c r="W36" s="106" t="s">
        <v>6</v>
      </c>
      <c r="X36" s="59">
        <f>D29</f>
        <v>5.0999999999999996</v>
      </c>
      <c r="Y36" s="59">
        <f>E29</f>
        <v>3.7560000000000002</v>
      </c>
      <c r="Z36" s="59">
        <f>F29</f>
        <v>21.465999999999998</v>
      </c>
      <c r="AA36" s="59">
        <f>SUM(X36:Z36)</f>
        <v>30.321999999999996</v>
      </c>
      <c r="AB36" s="8"/>
      <c r="AC36" s="8"/>
      <c r="AD36" s="8"/>
      <c r="AE36" s="8"/>
      <c r="AF36" s="8"/>
      <c r="AG36" s="8"/>
      <c r="AH36" s="8"/>
      <c r="AI36" s="8"/>
      <c r="AJ36" s="11"/>
      <c r="AK36" s="11"/>
      <c r="AL36" s="11"/>
      <c r="AM36" s="11"/>
      <c r="AN36" s="70"/>
      <c r="AS36" s="200">
        <v>1.3688572956136598</v>
      </c>
      <c r="AT36" s="200">
        <v>6.3834959960655571</v>
      </c>
      <c r="AU36" s="200">
        <v>462.55594457877521</v>
      </c>
      <c r="BA36" s="194">
        <v>0.13</v>
      </c>
      <c r="BB36" s="182">
        <f t="shared" si="1"/>
        <v>4.9595195131468837E-2</v>
      </c>
    </row>
    <row r="37" spans="2:54" x14ac:dyDescent="0.3">
      <c r="B37" s="69"/>
      <c r="C37" s="9" t="s">
        <v>13</v>
      </c>
      <c r="D37" s="4">
        <f>AVERAGE(D34:D36)</f>
        <v>0.53813333333333335</v>
      </c>
      <c r="E37" s="4">
        <f>D37+1.5</f>
        <v>2.0381333333333336</v>
      </c>
      <c r="F37" s="4">
        <f>AVERAGE(F34:F36)</f>
        <v>1.3468</v>
      </c>
      <c r="G37" s="8"/>
      <c r="H37" s="8"/>
      <c r="I37" s="8"/>
      <c r="J37" s="8"/>
      <c r="K37" s="8"/>
      <c r="L37" s="8"/>
      <c r="M37" s="8"/>
      <c r="N37" s="8"/>
      <c r="O37" s="8"/>
      <c r="P37" s="8"/>
      <c r="Q37" s="372" t="s">
        <v>4</v>
      </c>
      <c r="R37" s="106" t="s">
        <v>13</v>
      </c>
      <c r="S37" s="146">
        <f>N34</f>
        <v>0.12557305265939692</v>
      </c>
      <c r="T37" s="146">
        <f>M34</f>
        <v>0.23519455296130934</v>
      </c>
      <c r="U37" s="146">
        <f>L34</f>
        <v>0.63923239437929413</v>
      </c>
      <c r="V37" s="8"/>
      <c r="W37" s="106" t="s">
        <v>4</v>
      </c>
      <c r="X37" s="59">
        <f>T37*$U$19</f>
        <v>4.3341652219710083</v>
      </c>
      <c r="Y37" s="59">
        <f>S37*U43</f>
        <v>2.0272513621333039</v>
      </c>
      <c r="Z37" s="59">
        <f>U43*U37</f>
        <v>10.319767774859326</v>
      </c>
      <c r="AA37" s="59">
        <f>SUM(X37:Z37)</f>
        <v>16.681184358963637</v>
      </c>
      <c r="AB37" s="8"/>
      <c r="AC37" s="8"/>
      <c r="AD37" s="8"/>
      <c r="AE37" s="8"/>
      <c r="AF37" s="8"/>
      <c r="AG37" s="8"/>
      <c r="AH37" s="8"/>
      <c r="AI37" s="8"/>
      <c r="AJ37" s="11"/>
      <c r="AK37" s="11"/>
      <c r="AL37" s="11"/>
      <c r="AM37" s="11"/>
      <c r="AN37" s="70"/>
      <c r="AS37" s="26"/>
      <c r="AT37" s="26"/>
      <c r="AU37" s="26"/>
      <c r="BA37" s="194">
        <v>0.14000000000000001</v>
      </c>
      <c r="BB37" s="182">
        <f t="shared" si="1"/>
        <v>3.5303869424107487E-2</v>
      </c>
    </row>
    <row r="38" spans="2:54" x14ac:dyDescent="0.3">
      <c r="B38" s="69"/>
      <c r="C38" s="36" t="s">
        <v>3</v>
      </c>
      <c r="D38" s="88">
        <f>_xlfn.STDEV.S(D34:D36)</f>
        <v>7.0945988845979018E-4</v>
      </c>
      <c r="E38" s="88">
        <f>_xlfn.STDEV.S(E34:E36)</f>
        <v>7.0945988845965975E-4</v>
      </c>
      <c r="F38" s="88">
        <f>_xlfn.STDEV.S(F34:F36)</f>
        <v>7.8102496759057945E-4</v>
      </c>
      <c r="G38" s="8"/>
      <c r="H38" s="8"/>
      <c r="I38" s="8"/>
      <c r="J38" s="8"/>
      <c r="K38" s="8"/>
      <c r="L38" s="8"/>
      <c r="M38" s="8"/>
      <c r="N38" s="8"/>
      <c r="O38" s="8"/>
      <c r="P38" s="8"/>
      <c r="Q38" s="372"/>
      <c r="R38" s="106" t="s">
        <v>3</v>
      </c>
      <c r="S38" s="139"/>
      <c r="T38" s="139"/>
      <c r="U38" s="139"/>
      <c r="V38" s="8"/>
      <c r="W38" s="106" t="s">
        <v>5</v>
      </c>
      <c r="X38" s="59">
        <f>X36-X37</f>
        <v>0.76583477802899136</v>
      </c>
      <c r="Y38" s="59">
        <f>Y36-Y37</f>
        <v>1.7287486378666963</v>
      </c>
      <c r="Z38" s="59">
        <f>Z36-Z37</f>
        <v>11.146232225140672</v>
      </c>
      <c r="AA38" s="59">
        <f>SUM(X38:Z38)</f>
        <v>13.64081564103636</v>
      </c>
      <c r="AB38" s="8"/>
      <c r="AC38" s="8"/>
      <c r="AD38" s="8"/>
      <c r="AE38" s="8"/>
      <c r="AF38" s="8"/>
      <c r="AG38" s="8"/>
      <c r="AH38" s="8"/>
      <c r="AI38" s="8"/>
      <c r="AJ38" s="11"/>
      <c r="AK38" s="11"/>
      <c r="AL38" s="11"/>
      <c r="AM38" s="11"/>
      <c r="AN38" s="70"/>
      <c r="BA38" s="194">
        <v>0.15</v>
      </c>
      <c r="BB38" s="182">
        <f t="shared" si="1"/>
        <v>2.4246878772669549E-2</v>
      </c>
    </row>
    <row r="39" spans="2:54" x14ac:dyDescent="0.3">
      <c r="B39" s="69"/>
      <c r="C39" s="87"/>
      <c r="D39" s="89"/>
      <c r="E39" s="89"/>
      <c r="F39" s="89"/>
      <c r="G39" s="8"/>
      <c r="H39" s="8"/>
      <c r="I39" s="8"/>
      <c r="J39" s="8"/>
      <c r="K39" s="8"/>
      <c r="L39" s="8"/>
      <c r="M39" s="8"/>
      <c r="N39" s="8"/>
      <c r="O39" s="8"/>
      <c r="P39" s="8"/>
      <c r="Q39" s="372" t="s">
        <v>5</v>
      </c>
      <c r="R39" s="106" t="s">
        <v>13</v>
      </c>
      <c r="S39" s="139">
        <f>N42</f>
        <v>5.8556072584136802E-2</v>
      </c>
      <c r="T39" s="139">
        <f>M42</f>
        <v>0.17732960137493167</v>
      </c>
      <c r="U39" s="139">
        <f>L42</f>
        <v>0.76411432604093166</v>
      </c>
      <c r="V39" s="8"/>
      <c r="W39" s="106" t="s">
        <v>62</v>
      </c>
      <c r="X39" s="59">
        <f>SUM(X37:X38)</f>
        <v>5.0999999999999996</v>
      </c>
      <c r="Y39" s="59">
        <f>SUM(Y37:Y38)</f>
        <v>3.7560000000000002</v>
      </c>
      <c r="Z39" s="59">
        <f>SUM(Z37:Z38)</f>
        <v>21.465999999999998</v>
      </c>
      <c r="AA39" s="59">
        <f>SUM(X39:Z39)</f>
        <v>30.321999999999996</v>
      </c>
      <c r="AB39" s="8"/>
      <c r="AC39" s="8"/>
      <c r="AD39" s="8"/>
      <c r="AE39" s="8"/>
      <c r="AF39" s="8"/>
      <c r="AG39" s="8"/>
      <c r="AH39" s="8"/>
      <c r="AI39" s="8"/>
      <c r="AJ39" s="11"/>
      <c r="AK39" s="11"/>
      <c r="AL39" s="11"/>
      <c r="AM39" s="11"/>
      <c r="AN39" s="70"/>
      <c r="BA39" s="194">
        <v>0.16</v>
      </c>
      <c r="BB39" s="182">
        <f t="shared" si="1"/>
        <v>1.6017854920178008E-2</v>
      </c>
    </row>
    <row r="40" spans="2:54" x14ac:dyDescent="0.3">
      <c r="B40" s="69"/>
      <c r="C40" s="21"/>
      <c r="D40" s="147"/>
      <c r="E40" s="147"/>
      <c r="F40" s="147"/>
      <c r="G40" s="8"/>
      <c r="H40" s="347" t="s">
        <v>131</v>
      </c>
      <c r="I40" s="347"/>
      <c r="J40" s="347"/>
      <c r="K40" s="8"/>
      <c r="L40" s="8"/>
      <c r="M40" s="8"/>
      <c r="N40" s="8"/>
      <c r="O40" s="8"/>
      <c r="P40" s="8"/>
      <c r="Q40" s="372"/>
      <c r="R40" s="106" t="s">
        <v>3</v>
      </c>
      <c r="S40" s="139"/>
      <c r="T40" s="139"/>
      <c r="U40" s="146"/>
      <c r="V40" s="8"/>
      <c r="W40" s="8"/>
      <c r="X40" s="8"/>
      <c r="Y40" s="8"/>
      <c r="Z40" s="8"/>
      <c r="AA40" s="8"/>
      <c r="AB40" s="8"/>
      <c r="AC40" s="8"/>
      <c r="AD40" s="8"/>
      <c r="AE40" s="8"/>
      <c r="AF40" s="8"/>
      <c r="AG40" s="8"/>
      <c r="AH40" s="8"/>
      <c r="AI40" s="8"/>
      <c r="AJ40" s="11"/>
      <c r="AK40" s="11"/>
      <c r="AL40" s="11"/>
      <c r="AM40" s="11"/>
      <c r="AN40" s="70"/>
      <c r="BA40" s="194">
        <v>0.17</v>
      </c>
      <c r="BB40" s="182">
        <f t="shared" si="1"/>
        <v>1.0147337938483309E-2</v>
      </c>
    </row>
    <row r="41" spans="2:54" x14ac:dyDescent="0.3">
      <c r="B41" s="69"/>
      <c r="C41" s="35" t="s">
        <v>5</v>
      </c>
      <c r="D41" s="206" t="s">
        <v>14</v>
      </c>
      <c r="E41" s="206" t="s">
        <v>17</v>
      </c>
      <c r="F41" s="206" t="s">
        <v>15</v>
      </c>
      <c r="G41" s="8"/>
      <c r="H41" s="106" t="s">
        <v>54</v>
      </c>
      <c r="I41" s="106" t="s">
        <v>55</v>
      </c>
      <c r="J41" s="106" t="s">
        <v>56</v>
      </c>
      <c r="K41" s="106" t="s">
        <v>12</v>
      </c>
      <c r="L41" s="106" t="s">
        <v>48</v>
      </c>
      <c r="M41" s="106" t="s">
        <v>49</v>
      </c>
      <c r="N41" s="106" t="s">
        <v>50</v>
      </c>
      <c r="O41" s="106" t="s">
        <v>12</v>
      </c>
      <c r="P41" s="8"/>
      <c r="Q41" s="8"/>
      <c r="R41" s="8"/>
      <c r="S41" s="8"/>
      <c r="T41" s="8"/>
      <c r="U41" s="8"/>
      <c r="V41" s="8"/>
      <c r="W41" s="8"/>
      <c r="X41" s="8"/>
      <c r="Y41" s="8"/>
      <c r="Z41" s="8"/>
      <c r="AA41" s="8"/>
      <c r="AB41" s="8"/>
      <c r="AC41" s="8"/>
      <c r="AD41" s="8"/>
      <c r="AE41" s="8"/>
      <c r="AF41" s="8"/>
      <c r="AG41" s="8"/>
      <c r="AH41" s="8"/>
      <c r="AI41" s="8"/>
      <c r="AJ41" s="11"/>
      <c r="AK41" s="11"/>
      <c r="AL41" s="11"/>
      <c r="AM41" s="11"/>
      <c r="AN41" s="70"/>
      <c r="BA41" s="194">
        <v>0.18</v>
      </c>
      <c r="BB41" s="182">
        <f t="shared" si="1"/>
        <v>6.1460974984168968E-3</v>
      </c>
    </row>
    <row r="42" spans="2:54" x14ac:dyDescent="0.3">
      <c r="B42" s="69"/>
      <c r="C42" s="9" t="s">
        <v>7</v>
      </c>
      <c r="D42" s="4">
        <v>0.56310000000000004</v>
      </c>
      <c r="E42" s="4">
        <f>D42+1.5</f>
        <v>2.0630999999999999</v>
      </c>
      <c r="F42" s="4">
        <v>1.3421000000000001</v>
      </c>
      <c r="G42" s="8"/>
      <c r="H42" s="4">
        <f>1.333</f>
        <v>1.333</v>
      </c>
      <c r="I42" s="4">
        <f>I44*0.1368</f>
        <v>6.6367964923032289E-3</v>
      </c>
      <c r="J42" s="4">
        <f>J44*0.16</f>
        <v>2.5632035078606585E-3</v>
      </c>
      <c r="K42" s="4">
        <f>SUM(H42:J42)</f>
        <v>1.3422000000001639</v>
      </c>
      <c r="L42" s="4">
        <v>0.76411432604093166</v>
      </c>
      <c r="M42" s="4">
        <f>I44*(E45/D45)</f>
        <v>0.17732960137493167</v>
      </c>
      <c r="N42" s="4">
        <f>J44*(E45/D45)</f>
        <v>5.8556072584136802E-2</v>
      </c>
      <c r="O42" s="4">
        <f>SUM(L42:N42)</f>
        <v>1.0000000000000002</v>
      </c>
      <c r="P42" s="8"/>
      <c r="Q42" s="106"/>
      <c r="R42" s="106"/>
      <c r="S42" s="106" t="s">
        <v>23</v>
      </c>
      <c r="T42" s="106" t="s">
        <v>60</v>
      </c>
      <c r="U42" s="106" t="s">
        <v>61</v>
      </c>
      <c r="V42" s="8"/>
      <c r="W42" s="8"/>
      <c r="X42" s="8"/>
      <c r="Y42" s="8"/>
      <c r="Z42" s="8"/>
      <c r="AA42" s="8"/>
      <c r="AB42" s="8"/>
      <c r="AC42" s="8"/>
      <c r="AD42" s="8"/>
      <c r="AE42" s="8"/>
      <c r="AF42" s="8"/>
      <c r="AG42" s="8"/>
      <c r="AH42" s="8"/>
      <c r="AI42" s="8"/>
      <c r="AJ42" s="11"/>
      <c r="AK42" s="11"/>
      <c r="AL42" s="11"/>
      <c r="AM42" s="11"/>
      <c r="AN42" s="70"/>
      <c r="BA42" s="194">
        <v>0.19</v>
      </c>
      <c r="BB42" s="182">
        <f t="shared" si="1"/>
        <v>3.5486205864611931E-3</v>
      </c>
    </row>
    <row r="43" spans="2:54" x14ac:dyDescent="0.3">
      <c r="B43" s="69"/>
      <c r="C43" s="9" t="s">
        <v>8</v>
      </c>
      <c r="D43" s="4">
        <v>0.56589999999999996</v>
      </c>
      <c r="E43" s="4">
        <f>D43+1.5</f>
        <v>2.0659000000000001</v>
      </c>
      <c r="F43" s="4">
        <v>1.3422000000000001</v>
      </c>
      <c r="G43" s="8"/>
      <c r="H43" s="106" t="s">
        <v>48</v>
      </c>
      <c r="I43" s="106" t="s">
        <v>49</v>
      </c>
      <c r="J43" s="106" t="s">
        <v>50</v>
      </c>
      <c r="K43" s="106" t="s">
        <v>12</v>
      </c>
      <c r="L43" s="4"/>
      <c r="M43" s="4"/>
      <c r="N43" s="4"/>
      <c r="O43" s="4"/>
      <c r="P43" s="8"/>
      <c r="Q43" s="372" t="s">
        <v>4</v>
      </c>
      <c r="R43" s="106" t="s">
        <v>13</v>
      </c>
      <c r="S43" s="4">
        <f>AVERAGE(D34:D36)*2</f>
        <v>1.0762666666666667</v>
      </c>
      <c r="T43" s="4">
        <v>15</v>
      </c>
      <c r="U43" s="4">
        <f>S43*T43</f>
        <v>16.144000000000002</v>
      </c>
      <c r="V43" s="8"/>
      <c r="W43" s="8"/>
      <c r="X43" s="8"/>
      <c r="Y43" s="8"/>
      <c r="Z43" s="8"/>
      <c r="AA43" s="8"/>
      <c r="AB43" s="8"/>
      <c r="AC43" s="8"/>
      <c r="AD43" s="8"/>
      <c r="AE43" s="8"/>
      <c r="AF43" s="8"/>
      <c r="AG43" s="8"/>
      <c r="AH43" s="8"/>
      <c r="AI43" s="8"/>
      <c r="AJ43" s="11"/>
      <c r="AK43" s="11"/>
      <c r="AL43" s="11"/>
      <c r="AM43" s="11"/>
      <c r="AN43" s="70"/>
      <c r="BA43" s="194">
        <v>0.2</v>
      </c>
      <c r="BB43" s="182">
        <f t="shared" si="1"/>
        <v>1.9474052142272732E-3</v>
      </c>
    </row>
    <row r="44" spans="2:54" x14ac:dyDescent="0.3">
      <c r="B44" s="69"/>
      <c r="C44" s="9" t="s">
        <v>9</v>
      </c>
      <c r="D44" s="4">
        <v>0.56579999999999997</v>
      </c>
      <c r="E44" s="4">
        <f>D44+1.5</f>
        <v>2.0657999999999999</v>
      </c>
      <c r="F44" s="4">
        <v>1.3422000000000001</v>
      </c>
      <c r="G44" s="8"/>
      <c r="H44" s="4">
        <f>(L42*D45+1.5)/E45</f>
        <v>0.93546538383388822</v>
      </c>
      <c r="I44" s="4">
        <v>4.8514594241982664E-2</v>
      </c>
      <c r="J44" s="4">
        <f>1-H44-I44</f>
        <v>1.6020021924129116E-2</v>
      </c>
      <c r="K44" s="4">
        <f>SUM(H44:J44)</f>
        <v>1</v>
      </c>
      <c r="L44" s="4"/>
      <c r="M44" s="4"/>
      <c r="N44" s="4"/>
      <c r="O44" s="4"/>
      <c r="P44" s="8"/>
      <c r="Q44" s="372"/>
      <c r="R44" s="106" t="s">
        <v>3</v>
      </c>
      <c r="S44" s="4">
        <f>D38*2</f>
        <v>1.4189197769195804E-3</v>
      </c>
      <c r="T44" s="4"/>
      <c r="U44" s="4"/>
      <c r="V44" s="8"/>
      <c r="W44" s="8"/>
      <c r="X44" s="8"/>
      <c r="Y44" s="8"/>
      <c r="Z44" s="8"/>
      <c r="AA44" s="8"/>
      <c r="AB44" s="8"/>
      <c r="AC44" s="8"/>
      <c r="AD44" s="8"/>
      <c r="AE44" s="8"/>
      <c r="AF44" s="8"/>
      <c r="AG44" s="8"/>
      <c r="AH44" s="8"/>
      <c r="AI44" s="8"/>
      <c r="AJ44" s="11"/>
      <c r="AK44" s="11"/>
      <c r="AL44" s="11"/>
      <c r="AM44" s="11"/>
      <c r="AN44" s="70"/>
      <c r="BA44" s="194">
        <v>0.21</v>
      </c>
      <c r="BB44" s="182">
        <f t="shared" si="1"/>
        <v>1.0127968044066741E-3</v>
      </c>
    </row>
    <row r="45" spans="2:54" x14ac:dyDescent="0.3">
      <c r="B45" s="69"/>
      <c r="C45" s="9" t="s">
        <v>13</v>
      </c>
      <c r="D45" s="4">
        <f>AVERAGE(D42:D44)</f>
        <v>0.56493333333333329</v>
      </c>
      <c r="E45" s="4">
        <f>D45+1.5</f>
        <v>2.0649333333333333</v>
      </c>
      <c r="F45" s="4">
        <f>AVERAGE(F42:F44)</f>
        <v>1.3421666666666667</v>
      </c>
      <c r="G45" s="8"/>
      <c r="H45" s="8"/>
      <c r="I45" s="8"/>
      <c r="J45" s="8"/>
      <c r="K45" s="8"/>
      <c r="L45" s="8"/>
      <c r="M45" s="8"/>
      <c r="N45" s="8"/>
      <c r="O45" s="8"/>
      <c r="P45" s="8"/>
      <c r="Q45" s="372" t="s">
        <v>5</v>
      </c>
      <c r="R45" s="106" t="s">
        <v>13</v>
      </c>
      <c r="S45" s="4">
        <f>AVERAGE(D42:D44)*2</f>
        <v>1.1298666666666666</v>
      </c>
      <c r="T45" s="4">
        <v>12.5</v>
      </c>
      <c r="U45" s="4">
        <f>S45*T45</f>
        <v>14.123333333333331</v>
      </c>
      <c r="V45" s="8"/>
      <c r="W45" s="8"/>
      <c r="X45" s="8"/>
      <c r="Y45" s="8"/>
      <c r="Z45" s="8"/>
      <c r="AA45" s="8"/>
      <c r="AB45" s="8"/>
      <c r="AC45" s="8"/>
      <c r="AD45" s="8"/>
      <c r="AE45" s="8"/>
      <c r="AF45" s="8"/>
      <c r="AG45" s="8"/>
      <c r="AH45" s="8"/>
      <c r="AI45" s="8"/>
      <c r="AJ45" s="11"/>
      <c r="AK45" s="11"/>
      <c r="AL45" s="11"/>
      <c r="AM45" s="11"/>
      <c r="AN45" s="70"/>
      <c r="BA45" s="194">
        <v>0.22</v>
      </c>
      <c r="BB45" s="182">
        <f t="shared" si="1"/>
        <v>4.9773416974772781E-4</v>
      </c>
    </row>
    <row r="46" spans="2:54" x14ac:dyDescent="0.3">
      <c r="B46" s="69"/>
      <c r="C46" s="9" t="s">
        <v>3</v>
      </c>
      <c r="D46" s="4">
        <f>_xlfn.STDEV.S(D42:D44)</f>
        <v>1.5885003409924672E-3</v>
      </c>
      <c r="E46" s="4">
        <f>_xlfn.STDEV.S(E42:E44)</f>
        <v>1.5885003409925348E-3</v>
      </c>
      <c r="F46" s="4">
        <f>_xlfn.STDEV.S(F42:F44)</f>
        <v>5.7735026918956222E-5</v>
      </c>
      <c r="G46" s="8"/>
      <c r="H46" s="8"/>
      <c r="I46" s="8"/>
      <c r="J46" s="8"/>
      <c r="K46" s="8"/>
      <c r="L46" s="8"/>
      <c r="M46" s="8"/>
      <c r="N46" s="8"/>
      <c r="O46" s="8"/>
      <c r="P46" s="8"/>
      <c r="Q46" s="372"/>
      <c r="R46" s="106" t="s">
        <v>3</v>
      </c>
      <c r="S46" s="4">
        <f>D46*2</f>
        <v>3.1770006819849344E-3</v>
      </c>
      <c r="T46" s="4"/>
      <c r="U46" s="4"/>
      <c r="V46" s="8"/>
      <c r="W46" s="8"/>
      <c r="X46" s="8"/>
      <c r="Y46" s="8"/>
      <c r="Z46" s="8"/>
      <c r="AA46" s="8"/>
      <c r="AB46" s="8"/>
      <c r="AC46" s="8"/>
      <c r="AD46" s="8"/>
      <c r="AE46" s="8"/>
      <c r="AF46" s="8"/>
      <c r="AG46" s="8"/>
      <c r="AH46" s="8"/>
      <c r="AI46" s="8"/>
      <c r="AJ46" s="11"/>
      <c r="AK46" s="11"/>
      <c r="AL46" s="11"/>
      <c r="AM46" s="11"/>
      <c r="AN46" s="70"/>
      <c r="BA46" s="194">
        <v>0.23</v>
      </c>
      <c r="BB46" s="182">
        <f t="shared" si="1"/>
        <v>2.3047710929433333E-4</v>
      </c>
    </row>
    <row r="47" spans="2:54" ht="15" thickBot="1" x14ac:dyDescent="0.35">
      <c r="B47" s="71"/>
      <c r="C47" s="16"/>
      <c r="D47" s="73"/>
      <c r="E47" s="73"/>
      <c r="F47" s="73"/>
      <c r="G47" s="73"/>
      <c r="H47" s="73"/>
      <c r="I47" s="73"/>
      <c r="J47" s="73"/>
      <c r="K47" s="73"/>
      <c r="L47" s="73"/>
      <c r="M47" s="73"/>
      <c r="N47" s="73"/>
      <c r="O47" s="73"/>
      <c r="P47" s="73"/>
      <c r="Q47" s="149"/>
      <c r="R47" s="73"/>
      <c r="S47" s="73"/>
      <c r="T47" s="73"/>
      <c r="U47" s="73"/>
      <c r="V47" s="73"/>
      <c r="W47" s="73"/>
      <c r="X47" s="73"/>
      <c r="Y47" s="73"/>
      <c r="Z47" s="73"/>
      <c r="AA47" s="73"/>
      <c r="AB47" s="73"/>
      <c r="AC47" s="73"/>
      <c r="AD47" s="73"/>
      <c r="AE47" s="73"/>
      <c r="AF47" s="73"/>
      <c r="AG47" s="73"/>
      <c r="AH47" s="73"/>
      <c r="AI47" s="73"/>
      <c r="AJ47" s="164"/>
      <c r="AK47" s="164"/>
      <c r="AL47" s="164"/>
      <c r="AM47" s="164"/>
      <c r="AN47" s="72"/>
      <c r="BA47" s="194">
        <v>0.24</v>
      </c>
      <c r="BB47" s="182">
        <f t="shared" si="1"/>
        <v>1.0026853010062829E-4</v>
      </c>
    </row>
    <row r="48" spans="2:54" ht="15" thickBot="1" x14ac:dyDescent="0.35">
      <c r="B48" s="65"/>
      <c r="C48" s="66"/>
      <c r="D48" s="67"/>
      <c r="E48" s="67"/>
      <c r="F48" s="67"/>
      <c r="G48" s="67"/>
      <c r="H48" s="67"/>
      <c r="I48" s="67"/>
      <c r="J48" s="67"/>
      <c r="K48" s="67"/>
      <c r="L48" s="67"/>
      <c r="M48" s="67"/>
      <c r="N48" s="67"/>
      <c r="O48" s="67"/>
      <c r="P48" s="67"/>
      <c r="Q48" s="151"/>
      <c r="R48" s="67"/>
      <c r="S48" s="67"/>
      <c r="T48" s="67"/>
      <c r="U48" s="67"/>
      <c r="V48" s="67"/>
      <c r="W48" s="67"/>
      <c r="X48" s="67"/>
      <c r="Y48" s="67"/>
      <c r="Z48" s="67"/>
      <c r="AA48" s="67"/>
      <c r="AB48" s="67"/>
      <c r="AC48" s="67"/>
      <c r="AD48" s="67"/>
      <c r="AE48" s="67"/>
      <c r="AF48" s="67"/>
      <c r="AG48" s="67"/>
      <c r="AH48" s="67"/>
      <c r="AI48" s="67"/>
      <c r="AJ48" s="165"/>
      <c r="AK48" s="165"/>
      <c r="AL48" s="165"/>
      <c r="AM48" s="165"/>
      <c r="AN48" s="68"/>
      <c r="BA48" s="194">
        <v>0.25</v>
      </c>
      <c r="BB48" s="182">
        <f t="shared" si="1"/>
        <v>4.0866155511801141E-5</v>
      </c>
    </row>
    <row r="49" spans="2:54" x14ac:dyDescent="0.3">
      <c r="B49" s="69"/>
      <c r="C49" s="1"/>
      <c r="D49" s="8"/>
      <c r="E49" s="8"/>
      <c r="F49" s="8"/>
      <c r="G49" s="8"/>
      <c r="H49" s="8"/>
      <c r="I49" s="8"/>
      <c r="J49" s="8"/>
      <c r="K49" s="8"/>
      <c r="L49" s="8"/>
      <c r="M49" s="8"/>
      <c r="N49" s="8"/>
      <c r="O49" s="8"/>
      <c r="P49" s="8"/>
      <c r="Q49" s="8"/>
      <c r="R49" s="8"/>
      <c r="S49" s="8"/>
      <c r="T49" s="8"/>
      <c r="U49" s="8"/>
      <c r="V49" s="8"/>
      <c r="W49" s="8"/>
      <c r="X49" s="8"/>
      <c r="Y49" s="8"/>
      <c r="Z49" s="8"/>
      <c r="AA49" s="8"/>
      <c r="AB49" s="8"/>
      <c r="AC49" s="207"/>
      <c r="AD49" s="378" t="s">
        <v>57</v>
      </c>
      <c r="AE49" s="378"/>
      <c r="AF49" s="378"/>
      <c r="AG49" s="378"/>
      <c r="AH49" s="383" t="s">
        <v>117</v>
      </c>
      <c r="AI49" s="384"/>
      <c r="AJ49" s="379" t="s">
        <v>77</v>
      </c>
      <c r="AK49" s="379"/>
      <c r="AL49" s="379"/>
      <c r="AM49" s="380"/>
      <c r="AN49" s="70"/>
      <c r="BA49" s="194">
        <v>0.26</v>
      </c>
      <c r="BB49" s="182">
        <f t="shared" si="1"/>
        <v>1.5559113002731533E-5</v>
      </c>
    </row>
    <row r="50" spans="2:54" x14ac:dyDescent="0.3">
      <c r="B50" s="74" t="s">
        <v>125</v>
      </c>
      <c r="C50" s="1"/>
      <c r="D50" s="8"/>
      <c r="E50" s="8"/>
      <c r="F50" s="8"/>
      <c r="G50" s="8"/>
      <c r="H50" s="8"/>
      <c r="I50" s="8"/>
      <c r="J50" s="8"/>
      <c r="K50" s="8"/>
      <c r="L50" s="8"/>
      <c r="M50" s="8"/>
      <c r="N50" s="8"/>
      <c r="O50" s="8"/>
      <c r="P50" s="8"/>
      <c r="Q50" s="8"/>
      <c r="R50" s="106" t="s">
        <v>69</v>
      </c>
      <c r="S50" s="106" t="s">
        <v>70</v>
      </c>
      <c r="T50" s="106" t="s">
        <v>71</v>
      </c>
      <c r="U50" s="106" t="s">
        <v>72</v>
      </c>
      <c r="V50" s="8"/>
      <c r="W50" s="8"/>
      <c r="X50" s="106"/>
      <c r="Y50" s="106" t="s">
        <v>68</v>
      </c>
      <c r="Z50" s="106" t="s">
        <v>67</v>
      </c>
      <c r="AA50" s="106" t="s">
        <v>73</v>
      </c>
      <c r="AB50" s="8"/>
      <c r="AC50" s="202"/>
      <c r="AD50" s="208" t="s">
        <v>0</v>
      </c>
      <c r="AE50" s="208" t="s">
        <v>52</v>
      </c>
      <c r="AF50" s="208" t="s">
        <v>20</v>
      </c>
      <c r="AG50" s="208" t="s">
        <v>12</v>
      </c>
      <c r="AH50" s="208" t="s">
        <v>15</v>
      </c>
      <c r="AI50" s="208" t="s">
        <v>76</v>
      </c>
      <c r="AJ50" s="210" t="s">
        <v>0</v>
      </c>
      <c r="AK50" s="210" t="s">
        <v>52</v>
      </c>
      <c r="AL50" s="210" t="s">
        <v>20</v>
      </c>
      <c r="AM50" s="211" t="s">
        <v>12</v>
      </c>
      <c r="AN50" s="70"/>
      <c r="BA50" s="194">
        <v>0.27</v>
      </c>
      <c r="BB50" s="182">
        <f t="shared" si="1"/>
        <v>5.518115368766445E-6</v>
      </c>
    </row>
    <row r="51" spans="2:54" x14ac:dyDescent="0.3">
      <c r="B51" s="69"/>
      <c r="C51" s="9"/>
      <c r="D51" s="372" t="s">
        <v>57</v>
      </c>
      <c r="E51" s="372"/>
      <c r="F51" s="373"/>
      <c r="G51" s="201"/>
      <c r="H51" s="145"/>
      <c r="I51" s="145"/>
      <c r="J51" s="145"/>
      <c r="K51" s="145"/>
      <c r="L51" s="145"/>
      <c r="M51" s="106"/>
      <c r="N51" s="201" t="s">
        <v>11</v>
      </c>
      <c r="O51" s="201"/>
      <c r="P51" s="106"/>
      <c r="Q51" s="8"/>
      <c r="R51" s="59">
        <v>0.13780000000000001</v>
      </c>
      <c r="S51" s="59">
        <v>0.16</v>
      </c>
      <c r="T51" s="59">
        <f>F61</f>
        <v>1.3482000000000001</v>
      </c>
      <c r="U51" s="59">
        <f>F69</f>
        <v>1.3440333333333332</v>
      </c>
      <c r="V51" s="8"/>
      <c r="W51" s="8"/>
      <c r="X51" s="106" t="s">
        <v>6</v>
      </c>
      <c r="Y51" s="59">
        <f>N53</f>
        <v>0.18761108551115793</v>
      </c>
      <c r="Z51" s="59">
        <f>O53</f>
        <v>0.14436179316700679</v>
      </c>
      <c r="AA51" s="59">
        <f>P53</f>
        <v>0.66802712132183528</v>
      </c>
      <c r="AB51" s="8"/>
      <c r="AC51" s="202" t="s">
        <v>6</v>
      </c>
      <c r="AD51" s="59">
        <f>Y51*$AG51</f>
        <v>5.7</v>
      </c>
      <c r="AE51" s="59">
        <f>Z51*$AG51</f>
        <v>4.3860000000000001</v>
      </c>
      <c r="AF51" s="59">
        <f>AA51*$AG51</f>
        <v>20.295999999999999</v>
      </c>
      <c r="AG51" s="59">
        <f>AA60</f>
        <v>30.381999999999998</v>
      </c>
      <c r="AH51" s="59"/>
      <c r="AI51" s="59"/>
      <c r="AJ51" s="79">
        <f t="shared" ref="AJ51:AM54" si="5">AD51/$AG51</f>
        <v>0.18761108551115793</v>
      </c>
      <c r="AK51" s="79">
        <f t="shared" si="5"/>
        <v>0.14436179316700679</v>
      </c>
      <c r="AL51" s="79">
        <f t="shared" si="5"/>
        <v>0.66802712132183528</v>
      </c>
      <c r="AM51" s="79">
        <f t="shared" si="5"/>
        <v>1</v>
      </c>
      <c r="AN51" s="70"/>
      <c r="BA51" s="194">
        <v>0.28000000000000003</v>
      </c>
      <c r="BB51" s="182">
        <f t="shared" si="1"/>
        <v>1.8178058255403937E-6</v>
      </c>
    </row>
    <row r="52" spans="2:54" x14ac:dyDescent="0.3">
      <c r="B52" s="69"/>
      <c r="C52" s="9" t="s">
        <v>6</v>
      </c>
      <c r="D52" s="203" t="s">
        <v>0</v>
      </c>
      <c r="E52" s="106" t="s">
        <v>52</v>
      </c>
      <c r="F52" s="204" t="s">
        <v>20</v>
      </c>
      <c r="G52" s="106" t="s">
        <v>12</v>
      </c>
      <c r="H52" s="64"/>
      <c r="I52" s="64"/>
      <c r="J52" s="64"/>
      <c r="K52" s="8"/>
      <c r="L52" s="8"/>
      <c r="M52" s="106" t="s">
        <v>6</v>
      </c>
      <c r="N52" s="106" t="s">
        <v>10</v>
      </c>
      <c r="O52" s="106" t="s">
        <v>58</v>
      </c>
      <c r="P52" s="106" t="s">
        <v>59</v>
      </c>
      <c r="Q52" s="8"/>
      <c r="R52" s="8"/>
      <c r="S52" s="8"/>
      <c r="T52" s="8"/>
      <c r="U52" s="8"/>
      <c r="V52" s="8"/>
      <c r="W52" s="8"/>
      <c r="X52" s="106" t="s">
        <v>4</v>
      </c>
      <c r="Y52" s="59">
        <v>9.7345601831499873E-2</v>
      </c>
      <c r="Z52" s="59">
        <v>1.0353954133681547E-2</v>
      </c>
      <c r="AA52" s="59">
        <f>1-Z52-Y52</f>
        <v>0.89230044403481856</v>
      </c>
      <c r="AB52" s="8"/>
      <c r="AC52" s="202" t="s">
        <v>4</v>
      </c>
      <c r="AD52" s="59">
        <f>Y52*$AG52*E61/D61</f>
        <v>5.56628640979305</v>
      </c>
      <c r="AE52" s="59">
        <f>Z52*$AG52*E61/D61</f>
        <v>0.59204599999999996</v>
      </c>
      <c r="AF52" s="59">
        <f>AG52-AD52-AE52</f>
        <v>9.0223342568736165</v>
      </c>
      <c r="AG52" s="59">
        <f>U67</f>
        <v>15.180666666666667</v>
      </c>
      <c r="AH52" s="59">
        <f>Y52*$R$3+Z52*$S$3+1.333</f>
        <v>1.3478761653901068</v>
      </c>
      <c r="AI52" s="59">
        <f>(T51-AH52)^2/T51</f>
        <v>7.7784345471537059E-8</v>
      </c>
      <c r="AJ52" s="79">
        <f t="shared" si="5"/>
        <v>0.36666943106097999</v>
      </c>
      <c r="AK52" s="79">
        <f t="shared" si="5"/>
        <v>3.8999999999999993E-2</v>
      </c>
      <c r="AL52" s="79">
        <f t="shared" si="5"/>
        <v>0.59433056893902003</v>
      </c>
      <c r="AM52" s="79">
        <f t="shared" si="5"/>
        <v>1</v>
      </c>
      <c r="AN52" s="70"/>
      <c r="AO52" s="27"/>
      <c r="AP52" s="27"/>
      <c r="BA52" s="194">
        <v>0.28999999999999998</v>
      </c>
      <c r="BB52" s="182">
        <f t="shared" si="1"/>
        <v>5.5465561473937516E-7</v>
      </c>
    </row>
    <row r="53" spans="2:54" x14ac:dyDescent="0.3">
      <c r="B53" s="69"/>
      <c r="C53" s="9" t="s">
        <v>7</v>
      </c>
      <c r="D53" s="4">
        <v>5.7</v>
      </c>
      <c r="E53" s="4">
        <f>4.2+0.31*1.2/2</f>
        <v>4.3860000000000001</v>
      </c>
      <c r="F53" s="56">
        <f>20.11+0.31*1.2/2</f>
        <v>20.295999999999999</v>
      </c>
      <c r="G53" s="4">
        <f>SUM(D53:F53)</f>
        <v>30.381999999999998</v>
      </c>
      <c r="H53" s="8"/>
      <c r="I53" s="8"/>
      <c r="J53" s="8"/>
      <c r="K53" s="8"/>
      <c r="L53" s="8"/>
      <c r="M53" s="106" t="s">
        <v>7</v>
      </c>
      <c r="N53" s="139">
        <f>D53/G53</f>
        <v>0.18761108551115793</v>
      </c>
      <c r="O53" s="139">
        <f>E53/G53</f>
        <v>0.14436179316700679</v>
      </c>
      <c r="P53" s="139">
        <f>1-O53-N53</f>
        <v>0.66802712132183528</v>
      </c>
      <c r="Q53" s="8"/>
      <c r="R53" s="8"/>
      <c r="S53" s="8"/>
      <c r="T53" s="8"/>
      <c r="U53" s="8"/>
      <c r="V53" s="8"/>
      <c r="W53" s="8"/>
      <c r="X53" s="106" t="s">
        <v>5</v>
      </c>
      <c r="Y53" s="59">
        <v>0</v>
      </c>
      <c r="Z53" s="59">
        <v>7.0614892659296546E-2</v>
      </c>
      <c r="AA53" s="59">
        <f>1-Z53-Y53</f>
        <v>0.92938510734070345</v>
      </c>
      <c r="AB53" s="8"/>
      <c r="AC53" s="202" t="s">
        <v>5</v>
      </c>
      <c r="AD53" s="59">
        <f>Y53*$AG53*E69/D69</f>
        <v>0</v>
      </c>
      <c r="AE53" s="59">
        <f>Z53*$AG53*E69/D69</f>
        <v>3.6687379023698696</v>
      </c>
      <c r="AF53" s="59">
        <f>AG53-AD53-AE53</f>
        <v>10.785428764296796</v>
      </c>
      <c r="AG53" s="59">
        <f>U69</f>
        <v>14.454166666666666</v>
      </c>
      <c r="AH53" s="59">
        <f>Y53*$R$3+Z53*$S$3+1.333</f>
        <v>1.3442983828254873</v>
      </c>
      <c r="AI53" s="59">
        <f>(U51-AH53)^2/U51</f>
        <v>5.2268966512105041E-8</v>
      </c>
      <c r="AJ53" s="79">
        <f t="shared" si="5"/>
        <v>0</v>
      </c>
      <c r="AK53" s="79">
        <f t="shared" si="5"/>
        <v>0.25381870757243263</v>
      </c>
      <c r="AL53" s="79">
        <f t="shared" si="5"/>
        <v>0.74618129242756737</v>
      </c>
      <c r="AM53" s="79">
        <f t="shared" si="5"/>
        <v>1</v>
      </c>
      <c r="AN53" s="70"/>
      <c r="AO53" s="27"/>
      <c r="AP53" s="27"/>
      <c r="BA53" s="194">
        <v>0.3</v>
      </c>
      <c r="BB53" s="182">
        <f t="shared" si="1"/>
        <v>1.5631088575233459E-7</v>
      </c>
    </row>
    <row r="54" spans="2:54" x14ac:dyDescent="0.3">
      <c r="B54" s="69"/>
      <c r="C54" s="1"/>
      <c r="D54" s="8"/>
      <c r="E54" s="8"/>
      <c r="F54" s="8"/>
      <c r="G54" s="8"/>
      <c r="H54" s="8"/>
      <c r="I54" s="8"/>
      <c r="J54" s="8"/>
      <c r="K54" s="8"/>
      <c r="L54" s="8"/>
      <c r="M54" s="8"/>
      <c r="N54" s="142"/>
      <c r="O54" s="142"/>
      <c r="P54" s="142"/>
      <c r="Q54" s="8"/>
      <c r="R54" s="8"/>
      <c r="S54" s="8"/>
      <c r="T54" s="8"/>
      <c r="U54" s="8"/>
      <c r="V54" s="8"/>
      <c r="W54" s="8"/>
      <c r="X54" s="8"/>
      <c r="Y54" s="8"/>
      <c r="Z54" s="8"/>
      <c r="AA54" s="8"/>
      <c r="AB54" s="8"/>
      <c r="AC54" s="202" t="s">
        <v>75</v>
      </c>
      <c r="AD54" s="59">
        <f>SUM(AD52:AD53)</f>
        <v>5.56628640979305</v>
      </c>
      <c r="AE54" s="59">
        <f>SUM(AE52:AE53)</f>
        <v>4.2607839023698695</v>
      </c>
      <c r="AF54" s="59">
        <f>SUM(AF52:AF53)</f>
        <v>19.807763021170413</v>
      </c>
      <c r="AG54" s="59">
        <f>SUM(AG52:AG53)</f>
        <v>29.634833333333333</v>
      </c>
      <c r="AH54" s="59"/>
      <c r="AI54" s="59"/>
      <c r="AJ54" s="79">
        <f t="shared" si="5"/>
        <v>0.18782917883098324</v>
      </c>
      <c r="AK54" s="79">
        <f t="shared" si="5"/>
        <v>0.14377620600880281</v>
      </c>
      <c r="AL54" s="79">
        <f t="shared" si="5"/>
        <v>0.66839461516021392</v>
      </c>
      <c r="AM54" s="79">
        <f t="shared" si="5"/>
        <v>1</v>
      </c>
      <c r="AN54" s="70"/>
      <c r="BA54" s="194">
        <v>0.31</v>
      </c>
      <c r="BB54" s="182">
        <f t="shared" si="1"/>
        <v>4.0571175089149932E-8</v>
      </c>
    </row>
    <row r="55" spans="2:54" x14ac:dyDescent="0.3">
      <c r="B55" s="69"/>
      <c r="C55" s="1" t="s">
        <v>16</v>
      </c>
      <c r="D55" s="8"/>
      <c r="E55" s="8"/>
      <c r="F55" s="8"/>
      <c r="G55" s="8"/>
      <c r="H55" s="8"/>
      <c r="I55" s="8"/>
      <c r="J55" s="8"/>
      <c r="K55" s="8"/>
      <c r="L55" s="8"/>
      <c r="M55" s="8"/>
      <c r="N55" s="8"/>
      <c r="O55" s="8"/>
      <c r="P55" s="8"/>
      <c r="Q55" s="8"/>
      <c r="R55" s="8"/>
      <c r="S55" s="8"/>
      <c r="T55" s="8"/>
      <c r="U55" s="8"/>
      <c r="V55" s="8"/>
      <c r="W55" s="8"/>
      <c r="X55" s="8"/>
      <c r="Y55" s="8"/>
      <c r="Z55" s="8"/>
      <c r="AA55" s="8"/>
      <c r="AB55" s="8"/>
      <c r="AC55" s="202" t="s">
        <v>76</v>
      </c>
      <c r="AD55" s="59">
        <f>(AD54-AD51)^2/AD51</f>
        <v>3.1367235449179299E-3</v>
      </c>
      <c r="AE55" s="59">
        <f>(AE54-AE51)^2/AE51</f>
        <v>3.5747996137068874E-3</v>
      </c>
      <c r="AF55" s="59">
        <f>(AF54-AF51)^2/AF51</f>
        <v>1.1744942229830628E-2</v>
      </c>
      <c r="AG55" s="59"/>
      <c r="AH55" s="178" t="s">
        <v>74</v>
      </c>
      <c r="AI55" s="59">
        <f>AI52+AI53+AD55+AE55+AF55+AM56+AM57</f>
        <v>1.8456595441767427E-2</v>
      </c>
      <c r="AJ55" s="79"/>
      <c r="AK55" s="184" t="s">
        <v>118</v>
      </c>
      <c r="AL55" s="79">
        <f>ABS(U61-AL52)/U61</f>
        <v>8.286973461436517E-3</v>
      </c>
      <c r="AM55" s="79"/>
      <c r="AN55" s="70"/>
      <c r="BA55" s="194">
        <v>0.32</v>
      </c>
      <c r="BB55" s="182">
        <f t="shared" si="1"/>
        <v>9.6712570978420895E-9</v>
      </c>
    </row>
    <row r="56" spans="2:54" ht="15" thickBot="1" x14ac:dyDescent="0.35">
      <c r="B56" s="69"/>
      <c r="C56" s="1">
        <v>1.5</v>
      </c>
      <c r="D56" s="8"/>
      <c r="E56" s="8"/>
      <c r="F56" s="8"/>
      <c r="G56" s="8"/>
      <c r="H56" s="347" t="s">
        <v>130</v>
      </c>
      <c r="I56" s="347"/>
      <c r="J56" s="347"/>
      <c r="K56" s="8"/>
      <c r="L56" s="8"/>
      <c r="M56" s="8"/>
      <c r="N56" s="8"/>
      <c r="O56" s="8"/>
      <c r="P56" s="8"/>
      <c r="Q56" s="8"/>
      <c r="R56" s="8"/>
      <c r="S56" s="8"/>
      <c r="T56" s="8"/>
      <c r="U56" s="8"/>
      <c r="V56" s="8"/>
      <c r="W56" s="8"/>
      <c r="X56" s="8"/>
      <c r="Y56" s="8"/>
      <c r="Z56" s="8"/>
      <c r="AA56" s="8"/>
      <c r="AB56" s="8"/>
      <c r="AC56" s="205" t="s">
        <v>110</v>
      </c>
      <c r="AD56" s="59">
        <f>ABS((AD51-AD54)/AD51)</f>
        <v>2.3458524597710556E-2</v>
      </c>
      <c r="AE56" s="59">
        <f>ABS((AE51-AE54)/AE51)</f>
        <v>2.8549041867334847E-2</v>
      </c>
      <c r="AF56" s="59">
        <f>ABS((AF51-AF54)/AF51)</f>
        <v>2.4055822764563799E-2</v>
      </c>
      <c r="AG56" s="59">
        <f>AVERAGE(AD56:AF56)</f>
        <v>2.5354463076536399E-2</v>
      </c>
      <c r="AH56" s="59"/>
      <c r="AI56" s="59"/>
      <c r="AJ56" s="79"/>
      <c r="AK56" s="184" t="s">
        <v>119</v>
      </c>
      <c r="AL56" s="79">
        <f>ABS(U63-AL53)/U63</f>
        <v>2.9142051611018235E-2</v>
      </c>
      <c r="AM56" s="79"/>
      <c r="AN56" s="70"/>
      <c r="BA56" s="194">
        <v>0.33</v>
      </c>
      <c r="BB56" s="182">
        <f t="shared" si="1"/>
        <v>2.1113549383760669E-9</v>
      </c>
    </row>
    <row r="57" spans="2:54" ht="15" thickBot="1" x14ac:dyDescent="0.35">
      <c r="B57" s="69"/>
      <c r="C57" s="9" t="s">
        <v>4</v>
      </c>
      <c r="D57" s="106" t="s">
        <v>14</v>
      </c>
      <c r="E57" s="106" t="s">
        <v>17</v>
      </c>
      <c r="F57" s="106" t="s">
        <v>15</v>
      </c>
      <c r="G57" s="8"/>
      <c r="H57" s="106" t="s">
        <v>54</v>
      </c>
      <c r="I57" s="106" t="s">
        <v>55</v>
      </c>
      <c r="J57" s="106" t="s">
        <v>56</v>
      </c>
      <c r="K57" s="106" t="s">
        <v>12</v>
      </c>
      <c r="L57" s="106" t="s">
        <v>48</v>
      </c>
      <c r="M57" s="106" t="s">
        <v>49</v>
      </c>
      <c r="N57" s="106" t="s">
        <v>50</v>
      </c>
      <c r="O57" s="106" t="s">
        <v>12</v>
      </c>
      <c r="P57" s="8"/>
      <c r="Q57" s="147"/>
      <c r="R57" s="8"/>
      <c r="S57" s="8"/>
      <c r="T57" s="8"/>
      <c r="U57" s="8"/>
      <c r="V57" s="8"/>
      <c r="W57" s="8"/>
      <c r="X57" s="8"/>
      <c r="Y57" s="8"/>
      <c r="Z57" s="8"/>
      <c r="AA57" s="8"/>
      <c r="AB57" s="8"/>
      <c r="AC57" s="8"/>
      <c r="AD57" s="8"/>
      <c r="AE57" s="8"/>
      <c r="AF57" s="8"/>
      <c r="AG57" s="8"/>
      <c r="AH57" s="8"/>
      <c r="AI57" s="8"/>
      <c r="AJ57" s="11"/>
      <c r="AK57" s="11"/>
      <c r="AL57" s="24"/>
      <c r="AM57" s="11"/>
      <c r="AN57" s="70"/>
      <c r="BA57" s="195">
        <v>0.34</v>
      </c>
      <c r="BB57" s="196">
        <f t="shared" si="1"/>
        <v>4.2094945361605837E-10</v>
      </c>
    </row>
    <row r="58" spans="2:54" x14ac:dyDescent="0.3">
      <c r="B58" s="69"/>
      <c r="C58" s="9" t="s">
        <v>7</v>
      </c>
      <c r="D58" s="4">
        <v>0.54069999999999996</v>
      </c>
      <c r="E58" s="4">
        <f>D58+1.5</f>
        <v>2.0407000000000002</v>
      </c>
      <c r="F58" s="4">
        <v>1.3482000000000001</v>
      </c>
      <c r="G58" s="8"/>
      <c r="H58" s="4">
        <f>1.333</f>
        <v>1.333</v>
      </c>
      <c r="I58" s="4">
        <f>I60*0.1368</f>
        <v>1.3196912530358429E-2</v>
      </c>
      <c r="J58" s="4">
        <f>J60*0.16</f>
        <v>2.0044355940810553E-3</v>
      </c>
      <c r="K58" s="4">
        <f>SUM(H58:J58)</f>
        <v>1.3482013481244395</v>
      </c>
      <c r="L58" s="4">
        <v>0.58944584684922652</v>
      </c>
      <c r="M58" s="4">
        <f>I60*(E61/D61)</f>
        <v>0.36336627016915068</v>
      </c>
      <c r="N58" s="4">
        <f>J60*(E61/D61)</f>
        <v>4.7187882981623061E-2</v>
      </c>
      <c r="O58" s="4">
        <f>SUM(L58:N58)</f>
        <v>1.0000000000000002</v>
      </c>
      <c r="P58" s="8"/>
      <c r="Q58" s="106"/>
      <c r="R58" s="106"/>
      <c r="S58" s="106" t="s">
        <v>58</v>
      </c>
      <c r="T58" s="106" t="s">
        <v>10</v>
      </c>
      <c r="U58" s="106" t="s">
        <v>59</v>
      </c>
      <c r="V58" s="8"/>
      <c r="W58" s="373" t="s">
        <v>57</v>
      </c>
      <c r="X58" s="374"/>
      <c r="Y58" s="374"/>
      <c r="Z58" s="374"/>
      <c r="AA58" s="375"/>
      <c r="AB58" s="145"/>
      <c r="AC58" s="145"/>
      <c r="AD58" s="8"/>
      <c r="AE58" s="8"/>
      <c r="AF58" s="8"/>
      <c r="AG58" s="8"/>
      <c r="AH58" s="8"/>
      <c r="AI58" s="8"/>
      <c r="AJ58" s="11"/>
      <c r="AK58" s="11"/>
      <c r="AL58" s="11"/>
      <c r="AM58" s="11"/>
      <c r="AN58" s="70"/>
    </row>
    <row r="59" spans="2:54" x14ac:dyDescent="0.3">
      <c r="B59" s="69"/>
      <c r="C59" s="9" t="s">
        <v>8</v>
      </c>
      <c r="D59" s="4">
        <v>0.54430000000000001</v>
      </c>
      <c r="E59" s="4">
        <f>D59+1.5</f>
        <v>2.0442999999999998</v>
      </c>
      <c r="F59" s="4">
        <v>1.3482000000000001</v>
      </c>
      <c r="G59" s="8"/>
      <c r="H59" s="106" t="s">
        <v>48</v>
      </c>
      <c r="I59" s="106" t="s">
        <v>49</v>
      </c>
      <c r="J59" s="106" t="s">
        <v>50</v>
      </c>
      <c r="K59" s="106" t="s">
        <v>12</v>
      </c>
      <c r="L59" s="4"/>
      <c r="M59" s="4"/>
      <c r="N59" s="4"/>
      <c r="O59" s="4"/>
      <c r="P59" s="8"/>
      <c r="Q59" s="372" t="s">
        <v>6</v>
      </c>
      <c r="R59" s="106" t="s">
        <v>13</v>
      </c>
      <c r="S59" s="139">
        <f>O53</f>
        <v>0.14436179316700679</v>
      </c>
      <c r="T59" s="139">
        <f>N53</f>
        <v>0.18761108551115793</v>
      </c>
      <c r="U59" s="139">
        <f>P53</f>
        <v>0.66802712132183528</v>
      </c>
      <c r="V59" s="8"/>
      <c r="W59" s="106"/>
      <c r="X59" s="106" t="s">
        <v>0</v>
      </c>
      <c r="Y59" s="106" t="s">
        <v>52</v>
      </c>
      <c r="Z59" s="106" t="s">
        <v>20</v>
      </c>
      <c r="AA59" s="106" t="s">
        <v>12</v>
      </c>
      <c r="AB59" s="8"/>
      <c r="AC59" s="8"/>
      <c r="AD59" s="8"/>
      <c r="AE59" s="8"/>
      <c r="AF59" s="8"/>
      <c r="AG59" s="8"/>
      <c r="AH59" s="8"/>
      <c r="AI59" s="8"/>
      <c r="AJ59" s="11"/>
      <c r="AK59" s="11"/>
      <c r="AL59" s="11"/>
      <c r="AM59" s="11"/>
      <c r="AN59" s="70"/>
    </row>
    <row r="60" spans="2:54" x14ac:dyDescent="0.3">
      <c r="B60" s="69"/>
      <c r="C60" s="9" t="s">
        <v>9</v>
      </c>
      <c r="D60" s="4">
        <v>0.54149999999999998</v>
      </c>
      <c r="E60" s="4">
        <f>D60+1.5</f>
        <v>2.0415000000000001</v>
      </c>
      <c r="F60" s="4">
        <v>1.3482000000000001</v>
      </c>
      <c r="G60" s="8"/>
      <c r="H60" s="4">
        <f>(L58*D61+1.5)/E61</f>
        <v>0.89100361868934408</v>
      </c>
      <c r="I60" s="4">
        <v>9.6468658847649325E-2</v>
      </c>
      <c r="J60" s="4">
        <f>1-H60-I60</f>
        <v>1.2527722463006596E-2</v>
      </c>
      <c r="K60" s="4">
        <f>SUM(H60:J60)</f>
        <v>1</v>
      </c>
      <c r="L60" s="4"/>
      <c r="M60" s="4"/>
      <c r="N60" s="4"/>
      <c r="O60" s="4"/>
      <c r="P60" s="8"/>
      <c r="Q60" s="372"/>
      <c r="R60" s="106" t="s">
        <v>3</v>
      </c>
      <c r="S60" s="139"/>
      <c r="T60" s="139"/>
      <c r="U60" s="139"/>
      <c r="V60" s="8"/>
      <c r="W60" s="106" t="s">
        <v>6</v>
      </c>
      <c r="X60" s="59">
        <f>D53</f>
        <v>5.7</v>
      </c>
      <c r="Y60" s="59">
        <f>E53</f>
        <v>4.3860000000000001</v>
      </c>
      <c r="Z60" s="59">
        <f>F53</f>
        <v>20.295999999999999</v>
      </c>
      <c r="AA60" s="59">
        <f>SUM(X60:Z60)</f>
        <v>30.381999999999998</v>
      </c>
      <c r="AB60" s="8"/>
      <c r="AC60" s="8"/>
      <c r="AD60" s="8"/>
      <c r="AE60" s="8"/>
      <c r="AF60" s="8"/>
      <c r="AG60" s="8"/>
      <c r="AH60" s="8"/>
      <c r="AI60" s="8"/>
      <c r="AJ60" s="11"/>
      <c r="AK60" s="11"/>
      <c r="AL60" s="11"/>
      <c r="AM60" s="11"/>
      <c r="AN60" s="70"/>
    </row>
    <row r="61" spans="2:54" x14ac:dyDescent="0.3">
      <c r="B61" s="69"/>
      <c r="C61" s="9" t="s">
        <v>13</v>
      </c>
      <c r="D61" s="4">
        <f>AVERAGE(D58:D60)</f>
        <v>0.54216666666666669</v>
      </c>
      <c r="E61" s="4">
        <f>D61+1.5</f>
        <v>2.0421666666666667</v>
      </c>
      <c r="F61" s="4">
        <f>AVERAGE(F58:F60)</f>
        <v>1.3482000000000001</v>
      </c>
      <c r="G61" s="8"/>
      <c r="H61" s="8"/>
      <c r="I61" s="8"/>
      <c r="J61" s="8"/>
      <c r="K61" s="8"/>
      <c r="L61" s="8"/>
      <c r="M61" s="8"/>
      <c r="N61" s="8"/>
      <c r="O61" s="8"/>
      <c r="P61" s="8"/>
      <c r="Q61" s="372" t="s">
        <v>4</v>
      </c>
      <c r="R61" s="106" t="s">
        <v>13</v>
      </c>
      <c r="S61" s="139">
        <f>N58</f>
        <v>4.7187882981623061E-2</v>
      </c>
      <c r="T61" s="139">
        <f>M58</f>
        <v>0.36336627016915068</v>
      </c>
      <c r="U61" s="146">
        <f>L58</f>
        <v>0.58944584684922652</v>
      </c>
      <c r="V61" s="8"/>
      <c r="W61" s="106" t="s">
        <v>4</v>
      </c>
      <c r="X61" s="59">
        <f>T61*$U$19</f>
        <v>6.696113626677108</v>
      </c>
      <c r="Y61" s="59">
        <f>S61*U67</f>
        <v>0.71634352224969255</v>
      </c>
      <c r="Z61" s="59">
        <f>U67*U61</f>
        <v>8.9481809190691575</v>
      </c>
      <c r="AA61" s="59">
        <f>SUM(X61:Z61)</f>
        <v>16.360638067995957</v>
      </c>
      <c r="AB61" s="8"/>
      <c r="AC61" s="8"/>
      <c r="AD61" s="8"/>
      <c r="AE61" s="8"/>
      <c r="AF61" s="8"/>
      <c r="AG61" s="8"/>
      <c r="AH61" s="8"/>
      <c r="AI61" s="8"/>
      <c r="AJ61" s="11"/>
      <c r="AK61" s="11"/>
      <c r="AL61" s="11"/>
      <c r="AM61" s="11"/>
      <c r="AN61" s="70"/>
    </row>
    <row r="62" spans="2:54" x14ac:dyDescent="0.3">
      <c r="B62" s="69"/>
      <c r="C62" s="36" t="s">
        <v>3</v>
      </c>
      <c r="D62" s="88">
        <f>_xlfn.STDEV.S(D58:D60)</f>
        <v>1.8903262505010662E-3</v>
      </c>
      <c r="E62" s="88">
        <f>_xlfn.STDEV.S(E58:E60)</f>
        <v>1.8903262505008353E-3</v>
      </c>
      <c r="F62" s="88">
        <f>_xlfn.STDEV.S(F58:F60)</f>
        <v>0</v>
      </c>
      <c r="G62" s="8"/>
      <c r="H62" s="8"/>
      <c r="I62" s="8"/>
      <c r="J62" s="8"/>
      <c r="K62" s="8"/>
      <c r="L62" s="8"/>
      <c r="M62" s="8"/>
      <c r="N62" s="8"/>
      <c r="O62" s="8"/>
      <c r="P62" s="8"/>
      <c r="Q62" s="372"/>
      <c r="R62" s="106" t="s">
        <v>3</v>
      </c>
      <c r="S62" s="139"/>
      <c r="T62" s="139"/>
      <c r="U62" s="139"/>
      <c r="V62" s="8"/>
      <c r="W62" s="106" t="s">
        <v>5</v>
      </c>
      <c r="X62" s="59">
        <v>0</v>
      </c>
      <c r="Y62" s="59">
        <f>Y60-Y61</f>
        <v>3.6696564777503076</v>
      </c>
      <c r="Z62" s="59">
        <f>U69*U63</f>
        <v>10.480019495280844</v>
      </c>
      <c r="AA62" s="59">
        <f>SUM(X62:Z62)</f>
        <v>14.149675973031151</v>
      </c>
      <c r="AB62" s="8"/>
      <c r="AC62" s="8"/>
      <c r="AD62" s="8"/>
      <c r="AE62" s="8"/>
      <c r="AF62" s="8"/>
      <c r="AG62" s="8"/>
      <c r="AH62" s="8"/>
      <c r="AI62" s="8"/>
      <c r="AJ62" s="11"/>
      <c r="AK62" s="11"/>
      <c r="AL62" s="11"/>
      <c r="AM62" s="11"/>
      <c r="AN62" s="70"/>
    </row>
    <row r="63" spans="2:54" x14ac:dyDescent="0.3">
      <c r="B63" s="69"/>
      <c r="C63" s="87"/>
      <c r="D63" s="89"/>
      <c r="E63" s="89"/>
      <c r="F63" s="89"/>
      <c r="G63" s="8"/>
      <c r="H63" s="8"/>
      <c r="I63" s="8"/>
      <c r="J63" s="8"/>
      <c r="K63" s="8"/>
      <c r="L63" s="8"/>
      <c r="M63" s="8"/>
      <c r="N63" s="8"/>
      <c r="O63" s="8"/>
      <c r="P63" s="8"/>
      <c r="Q63" s="372" t="s">
        <v>5</v>
      </c>
      <c r="R63" s="106" t="s">
        <v>13</v>
      </c>
      <c r="S63" s="139">
        <f>N66</f>
        <v>8.2998678811522411E-2</v>
      </c>
      <c r="T63" s="139">
        <f>M66</f>
        <v>0.19194952560836742</v>
      </c>
      <c r="U63" s="139">
        <f>L66</f>
        <v>0.72505179558011035</v>
      </c>
      <c r="V63" s="8"/>
      <c r="W63" s="106" t="s">
        <v>62</v>
      </c>
      <c r="X63" s="59">
        <f>SUM(X61:X62)</f>
        <v>6.696113626677108</v>
      </c>
      <c r="Y63" s="59">
        <f>SUM(Y61:Y62)</f>
        <v>4.3860000000000001</v>
      </c>
      <c r="Z63" s="59">
        <f>SUM(Z61:Z62)</f>
        <v>19.428200414350002</v>
      </c>
      <c r="AA63" s="59">
        <f>SUM(X63:Z63)</f>
        <v>30.510314041027108</v>
      </c>
      <c r="AB63" s="8"/>
      <c r="AC63" s="8"/>
      <c r="AD63" s="8"/>
      <c r="AE63" s="8"/>
      <c r="AF63" s="8"/>
      <c r="AG63" s="8"/>
      <c r="AH63" s="8"/>
      <c r="AI63" s="8"/>
      <c r="AJ63" s="11"/>
      <c r="AK63" s="11"/>
      <c r="AL63" s="11"/>
      <c r="AM63" s="11"/>
      <c r="AN63" s="70"/>
    </row>
    <row r="64" spans="2:54" x14ac:dyDescent="0.3">
      <c r="B64" s="69"/>
      <c r="C64" s="21"/>
      <c r="D64" s="147"/>
      <c r="E64" s="147"/>
      <c r="F64" s="147"/>
      <c r="G64" s="8"/>
      <c r="H64" s="347" t="s">
        <v>131</v>
      </c>
      <c r="I64" s="347"/>
      <c r="J64" s="347"/>
      <c r="K64" s="8"/>
      <c r="L64" s="8"/>
      <c r="M64" s="8"/>
      <c r="N64" s="8"/>
      <c r="O64" s="8"/>
      <c r="P64" s="8"/>
      <c r="Q64" s="372"/>
      <c r="R64" s="106" t="s">
        <v>3</v>
      </c>
      <c r="S64" s="139"/>
      <c r="T64" s="139"/>
      <c r="U64" s="146"/>
      <c r="V64" s="8"/>
      <c r="W64" s="8"/>
      <c r="X64" s="8"/>
      <c r="Y64" s="8"/>
      <c r="Z64" s="8"/>
      <c r="AA64" s="8"/>
      <c r="AB64" s="8"/>
      <c r="AC64" s="8"/>
      <c r="AD64" s="8"/>
      <c r="AE64" s="8"/>
      <c r="AF64" s="8"/>
      <c r="AG64" s="8"/>
      <c r="AH64" s="8"/>
      <c r="AI64" s="8"/>
      <c r="AJ64" s="11"/>
      <c r="AK64" s="11"/>
      <c r="AL64" s="11"/>
      <c r="AM64" s="11"/>
      <c r="AN64" s="70"/>
    </row>
    <row r="65" spans="2:42" x14ac:dyDescent="0.3">
      <c r="B65" s="69"/>
      <c r="C65" s="35" t="s">
        <v>5</v>
      </c>
      <c r="D65" s="206" t="s">
        <v>14</v>
      </c>
      <c r="E65" s="206" t="s">
        <v>17</v>
      </c>
      <c r="F65" s="206" t="s">
        <v>15</v>
      </c>
      <c r="G65" s="8"/>
      <c r="H65" s="106" t="s">
        <v>54</v>
      </c>
      <c r="I65" s="106" t="s">
        <v>55</v>
      </c>
      <c r="J65" s="106" t="s">
        <v>56</v>
      </c>
      <c r="K65" s="106" t="s">
        <v>12</v>
      </c>
      <c r="L65" s="106" t="s">
        <v>48</v>
      </c>
      <c r="M65" s="106" t="s">
        <v>49</v>
      </c>
      <c r="N65" s="106" t="s">
        <v>50</v>
      </c>
      <c r="O65" s="106" t="s">
        <v>12</v>
      </c>
      <c r="P65" s="8"/>
      <c r="Q65" s="8"/>
      <c r="R65" s="8"/>
      <c r="S65" s="8"/>
      <c r="T65" s="8"/>
      <c r="U65" s="8"/>
      <c r="V65" s="8"/>
      <c r="W65" s="8"/>
      <c r="X65" s="8"/>
      <c r="Y65" s="8"/>
      <c r="Z65" s="8"/>
      <c r="AA65" s="8"/>
      <c r="AB65" s="8"/>
      <c r="AC65" s="8"/>
      <c r="AD65" s="8"/>
      <c r="AE65" s="8"/>
      <c r="AF65" s="8"/>
      <c r="AG65" s="8"/>
      <c r="AH65" s="8"/>
      <c r="AI65" s="8"/>
      <c r="AJ65" s="11"/>
      <c r="AK65" s="11"/>
      <c r="AL65" s="11"/>
      <c r="AM65" s="11"/>
      <c r="AN65" s="70"/>
    </row>
    <row r="66" spans="2:42" x14ac:dyDescent="0.3">
      <c r="B66" s="69"/>
      <c r="C66" s="9" t="s">
        <v>7</v>
      </c>
      <c r="D66" s="4">
        <v>0.57709999999999995</v>
      </c>
      <c r="E66" s="4">
        <f>D66+1.5</f>
        <v>2.0770999999999997</v>
      </c>
      <c r="F66" s="4">
        <v>1.3440000000000001</v>
      </c>
      <c r="G66" s="8"/>
      <c r="H66" s="4">
        <f>1.333</f>
        <v>1.333</v>
      </c>
      <c r="I66" s="4">
        <f>I68*0.1368</f>
        <v>7.3054305327681732E-3</v>
      </c>
      <c r="J66" s="4">
        <f>J68*0.16</f>
        <v>3.6945694672826522E-3</v>
      </c>
      <c r="K66" s="4">
        <f>SUM(H66:J66)</f>
        <v>1.3440000000000509</v>
      </c>
      <c r="L66" s="4">
        <v>0.72505179558011035</v>
      </c>
      <c r="M66" s="4">
        <f>I68*(E69/D69)</f>
        <v>0.19194952560836742</v>
      </c>
      <c r="N66" s="4">
        <f>J68*(E69/D69)</f>
        <v>8.2998678811522411E-2</v>
      </c>
      <c r="O66" s="4">
        <f>SUM(L66:N66)</f>
        <v>1.0000000000000002</v>
      </c>
      <c r="P66" s="8"/>
      <c r="Q66" s="106"/>
      <c r="R66" s="106"/>
      <c r="S66" s="106" t="s">
        <v>23</v>
      </c>
      <c r="T66" s="106" t="s">
        <v>60</v>
      </c>
      <c r="U66" s="106" t="s">
        <v>61</v>
      </c>
      <c r="V66" s="8"/>
      <c r="W66" s="8"/>
      <c r="X66" s="8"/>
      <c r="Y66" s="8"/>
      <c r="Z66" s="8"/>
      <c r="AA66" s="8"/>
      <c r="AB66" s="8"/>
      <c r="AC66" s="8"/>
      <c r="AD66" s="8"/>
      <c r="AE66" s="8"/>
      <c r="AF66" s="8"/>
      <c r="AG66" s="8"/>
      <c r="AH66" s="8"/>
      <c r="AI66" s="8"/>
      <c r="AJ66" s="11"/>
      <c r="AK66" s="11"/>
      <c r="AL66" s="11"/>
      <c r="AM66" s="11"/>
      <c r="AN66" s="70"/>
    </row>
    <row r="67" spans="2:42" x14ac:dyDescent="0.3">
      <c r="B67" s="69"/>
      <c r="C67" s="9" t="s">
        <v>8</v>
      </c>
      <c r="D67" s="4">
        <v>0.57840000000000003</v>
      </c>
      <c r="E67" s="4">
        <f>D67+1.5</f>
        <v>2.0784000000000002</v>
      </c>
      <c r="F67" s="4">
        <v>1.3440000000000001</v>
      </c>
      <c r="G67" s="8"/>
      <c r="H67" s="106" t="s">
        <v>48</v>
      </c>
      <c r="I67" s="106" t="s">
        <v>49</v>
      </c>
      <c r="J67" s="106" t="s">
        <v>50</v>
      </c>
      <c r="K67" s="106" t="s">
        <v>12</v>
      </c>
      <c r="L67" s="4"/>
      <c r="M67" s="4"/>
      <c r="N67" s="4"/>
      <c r="O67" s="4"/>
      <c r="P67" s="8"/>
      <c r="Q67" s="372" t="s">
        <v>4</v>
      </c>
      <c r="R67" s="106" t="s">
        <v>13</v>
      </c>
      <c r="S67" s="4">
        <f>AVERAGE(D58:D60)*2</f>
        <v>1.0843333333333334</v>
      </c>
      <c r="T67" s="4">
        <v>14</v>
      </c>
      <c r="U67" s="4">
        <f>S67*T67</f>
        <v>15.180666666666667</v>
      </c>
      <c r="V67" s="8"/>
      <c r="W67" s="8"/>
      <c r="X67" s="8"/>
      <c r="Y67" s="8"/>
      <c r="Z67" s="8"/>
      <c r="AA67" s="8"/>
      <c r="AB67" s="8"/>
      <c r="AC67" s="8"/>
      <c r="AD67" s="8"/>
      <c r="AE67" s="8"/>
      <c r="AF67" s="8"/>
      <c r="AG67" s="8"/>
      <c r="AH67" s="8"/>
      <c r="AI67" s="8"/>
      <c r="AJ67" s="11"/>
      <c r="AK67" s="11"/>
      <c r="AL67" s="11"/>
      <c r="AM67" s="11"/>
      <c r="AN67" s="70"/>
    </row>
    <row r="68" spans="2:42" x14ac:dyDescent="0.3">
      <c r="B68" s="69"/>
      <c r="C68" s="9" t="s">
        <v>9</v>
      </c>
      <c r="D68" s="4">
        <v>0.57899999999999996</v>
      </c>
      <c r="E68" s="4">
        <f>D68+1.5</f>
        <v>2.0789999999999997</v>
      </c>
      <c r="F68" s="4">
        <v>1.3441000000000001</v>
      </c>
      <c r="G68" s="8"/>
      <c r="H68" s="4">
        <f>(L66*D69+1.5)/E69</f>
        <v>0.92350667085310789</v>
      </c>
      <c r="I68" s="4">
        <v>5.3402269976375531E-2</v>
      </c>
      <c r="J68" s="4">
        <f>1-H68-I68</f>
        <v>2.3091059170516577E-2</v>
      </c>
      <c r="K68" s="4">
        <f>SUM(H68:J68)</f>
        <v>1</v>
      </c>
      <c r="L68" s="4"/>
      <c r="M68" s="4"/>
      <c r="N68" s="4"/>
      <c r="O68" s="4"/>
      <c r="P68" s="8"/>
      <c r="Q68" s="372"/>
      <c r="R68" s="106" t="s">
        <v>3</v>
      </c>
      <c r="S68" s="4">
        <f>D62*2</f>
        <v>3.7806525010021324E-3</v>
      </c>
      <c r="T68" s="4"/>
      <c r="U68" s="4"/>
      <c r="V68" s="8"/>
      <c r="W68" s="8"/>
      <c r="X68" s="8"/>
      <c r="Y68" s="8"/>
      <c r="Z68" s="8"/>
      <c r="AA68" s="8"/>
      <c r="AB68" s="8"/>
      <c r="AC68" s="8"/>
      <c r="AD68" s="8"/>
      <c r="AE68" s="8"/>
      <c r="AF68" s="8"/>
      <c r="AG68" s="8"/>
      <c r="AH68" s="8"/>
      <c r="AI68" s="8"/>
      <c r="AJ68" s="11"/>
      <c r="AK68" s="11"/>
      <c r="AL68" s="11"/>
      <c r="AM68" s="11"/>
      <c r="AN68" s="70"/>
    </row>
    <row r="69" spans="2:42" x14ac:dyDescent="0.3">
      <c r="B69" s="69"/>
      <c r="C69" s="9" t="s">
        <v>13</v>
      </c>
      <c r="D69" s="4">
        <f>AVERAGE(D66:D68)</f>
        <v>0.57816666666666661</v>
      </c>
      <c r="E69" s="4">
        <f>D69+1.5</f>
        <v>2.0781666666666667</v>
      </c>
      <c r="F69" s="4">
        <f>AVERAGE(F66:F68)</f>
        <v>1.3440333333333332</v>
      </c>
      <c r="G69" s="8"/>
      <c r="H69" s="8"/>
      <c r="I69" s="8"/>
      <c r="J69" s="8"/>
      <c r="K69" s="8"/>
      <c r="L69" s="8"/>
      <c r="M69" s="8"/>
      <c r="N69" s="8"/>
      <c r="O69" s="8"/>
      <c r="P69" s="8"/>
      <c r="Q69" s="372" t="s">
        <v>5</v>
      </c>
      <c r="R69" s="106" t="s">
        <v>13</v>
      </c>
      <c r="S69" s="4">
        <f>AVERAGE(D66:D68)*2</f>
        <v>1.1563333333333332</v>
      </c>
      <c r="T69" s="4">
        <v>12.5</v>
      </c>
      <c r="U69" s="4">
        <f>S69*T69</f>
        <v>14.454166666666666</v>
      </c>
      <c r="V69" s="8"/>
      <c r="W69" s="8"/>
      <c r="X69" s="8"/>
      <c r="Y69" s="8"/>
      <c r="Z69" s="8"/>
      <c r="AA69" s="8"/>
      <c r="AB69" s="8"/>
      <c r="AC69" s="8"/>
      <c r="AD69" s="8"/>
      <c r="AE69" s="8"/>
      <c r="AF69" s="8"/>
      <c r="AG69" s="8"/>
      <c r="AH69" s="8"/>
      <c r="AI69" s="8"/>
      <c r="AJ69" s="11"/>
      <c r="AK69" s="11"/>
      <c r="AL69" s="11"/>
      <c r="AM69" s="11"/>
      <c r="AN69" s="70"/>
    </row>
    <row r="70" spans="2:42" x14ac:dyDescent="0.3">
      <c r="B70" s="69"/>
      <c r="C70" s="9" t="s">
        <v>3</v>
      </c>
      <c r="D70" s="4">
        <f>_xlfn.STDEV.S(D66:D68)</f>
        <v>9.7125348562224591E-4</v>
      </c>
      <c r="E70" s="4">
        <f>_xlfn.STDEV.S(E66:E68)</f>
        <v>9.7125348562229936E-4</v>
      </c>
      <c r="F70" s="4">
        <f>_xlfn.STDEV.S(F66:F68)</f>
        <v>5.7735026918956215E-5</v>
      </c>
      <c r="G70" s="8"/>
      <c r="H70" s="8"/>
      <c r="I70" s="8"/>
      <c r="J70" s="8"/>
      <c r="K70" s="8"/>
      <c r="L70" s="8"/>
      <c r="M70" s="8"/>
      <c r="N70" s="8"/>
      <c r="O70" s="8"/>
      <c r="P70" s="8"/>
      <c r="Q70" s="372"/>
      <c r="R70" s="106" t="s">
        <v>3</v>
      </c>
      <c r="S70" s="4">
        <f>D70*2</f>
        <v>1.9425069712444918E-3</v>
      </c>
      <c r="T70" s="4"/>
      <c r="U70" s="4"/>
      <c r="V70" s="8"/>
      <c r="W70" s="8"/>
      <c r="X70" s="8"/>
      <c r="Y70" s="8"/>
      <c r="Z70" s="8"/>
      <c r="AA70" s="8"/>
      <c r="AB70" s="8"/>
      <c r="AC70" s="8"/>
      <c r="AD70" s="8"/>
      <c r="AE70" s="8"/>
      <c r="AF70" s="8"/>
      <c r="AG70" s="8"/>
      <c r="AH70" s="8"/>
      <c r="AI70" s="8"/>
      <c r="AJ70" s="11"/>
      <c r="AK70" s="11"/>
      <c r="AL70" s="11"/>
      <c r="AM70" s="11"/>
      <c r="AN70" s="70"/>
    </row>
    <row r="71" spans="2:42" ht="15" thickBot="1" x14ac:dyDescent="0.35">
      <c r="B71" s="69"/>
      <c r="C71" s="1"/>
      <c r="D71" s="8"/>
      <c r="E71" s="8"/>
      <c r="F71" s="8"/>
      <c r="G71" s="8"/>
      <c r="H71" s="8"/>
      <c r="I71" s="8"/>
      <c r="J71" s="8"/>
      <c r="K71" s="8"/>
      <c r="L71" s="8"/>
      <c r="M71" s="8"/>
      <c r="N71" s="8"/>
      <c r="O71" s="8"/>
      <c r="P71" s="8"/>
      <c r="Q71" s="145"/>
      <c r="R71" s="8"/>
      <c r="S71" s="8"/>
      <c r="T71" s="8"/>
      <c r="U71" s="8"/>
      <c r="V71" s="8"/>
      <c r="W71" s="8"/>
      <c r="X71" s="8"/>
      <c r="Y71" s="8"/>
      <c r="Z71" s="8"/>
      <c r="AA71" s="8"/>
      <c r="AB71" s="8"/>
      <c r="AC71" s="8"/>
      <c r="AD71" s="8"/>
      <c r="AE71" s="8"/>
      <c r="AF71" s="8"/>
      <c r="AG71" s="8"/>
      <c r="AH71" s="8"/>
      <c r="AI71" s="8"/>
      <c r="AJ71" s="11"/>
      <c r="AK71" s="11"/>
      <c r="AL71" s="11"/>
      <c r="AM71" s="11"/>
      <c r="AN71" s="70"/>
    </row>
    <row r="72" spans="2:42" ht="15" thickBot="1" x14ac:dyDescent="0.35">
      <c r="B72" s="65"/>
      <c r="C72" s="66"/>
      <c r="D72" s="67"/>
      <c r="E72" s="67"/>
      <c r="F72" s="67"/>
      <c r="G72" s="67"/>
      <c r="H72" s="67"/>
      <c r="I72" s="67"/>
      <c r="J72" s="67"/>
      <c r="K72" s="67"/>
      <c r="L72" s="67"/>
      <c r="M72" s="67"/>
      <c r="N72" s="67"/>
      <c r="O72" s="67"/>
      <c r="P72" s="67"/>
      <c r="Q72" s="151"/>
      <c r="R72" s="67"/>
      <c r="S72" s="67"/>
      <c r="T72" s="67"/>
      <c r="U72" s="67"/>
      <c r="V72" s="67"/>
      <c r="W72" s="67"/>
      <c r="X72" s="67"/>
      <c r="Y72" s="67"/>
      <c r="Z72" s="67"/>
      <c r="AA72" s="67"/>
      <c r="AB72" s="67"/>
      <c r="AC72" s="67"/>
      <c r="AD72" s="67"/>
      <c r="AE72" s="67"/>
      <c r="AF72" s="67"/>
      <c r="AG72" s="67"/>
      <c r="AH72" s="67"/>
      <c r="AI72" s="67"/>
      <c r="AJ72" s="165"/>
      <c r="AK72" s="165"/>
      <c r="AL72" s="165"/>
      <c r="AM72" s="165"/>
      <c r="AN72" s="68"/>
    </row>
    <row r="73" spans="2:42" x14ac:dyDescent="0.3">
      <c r="B73" s="69"/>
      <c r="C73" s="1"/>
      <c r="D73" s="8"/>
      <c r="E73" s="8"/>
      <c r="F73" s="8"/>
      <c r="G73" s="8"/>
      <c r="H73" s="8"/>
      <c r="I73" s="8"/>
      <c r="J73" s="8"/>
      <c r="K73" s="8"/>
      <c r="L73" s="8"/>
      <c r="M73" s="8"/>
      <c r="N73" s="8"/>
      <c r="O73" s="8"/>
      <c r="P73" s="8"/>
      <c r="Q73" s="8"/>
      <c r="R73" s="8"/>
      <c r="S73" s="8"/>
      <c r="T73" s="8"/>
      <c r="U73" s="8"/>
      <c r="V73" s="8"/>
      <c r="W73" s="8"/>
      <c r="X73" s="8"/>
      <c r="Y73" s="8"/>
      <c r="Z73" s="8"/>
      <c r="AA73" s="8"/>
      <c r="AB73" s="8"/>
      <c r="AC73" s="207"/>
      <c r="AD73" s="378" t="s">
        <v>57</v>
      </c>
      <c r="AE73" s="378"/>
      <c r="AF73" s="378"/>
      <c r="AG73" s="378"/>
      <c r="AH73" s="383" t="s">
        <v>117</v>
      </c>
      <c r="AI73" s="384"/>
      <c r="AJ73" s="379" t="s">
        <v>77</v>
      </c>
      <c r="AK73" s="379"/>
      <c r="AL73" s="379"/>
      <c r="AM73" s="380"/>
      <c r="AN73" s="70"/>
    </row>
    <row r="74" spans="2:42" x14ac:dyDescent="0.3">
      <c r="B74" s="74" t="s">
        <v>126</v>
      </c>
      <c r="C74" s="1"/>
      <c r="D74" s="8"/>
      <c r="E74" s="8"/>
      <c r="F74" s="8"/>
      <c r="G74" s="8"/>
      <c r="H74" s="8"/>
      <c r="I74" s="8"/>
      <c r="J74" s="8"/>
      <c r="K74" s="8"/>
      <c r="L74" s="8"/>
      <c r="M74" s="8"/>
      <c r="N74" s="8"/>
      <c r="O74" s="8"/>
      <c r="P74" s="8"/>
      <c r="Q74" s="8"/>
      <c r="R74" s="106" t="s">
        <v>69</v>
      </c>
      <c r="S74" s="106" t="s">
        <v>70</v>
      </c>
      <c r="T74" s="106" t="s">
        <v>71</v>
      </c>
      <c r="U74" s="106" t="s">
        <v>72</v>
      </c>
      <c r="V74" s="8"/>
      <c r="W74" s="8"/>
      <c r="X74" s="106"/>
      <c r="Y74" s="106" t="s">
        <v>68</v>
      </c>
      <c r="Z74" s="106" t="s">
        <v>67</v>
      </c>
      <c r="AA74" s="106" t="s">
        <v>73</v>
      </c>
      <c r="AB74" s="8"/>
      <c r="AC74" s="202"/>
      <c r="AD74" s="208" t="s">
        <v>0</v>
      </c>
      <c r="AE74" s="208" t="s">
        <v>52</v>
      </c>
      <c r="AF74" s="208" t="s">
        <v>20</v>
      </c>
      <c r="AG74" s="208" t="s">
        <v>12</v>
      </c>
      <c r="AH74" s="208" t="s">
        <v>15</v>
      </c>
      <c r="AI74" s="208" t="s">
        <v>76</v>
      </c>
      <c r="AJ74" s="210" t="s">
        <v>0</v>
      </c>
      <c r="AK74" s="210" t="s">
        <v>52</v>
      </c>
      <c r="AL74" s="210" t="s">
        <v>20</v>
      </c>
      <c r="AM74" s="211" t="s">
        <v>12</v>
      </c>
      <c r="AN74" s="70"/>
    </row>
    <row r="75" spans="2:42" x14ac:dyDescent="0.3">
      <c r="B75" s="69"/>
      <c r="C75" s="9"/>
      <c r="D75" s="372" t="s">
        <v>57</v>
      </c>
      <c r="E75" s="372"/>
      <c r="F75" s="373"/>
      <c r="G75" s="201"/>
      <c r="H75" s="145"/>
      <c r="I75" s="145"/>
      <c r="J75" s="145"/>
      <c r="K75" s="145"/>
      <c r="L75" s="145"/>
      <c r="M75" s="106"/>
      <c r="N75" s="201" t="s">
        <v>11</v>
      </c>
      <c r="O75" s="201"/>
      <c r="P75" s="106"/>
      <c r="Q75" s="8"/>
      <c r="R75" s="59">
        <v>0.13780000000000001</v>
      </c>
      <c r="S75" s="59">
        <v>0.16</v>
      </c>
      <c r="T75" s="59">
        <f>F85</f>
        <v>1.3514999999999999</v>
      </c>
      <c r="U75" s="59">
        <f>F93</f>
        <v>1.3482333333333336</v>
      </c>
      <c r="V75" s="8"/>
      <c r="W75" s="8"/>
      <c r="X75" s="106" t="s">
        <v>6</v>
      </c>
      <c r="Y75" s="59">
        <f>N77</f>
        <v>0.22566718995290425</v>
      </c>
      <c r="Z75" s="59">
        <f>O77</f>
        <v>0.18602825745682891</v>
      </c>
      <c r="AA75" s="59">
        <f>P77</f>
        <v>0.58830455259026682</v>
      </c>
      <c r="AB75" s="8"/>
      <c r="AC75" s="202" t="s">
        <v>6</v>
      </c>
      <c r="AD75" s="59">
        <f>Y75*$AG75</f>
        <v>6.9</v>
      </c>
      <c r="AE75" s="59">
        <f>Z75*$AG75</f>
        <v>5.6880000000000006</v>
      </c>
      <c r="AF75" s="59">
        <f>AA75*$AG75</f>
        <v>17.988</v>
      </c>
      <c r="AG75" s="59">
        <f>AA84</f>
        <v>30.576000000000001</v>
      </c>
      <c r="AH75" s="59"/>
      <c r="AI75" s="59"/>
      <c r="AJ75" s="79">
        <f t="shared" ref="AJ75:AM78" si="6">AD75/$AG75</f>
        <v>0.22566718995290425</v>
      </c>
      <c r="AK75" s="79">
        <f>AE75/$AG75</f>
        <v>0.18602825745682891</v>
      </c>
      <c r="AL75" s="79">
        <f t="shared" si="6"/>
        <v>0.58830455259026682</v>
      </c>
      <c r="AM75" s="79">
        <f t="shared" si="6"/>
        <v>1</v>
      </c>
      <c r="AN75" s="70"/>
    </row>
    <row r="76" spans="2:42" x14ac:dyDescent="0.3">
      <c r="B76" s="69"/>
      <c r="C76" s="9" t="s">
        <v>6</v>
      </c>
      <c r="D76" s="203" t="s">
        <v>0</v>
      </c>
      <c r="E76" s="106" t="s">
        <v>52</v>
      </c>
      <c r="F76" s="204" t="s">
        <v>20</v>
      </c>
      <c r="G76" s="106" t="s">
        <v>12</v>
      </c>
      <c r="H76" s="64"/>
      <c r="I76" s="64"/>
      <c r="J76" s="64"/>
      <c r="K76" s="8"/>
      <c r="L76" s="8"/>
      <c r="M76" s="106" t="s">
        <v>6</v>
      </c>
      <c r="N76" s="106" t="s">
        <v>10</v>
      </c>
      <c r="O76" s="106" t="s">
        <v>58</v>
      </c>
      <c r="P76" s="106" t="s">
        <v>59</v>
      </c>
      <c r="Q76" s="8"/>
      <c r="R76" s="8"/>
      <c r="S76" s="8"/>
      <c r="T76" s="8"/>
      <c r="U76" s="8"/>
      <c r="V76" s="8"/>
      <c r="W76" s="8"/>
      <c r="X76" s="106" t="s">
        <v>4</v>
      </c>
      <c r="Y76" s="59">
        <v>0.12494654174610199</v>
      </c>
      <c r="Z76" s="59">
        <v>7.6128743166168598E-3</v>
      </c>
      <c r="AA76" s="59">
        <f>1-Z76-Y76</f>
        <v>0.86744058393728118</v>
      </c>
      <c r="AB76" s="8"/>
      <c r="AC76" s="202" t="s">
        <v>4</v>
      </c>
      <c r="AD76" s="59">
        <f>Y76*$AG76*E85/D85</f>
        <v>6.9156786337591738</v>
      </c>
      <c r="AE76" s="59">
        <f>Z76*$AG76*E85/D85</f>
        <v>0.42136574183785824</v>
      </c>
      <c r="AF76" s="59">
        <f>AG76-AD76-AE76</f>
        <v>7.5120556244029659</v>
      </c>
      <c r="AG76" s="59">
        <f>U91</f>
        <v>14.849099999999998</v>
      </c>
      <c r="AH76" s="59">
        <f>Y76*$R$3+Z76*$S$3+1.333</f>
        <v>1.3511858002597794</v>
      </c>
      <c r="AI76" s="59">
        <f>(T75-AH76)^2/T75</f>
        <v>7.3045857754078137E-8</v>
      </c>
      <c r="AJ76" s="79">
        <f t="shared" si="6"/>
        <v>0.46573049098997077</v>
      </c>
      <c r="AK76" s="79">
        <f>AE76/$AG76</f>
        <v>2.8376517219081177E-2</v>
      </c>
      <c r="AL76" s="79">
        <f t="shared" si="6"/>
        <v>0.50589299179094804</v>
      </c>
      <c r="AM76" s="79">
        <f t="shared" si="6"/>
        <v>1</v>
      </c>
      <c r="AN76" s="70"/>
      <c r="AO76" s="27"/>
      <c r="AP76" s="27"/>
    </row>
    <row r="77" spans="2:42" x14ac:dyDescent="0.3">
      <c r="B77" s="69"/>
      <c r="C77" s="9" t="s">
        <v>7</v>
      </c>
      <c r="D77" s="4">
        <v>6.9</v>
      </c>
      <c r="E77" s="4">
        <f>5.4+0.48*1.2/2</f>
        <v>5.6880000000000006</v>
      </c>
      <c r="F77" s="56">
        <f>17.7+0.48*1.2/2</f>
        <v>17.988</v>
      </c>
      <c r="G77" s="4">
        <f>SUM(D77:F77)</f>
        <v>30.576000000000001</v>
      </c>
      <c r="H77" s="8"/>
      <c r="I77" s="8"/>
      <c r="J77" s="8"/>
      <c r="K77" s="8"/>
      <c r="L77" s="8"/>
      <c r="M77" s="106" t="s">
        <v>7</v>
      </c>
      <c r="N77" s="139">
        <f>D77/G77</f>
        <v>0.22566718995290425</v>
      </c>
      <c r="O77" s="139">
        <f>E77/G77</f>
        <v>0.18602825745682891</v>
      </c>
      <c r="P77" s="139">
        <f>1-O77-N77</f>
        <v>0.58830455259026682</v>
      </c>
      <c r="Q77" s="8"/>
      <c r="R77" s="8"/>
      <c r="S77" s="8"/>
      <c r="T77" s="8"/>
      <c r="U77" s="8"/>
      <c r="V77" s="8"/>
      <c r="W77" s="8"/>
      <c r="X77" s="106" t="s">
        <v>5</v>
      </c>
      <c r="Y77" s="59">
        <v>0</v>
      </c>
      <c r="Z77" s="59">
        <v>9.6340635212525894E-2</v>
      </c>
      <c r="AA77" s="59">
        <f>1-Z77-Y77</f>
        <v>0.90365936478747411</v>
      </c>
      <c r="AB77" s="8"/>
      <c r="AC77" s="202" t="s">
        <v>5</v>
      </c>
      <c r="AD77" s="59">
        <f>Y77*$AG77*E93/D93</f>
        <v>0</v>
      </c>
      <c r="AE77" s="59">
        <f>Z77*$AG77*E93/D93</f>
        <v>5.2794860777734609</v>
      </c>
      <c r="AF77" s="59">
        <f>AG77-AD77-AE77</f>
        <v>10.520713922226539</v>
      </c>
      <c r="AG77" s="59">
        <f>U93</f>
        <v>15.8002</v>
      </c>
      <c r="AH77" s="59">
        <f>Y77*$R$3+Z77*$S$3+1.333</f>
        <v>1.3484145016340041</v>
      </c>
      <c r="AI77" s="59">
        <f>(U75-AH77)^2/U75</f>
        <v>2.4344416026777679E-8</v>
      </c>
      <c r="AJ77" s="79">
        <f t="shared" si="6"/>
        <v>0</v>
      </c>
      <c r="AK77" s="79">
        <f>AE77/$AG77</f>
        <v>0.33414045884061344</v>
      </c>
      <c r="AL77" s="79">
        <f t="shared" si="6"/>
        <v>0.6658595411593865</v>
      </c>
      <c r="AM77" s="79">
        <f t="shared" si="6"/>
        <v>1</v>
      </c>
      <c r="AN77" s="70"/>
      <c r="AO77" s="27"/>
      <c r="AP77" s="27"/>
    </row>
    <row r="78" spans="2:42" x14ac:dyDescent="0.3">
      <c r="B78" s="69"/>
      <c r="C78" s="1"/>
      <c r="D78" s="8"/>
      <c r="E78" s="8"/>
      <c r="F78" s="8"/>
      <c r="G78" s="8"/>
      <c r="H78" s="8"/>
      <c r="I78" s="8"/>
      <c r="J78" s="8"/>
      <c r="K78" s="8"/>
      <c r="L78" s="8"/>
      <c r="M78" s="8"/>
      <c r="N78" s="142"/>
      <c r="O78" s="142"/>
      <c r="P78" s="142"/>
      <c r="Q78" s="8"/>
      <c r="R78" s="8"/>
      <c r="S78" s="8"/>
      <c r="T78" s="8"/>
      <c r="U78" s="8"/>
      <c r="V78" s="8"/>
      <c r="W78" s="8"/>
      <c r="X78" s="8"/>
      <c r="Y78" s="8"/>
      <c r="Z78" s="8"/>
      <c r="AA78" s="8"/>
      <c r="AB78" s="8"/>
      <c r="AC78" s="202" t="s">
        <v>75</v>
      </c>
      <c r="AD78" s="59">
        <f>SUM(AD76:AD77)</f>
        <v>6.9156786337591738</v>
      </c>
      <c r="AE78" s="59">
        <f>SUM(AE76:AE77)</f>
        <v>5.7008518196113194</v>
      </c>
      <c r="AF78" s="59">
        <f>SUM(AF76:AF77)</f>
        <v>18.032769546629506</v>
      </c>
      <c r="AG78" s="59">
        <f>SUM(AG76:AG77)</f>
        <v>30.649299999999997</v>
      </c>
      <c r="AH78" s="59"/>
      <c r="AI78" s="59"/>
      <c r="AJ78" s="79">
        <f t="shared" si="6"/>
        <v>0.22563904016598013</v>
      </c>
      <c r="AK78" s="79">
        <f>AE78/$AG78</f>
        <v>0.18600267606801199</v>
      </c>
      <c r="AL78" s="79">
        <f t="shared" si="6"/>
        <v>0.58835828376600796</v>
      </c>
      <c r="AM78" s="79">
        <f t="shared" si="6"/>
        <v>1</v>
      </c>
      <c r="AN78" s="70"/>
    </row>
    <row r="79" spans="2:42" x14ac:dyDescent="0.3">
      <c r="B79" s="69"/>
      <c r="C79" s="1" t="s">
        <v>16</v>
      </c>
      <c r="D79" s="8"/>
      <c r="E79" s="8"/>
      <c r="F79" s="8"/>
      <c r="G79" s="8"/>
      <c r="H79" s="8"/>
      <c r="I79" s="8"/>
      <c r="J79" s="8"/>
      <c r="K79" s="8"/>
      <c r="L79" s="8"/>
      <c r="M79" s="8"/>
      <c r="N79" s="8"/>
      <c r="O79" s="8"/>
      <c r="P79" s="8"/>
      <c r="Q79" s="8"/>
      <c r="R79" s="8"/>
      <c r="S79" s="8"/>
      <c r="T79" s="8"/>
      <c r="U79" s="8"/>
      <c r="V79" s="8"/>
      <c r="W79" s="8"/>
      <c r="X79" s="8"/>
      <c r="Y79" s="8"/>
      <c r="Z79" s="8"/>
      <c r="AA79" s="8"/>
      <c r="AB79" s="8"/>
      <c r="AC79" s="202" t="s">
        <v>76</v>
      </c>
      <c r="AD79" s="59">
        <f>(AD78-AD75)^2/AD75</f>
        <v>3.5626022689027998E-5</v>
      </c>
      <c r="AE79" s="59">
        <f>(AE78-AE75)^2/AE75</f>
        <v>2.9038197489781549E-5</v>
      </c>
      <c r="AF79" s="59">
        <f>(AF78-AF75)^2/AF75</f>
        <v>1.1142496694527278E-4</v>
      </c>
      <c r="AG79" s="59"/>
      <c r="AH79" s="178" t="s">
        <v>74</v>
      </c>
      <c r="AI79" s="59">
        <f>AI76+AI77+AD79+AE79+AF79+AM80+AM81</f>
        <v>1.7618657739786319E-4</v>
      </c>
      <c r="AJ79" s="79"/>
      <c r="AK79" s="184" t="s">
        <v>118</v>
      </c>
      <c r="AL79" s="79">
        <f>ABS(U85-AL76)/U85</f>
        <v>3.2269365173842909E-3</v>
      </c>
      <c r="AM79" s="79"/>
      <c r="AN79" s="70"/>
    </row>
    <row r="80" spans="2:42" ht="15" thickBot="1" x14ac:dyDescent="0.35">
      <c r="B80" s="69"/>
      <c r="C80" s="1">
        <v>1.5</v>
      </c>
      <c r="D80" s="8"/>
      <c r="E80" s="8"/>
      <c r="F80" s="8"/>
      <c r="G80" s="8"/>
      <c r="H80" s="347" t="s">
        <v>130</v>
      </c>
      <c r="I80" s="347"/>
      <c r="J80" s="347"/>
      <c r="K80" s="8"/>
      <c r="L80" s="8"/>
      <c r="M80" s="8"/>
      <c r="N80" s="8"/>
      <c r="O80" s="8"/>
      <c r="P80" s="8"/>
      <c r="Q80" s="8"/>
      <c r="R80" s="8"/>
      <c r="S80" s="8"/>
      <c r="T80" s="8"/>
      <c r="U80" s="8"/>
      <c r="V80" s="8"/>
      <c r="W80" s="8"/>
      <c r="X80" s="8"/>
      <c r="Y80" s="8"/>
      <c r="Z80" s="8"/>
      <c r="AA80" s="8"/>
      <c r="AB80" s="8"/>
      <c r="AC80" s="205" t="s">
        <v>110</v>
      </c>
      <c r="AD80" s="59">
        <f>ABS((AD75-AD78)/AD75)</f>
        <v>2.2722657621990498E-3</v>
      </c>
      <c r="AE80" s="59">
        <f>ABS((AE75-AE78)/AE75)</f>
        <v>2.2594619569829043E-3</v>
      </c>
      <c r="AF80" s="59">
        <f>ABS((AF75-AF78)/AF75)</f>
        <v>2.4888562724875809E-3</v>
      </c>
      <c r="AG80" s="59">
        <f>AVERAGE(AD80:AF80)</f>
        <v>2.3401946638898449E-3</v>
      </c>
      <c r="AH80" s="59"/>
      <c r="AI80" s="59"/>
      <c r="AJ80" s="79"/>
      <c r="AK80" s="184" t="s">
        <v>119</v>
      </c>
      <c r="AL80" s="79">
        <f>ABS(U87-AL77)/U87</f>
        <v>4.5166932493456484E-2</v>
      </c>
      <c r="AM80" s="79"/>
      <c r="AN80" s="70"/>
    </row>
    <row r="81" spans="2:40" x14ac:dyDescent="0.3">
      <c r="B81" s="69"/>
      <c r="C81" s="9" t="s">
        <v>4</v>
      </c>
      <c r="D81" s="106" t="s">
        <v>14</v>
      </c>
      <c r="E81" s="106" t="s">
        <v>17</v>
      </c>
      <c r="F81" s="106" t="s">
        <v>15</v>
      </c>
      <c r="G81" s="8"/>
      <c r="H81" s="106" t="s">
        <v>54</v>
      </c>
      <c r="I81" s="106" t="s">
        <v>55</v>
      </c>
      <c r="J81" s="106" t="s">
        <v>56</v>
      </c>
      <c r="K81" s="106" t="s">
        <v>12</v>
      </c>
      <c r="L81" s="106" t="s">
        <v>48</v>
      </c>
      <c r="M81" s="106" t="s">
        <v>49</v>
      </c>
      <c r="N81" s="106" t="s">
        <v>50</v>
      </c>
      <c r="O81" s="106" t="s">
        <v>12</v>
      </c>
      <c r="P81" s="8"/>
      <c r="Q81" s="147"/>
      <c r="R81" s="147"/>
      <c r="S81" s="8"/>
      <c r="T81" s="8"/>
      <c r="U81" s="8"/>
      <c r="V81" s="8"/>
      <c r="W81" s="8"/>
      <c r="X81" s="8"/>
      <c r="Y81" s="8"/>
      <c r="Z81" s="8"/>
      <c r="AA81" s="8"/>
      <c r="AB81" s="8"/>
      <c r="AC81" s="8"/>
      <c r="AD81" s="8"/>
      <c r="AE81" s="8"/>
      <c r="AF81" s="8"/>
      <c r="AG81" s="8"/>
      <c r="AH81" s="8"/>
      <c r="AI81" s="8"/>
      <c r="AJ81" s="11"/>
      <c r="AK81" s="11"/>
      <c r="AL81" s="24"/>
      <c r="AM81" s="11"/>
      <c r="AN81" s="70"/>
    </row>
    <row r="82" spans="2:40" x14ac:dyDescent="0.3">
      <c r="B82" s="69"/>
      <c r="C82" s="9" t="s">
        <v>7</v>
      </c>
      <c r="D82" s="4">
        <v>0.5464</v>
      </c>
      <c r="E82" s="4">
        <f>D82+1.5</f>
        <v>2.0464000000000002</v>
      </c>
      <c r="F82" s="63">
        <v>1.3513999999999999</v>
      </c>
      <c r="G82" s="8"/>
      <c r="H82" s="4">
        <f>1.333</f>
        <v>1.333</v>
      </c>
      <c r="I82" s="4">
        <f>I84*0.1368</f>
        <v>1.5554243187680557E-2</v>
      </c>
      <c r="J82" s="4">
        <f>J84*0.16</f>
        <v>2.9471081385135925E-3</v>
      </c>
      <c r="K82" s="4">
        <f>SUM(H82:J82)</f>
        <v>1.351501351326194</v>
      </c>
      <c r="L82" s="4">
        <v>0.5075307613384068</v>
      </c>
      <c r="M82" s="4">
        <f>I84*(E85/D85)</f>
        <v>0.42381197026258133</v>
      </c>
      <c r="N82" s="4">
        <f>J84*(E85/D85)</f>
        <v>6.8657268399011845E-2</v>
      </c>
      <c r="O82" s="4">
        <f>SUM(L82:N82)</f>
        <v>1</v>
      </c>
      <c r="P82" s="8"/>
      <c r="Q82" s="106"/>
      <c r="R82" s="106"/>
      <c r="S82" s="106" t="s">
        <v>58</v>
      </c>
      <c r="T82" s="106" t="s">
        <v>10</v>
      </c>
      <c r="U82" s="106" t="s">
        <v>59</v>
      </c>
      <c r="V82" s="8"/>
      <c r="W82" s="373" t="s">
        <v>57</v>
      </c>
      <c r="X82" s="374"/>
      <c r="Y82" s="374"/>
      <c r="Z82" s="374"/>
      <c r="AA82" s="375"/>
      <c r="AB82" s="145"/>
      <c r="AC82" s="145"/>
      <c r="AD82" s="8"/>
      <c r="AE82" s="8"/>
      <c r="AF82" s="8"/>
      <c r="AG82" s="8"/>
      <c r="AH82" s="8"/>
      <c r="AI82" s="8"/>
      <c r="AJ82" s="11"/>
      <c r="AK82" s="11"/>
      <c r="AL82" s="11"/>
      <c r="AM82" s="11"/>
      <c r="AN82" s="70"/>
    </row>
    <row r="83" spans="2:40" x14ac:dyDescent="0.3">
      <c r="B83" s="69"/>
      <c r="C83" s="9" t="s">
        <v>8</v>
      </c>
      <c r="D83" s="4">
        <v>0.55159999999999998</v>
      </c>
      <c r="E83" s="4">
        <f>D83+1.5</f>
        <v>2.0516000000000001</v>
      </c>
      <c r="F83" s="63">
        <v>1.3516999999999999</v>
      </c>
      <c r="G83" s="8"/>
      <c r="H83" s="106" t="s">
        <v>48</v>
      </c>
      <c r="I83" s="106" t="s">
        <v>49</v>
      </c>
      <c r="J83" s="106" t="s">
        <v>50</v>
      </c>
      <c r="K83" s="106" t="s">
        <v>12</v>
      </c>
      <c r="L83" s="4"/>
      <c r="M83" s="4"/>
      <c r="N83" s="4"/>
      <c r="O83" s="4"/>
      <c r="P83" s="8"/>
      <c r="Q83" s="372" t="s">
        <v>6</v>
      </c>
      <c r="R83" s="106" t="s">
        <v>13</v>
      </c>
      <c r="S83" s="139">
        <f>O77</f>
        <v>0.18602825745682891</v>
      </c>
      <c r="T83" s="139">
        <f>N77</f>
        <v>0.22566718995290425</v>
      </c>
      <c r="U83" s="139">
        <f>P77</f>
        <v>0.58830455259026682</v>
      </c>
      <c r="V83" s="8"/>
      <c r="W83" s="106"/>
      <c r="X83" s="106" t="s">
        <v>0</v>
      </c>
      <c r="Y83" s="106" t="s">
        <v>52</v>
      </c>
      <c r="Z83" s="106" t="s">
        <v>20</v>
      </c>
      <c r="AA83" s="106" t="s">
        <v>12</v>
      </c>
      <c r="AB83" s="8"/>
      <c r="AC83" s="8"/>
      <c r="AD83" s="8"/>
      <c r="AE83" s="8"/>
      <c r="AF83" s="8"/>
      <c r="AG83" s="8"/>
      <c r="AH83" s="8"/>
      <c r="AI83" s="8"/>
      <c r="AJ83" s="11"/>
      <c r="AK83" s="11"/>
      <c r="AL83" s="11"/>
      <c r="AM83" s="11"/>
      <c r="AN83" s="70"/>
    </row>
    <row r="84" spans="2:40" x14ac:dyDescent="0.3">
      <c r="B84" s="69"/>
      <c r="C84" s="9" t="s">
        <v>9</v>
      </c>
      <c r="D84" s="4">
        <v>0.55189999999999995</v>
      </c>
      <c r="E84" s="4">
        <f>D84+1.5</f>
        <v>2.0518999999999998</v>
      </c>
      <c r="F84" s="63">
        <v>1.3513999999999999</v>
      </c>
      <c r="G84" s="8"/>
      <c r="H84" s="4">
        <f>(L82*D85+1.5)/E85</f>
        <v>0.86787996603720996</v>
      </c>
      <c r="I84" s="4">
        <v>0.11370060809708009</v>
      </c>
      <c r="J84" s="4">
        <f>1-H84-I84</f>
        <v>1.8419425865709951E-2</v>
      </c>
      <c r="K84" s="4">
        <f>SUM(H84:J84)</f>
        <v>1</v>
      </c>
      <c r="L84" s="4"/>
      <c r="M84" s="4"/>
      <c r="N84" s="4"/>
      <c r="O84" s="4"/>
      <c r="P84" s="8"/>
      <c r="Q84" s="372"/>
      <c r="R84" s="106" t="s">
        <v>3</v>
      </c>
      <c r="S84" s="139"/>
      <c r="T84" s="139"/>
      <c r="U84" s="139"/>
      <c r="V84" s="8"/>
      <c r="W84" s="106" t="s">
        <v>6</v>
      </c>
      <c r="X84" s="59">
        <f>D77</f>
        <v>6.9</v>
      </c>
      <c r="Y84" s="59">
        <f>E77</f>
        <v>5.6880000000000006</v>
      </c>
      <c r="Z84" s="59">
        <f>F77</f>
        <v>17.988</v>
      </c>
      <c r="AA84" s="59">
        <f>SUM(X84:Z84)</f>
        <v>30.576000000000001</v>
      </c>
      <c r="AB84" s="8"/>
      <c r="AC84" s="8"/>
      <c r="AD84" s="8"/>
      <c r="AE84" s="8"/>
      <c r="AF84" s="8"/>
      <c r="AG84" s="8"/>
      <c r="AH84" s="8"/>
      <c r="AI84" s="8"/>
      <c r="AJ84" s="11"/>
      <c r="AK84" s="11"/>
      <c r="AL84" s="11"/>
      <c r="AM84" s="11"/>
      <c r="AN84" s="70"/>
    </row>
    <row r="85" spans="2:40" x14ac:dyDescent="0.3">
      <c r="B85" s="69"/>
      <c r="C85" s="9" t="s">
        <v>13</v>
      </c>
      <c r="D85" s="4">
        <f>AVERAGE(D82:D84)</f>
        <v>0.5499666666666666</v>
      </c>
      <c r="E85" s="4">
        <f>D85+1.5</f>
        <v>2.0499666666666667</v>
      </c>
      <c r="F85" s="63">
        <f>AVERAGE(F82:F84)</f>
        <v>1.3514999999999999</v>
      </c>
      <c r="G85" s="8"/>
      <c r="H85" s="8"/>
      <c r="I85" s="8"/>
      <c r="J85" s="8"/>
      <c r="K85" s="8"/>
      <c r="L85" s="8"/>
      <c r="M85" s="8"/>
      <c r="N85" s="8"/>
      <c r="O85" s="8"/>
      <c r="P85" s="8"/>
      <c r="Q85" s="372" t="s">
        <v>4</v>
      </c>
      <c r="R85" s="106" t="s">
        <v>13</v>
      </c>
      <c r="S85" s="139">
        <f>N82</f>
        <v>6.8657268399011845E-2</v>
      </c>
      <c r="T85" s="139">
        <f>M82</f>
        <v>0.42381197026258133</v>
      </c>
      <c r="U85" s="146">
        <f>L82</f>
        <v>0.5075307613384068</v>
      </c>
      <c r="V85" s="8"/>
      <c r="W85" s="106" t="s">
        <v>4</v>
      </c>
      <c r="X85" s="59">
        <f>T85*$U$19</f>
        <v>7.8100069879988476</v>
      </c>
      <c r="Y85" s="59">
        <f>S85*U91</f>
        <v>1.0194986441837666</v>
      </c>
      <c r="Z85" s="59">
        <f>U91*U85</f>
        <v>7.5363750281901352</v>
      </c>
      <c r="AA85" s="59">
        <f>SUM(X85:Z85)</f>
        <v>16.365880660372749</v>
      </c>
      <c r="AB85" s="8"/>
      <c r="AC85" s="8"/>
      <c r="AD85" s="8"/>
      <c r="AE85" s="8"/>
      <c r="AF85" s="8"/>
      <c r="AG85" s="8"/>
      <c r="AH85" s="8"/>
      <c r="AI85" s="8"/>
      <c r="AJ85" s="11"/>
      <c r="AK85" s="11"/>
      <c r="AL85" s="11"/>
      <c r="AM85" s="11"/>
      <c r="AN85" s="70"/>
    </row>
    <row r="86" spans="2:40" x14ac:dyDescent="0.3">
      <c r="B86" s="69"/>
      <c r="C86" s="36" t="s">
        <v>3</v>
      </c>
      <c r="D86" s="88">
        <f>_xlfn.STDEV.S(D82:D84)</f>
        <v>3.0924639582917061E-3</v>
      </c>
      <c r="E86" s="88">
        <f>_xlfn.STDEV.S(E82:E84)</f>
        <v>3.0924639582915726E-3</v>
      </c>
      <c r="F86" s="90">
        <f>_xlfn.STDEV.S(F82:F84)</f>
        <v>1.7320508075686865E-4</v>
      </c>
      <c r="G86" s="8"/>
      <c r="H86" s="8"/>
      <c r="I86" s="8"/>
      <c r="J86" s="8"/>
      <c r="K86" s="8"/>
      <c r="L86" s="8"/>
      <c r="M86" s="8"/>
      <c r="N86" s="8"/>
      <c r="O86" s="8"/>
      <c r="P86" s="8"/>
      <c r="Q86" s="372"/>
      <c r="R86" s="106" t="s">
        <v>3</v>
      </c>
      <c r="S86" s="139"/>
      <c r="T86" s="139"/>
      <c r="U86" s="139"/>
      <c r="V86" s="8"/>
      <c r="W86" s="106" t="s">
        <v>5</v>
      </c>
      <c r="X86" s="59">
        <v>0</v>
      </c>
      <c r="Y86" s="59">
        <f>Y84-Y85</f>
        <v>4.6685013558162343</v>
      </c>
      <c r="Z86" s="59">
        <f>U93*U87</f>
        <v>10.066060832145975</v>
      </c>
      <c r="AA86" s="59">
        <f>SUM(X86:Z86)</f>
        <v>14.73456218796221</v>
      </c>
      <c r="AB86" s="8"/>
      <c r="AC86" s="8"/>
      <c r="AD86" s="8"/>
      <c r="AE86" s="8"/>
      <c r="AF86" s="8"/>
      <c r="AG86" s="8"/>
      <c r="AH86" s="8"/>
      <c r="AI86" s="8"/>
      <c r="AJ86" s="11"/>
      <c r="AK86" s="11"/>
      <c r="AL86" s="11"/>
      <c r="AM86" s="11"/>
      <c r="AN86" s="70"/>
    </row>
    <row r="87" spans="2:40" x14ac:dyDescent="0.3">
      <c r="B87" s="69"/>
      <c r="C87" s="87"/>
      <c r="D87" s="89"/>
      <c r="E87" s="89"/>
      <c r="F87" s="91"/>
      <c r="G87" s="8"/>
      <c r="H87" s="8"/>
      <c r="I87" s="8"/>
      <c r="J87" s="8"/>
      <c r="K87" s="8"/>
      <c r="L87" s="8"/>
      <c r="M87" s="8"/>
      <c r="N87" s="8"/>
      <c r="O87" s="8"/>
      <c r="P87" s="8"/>
      <c r="Q87" s="372" t="s">
        <v>5</v>
      </c>
      <c r="R87" s="106" t="s">
        <v>13</v>
      </c>
      <c r="S87" s="139">
        <f>N90</f>
        <v>0.13260056999537503</v>
      </c>
      <c r="T87" s="139">
        <f>M90</f>
        <v>0.23031503663327677</v>
      </c>
      <c r="U87" s="139">
        <f>L90</f>
        <v>0.63708439337134815</v>
      </c>
      <c r="V87" s="8"/>
      <c r="W87" s="106" t="s">
        <v>62</v>
      </c>
      <c r="X87" s="59">
        <f>SUM(X85:X86)</f>
        <v>7.8100069879988476</v>
      </c>
      <c r="Y87" s="59">
        <f>SUM(Y85:Y86)</f>
        <v>5.6880000000000006</v>
      </c>
      <c r="Z87" s="59">
        <f>SUM(Z85:Z86)</f>
        <v>17.602435860336112</v>
      </c>
      <c r="AA87" s="59">
        <f>SUM(X87:Z87)</f>
        <v>31.100442848334961</v>
      </c>
      <c r="AB87" s="8"/>
      <c r="AC87" s="8"/>
      <c r="AD87" s="8"/>
      <c r="AE87" s="8"/>
      <c r="AF87" s="8"/>
      <c r="AG87" s="8"/>
      <c r="AH87" s="8"/>
      <c r="AI87" s="8"/>
      <c r="AJ87" s="11"/>
      <c r="AK87" s="11"/>
      <c r="AL87" s="11"/>
      <c r="AM87" s="11"/>
      <c r="AN87" s="70"/>
    </row>
    <row r="88" spans="2:40" x14ac:dyDescent="0.3">
      <c r="B88" s="69"/>
      <c r="C88" s="21"/>
      <c r="D88" s="147"/>
      <c r="E88" s="147"/>
      <c r="F88" s="209"/>
      <c r="G88" s="8"/>
      <c r="H88" s="347" t="s">
        <v>131</v>
      </c>
      <c r="I88" s="347"/>
      <c r="J88" s="347"/>
      <c r="K88" s="8"/>
      <c r="L88" s="8"/>
      <c r="M88" s="8"/>
      <c r="N88" s="8"/>
      <c r="O88" s="8"/>
      <c r="P88" s="8"/>
      <c r="Q88" s="372"/>
      <c r="R88" s="106" t="s">
        <v>3</v>
      </c>
      <c r="S88" s="139"/>
      <c r="T88" s="139"/>
      <c r="U88" s="146"/>
      <c r="V88" s="8"/>
      <c r="W88" s="8"/>
      <c r="X88" s="8"/>
      <c r="Y88" s="8"/>
      <c r="Z88" s="8"/>
      <c r="AA88" s="8"/>
      <c r="AB88" s="8"/>
      <c r="AC88" s="8"/>
      <c r="AD88" s="8"/>
      <c r="AE88" s="8"/>
      <c r="AF88" s="8"/>
      <c r="AG88" s="8"/>
      <c r="AH88" s="8"/>
      <c r="AI88" s="8"/>
      <c r="AJ88" s="11"/>
      <c r="AK88" s="11"/>
      <c r="AL88" s="11"/>
      <c r="AM88" s="11"/>
      <c r="AN88" s="70"/>
    </row>
    <row r="89" spans="2:40" x14ac:dyDescent="0.3">
      <c r="B89" s="69"/>
      <c r="C89" s="35" t="s">
        <v>5</v>
      </c>
      <c r="D89" s="206" t="s">
        <v>14</v>
      </c>
      <c r="E89" s="206" t="s">
        <v>17</v>
      </c>
      <c r="F89" s="206" t="s">
        <v>15</v>
      </c>
      <c r="G89" s="8"/>
      <c r="H89" s="106" t="s">
        <v>54</v>
      </c>
      <c r="I89" s="106" t="s">
        <v>55</v>
      </c>
      <c r="J89" s="106" t="s">
        <v>56</v>
      </c>
      <c r="K89" s="106" t="s">
        <v>12</v>
      </c>
      <c r="L89" s="106" t="s">
        <v>48</v>
      </c>
      <c r="M89" s="106" t="s">
        <v>49</v>
      </c>
      <c r="N89" s="106" t="s">
        <v>50</v>
      </c>
      <c r="O89" s="106" t="s">
        <v>12</v>
      </c>
      <c r="P89" s="8"/>
      <c r="Q89" s="8"/>
      <c r="R89" s="8"/>
      <c r="S89" s="8"/>
      <c r="T89" s="8"/>
      <c r="U89" s="8"/>
      <c r="V89" s="8"/>
      <c r="W89" s="8"/>
      <c r="X89" s="8"/>
      <c r="Y89" s="8"/>
      <c r="Z89" s="8"/>
      <c r="AA89" s="8"/>
      <c r="AB89" s="8"/>
      <c r="AC89" s="8"/>
      <c r="AD89" s="8"/>
      <c r="AE89" s="8"/>
      <c r="AF89" s="8"/>
      <c r="AG89" s="8"/>
      <c r="AH89" s="8"/>
      <c r="AI89" s="8"/>
      <c r="AJ89" s="11"/>
      <c r="AK89" s="11"/>
      <c r="AL89" s="11"/>
      <c r="AM89" s="11"/>
      <c r="AN89" s="70"/>
    </row>
    <row r="90" spans="2:40" x14ac:dyDescent="0.3">
      <c r="B90" s="69"/>
      <c r="C90" s="9" t="s">
        <v>7</v>
      </c>
      <c r="D90" s="4">
        <v>0.60809999999999997</v>
      </c>
      <c r="E90" s="4">
        <f>D90+1.5</f>
        <v>2.1080999999999999</v>
      </c>
      <c r="F90" s="63">
        <v>1.3481000000000001</v>
      </c>
      <c r="G90" s="8"/>
      <c r="H90" s="4">
        <f>1.333</f>
        <v>1.333</v>
      </c>
      <c r="I90" s="4">
        <f>I92*0.1368</f>
        <v>9.0842448421726944E-3</v>
      </c>
      <c r="J90" s="4">
        <f>J92*0.16</f>
        <v>6.1171032982826334E-3</v>
      </c>
      <c r="K90" s="4">
        <f>SUM(H90:J90)</f>
        <v>1.3482013481404551</v>
      </c>
      <c r="L90" s="4">
        <v>0.63708439337134815</v>
      </c>
      <c r="M90" s="4">
        <f>I92*(E93/D93)</f>
        <v>0.23031503663327677</v>
      </c>
      <c r="N90" s="4">
        <f>J92*(E93/D93)</f>
        <v>0.13260056999537503</v>
      </c>
      <c r="O90" s="4">
        <f>SUM(L90:N90)</f>
        <v>1</v>
      </c>
      <c r="P90" s="8"/>
      <c r="Q90" s="106"/>
      <c r="R90" s="106"/>
      <c r="S90" s="106" t="s">
        <v>23</v>
      </c>
      <c r="T90" s="106" t="s">
        <v>60</v>
      </c>
      <c r="U90" s="106" t="s">
        <v>61</v>
      </c>
      <c r="V90" s="8"/>
      <c r="W90" s="8"/>
      <c r="X90" s="8"/>
      <c r="Y90" s="8"/>
      <c r="Z90" s="8"/>
      <c r="AA90" s="8"/>
      <c r="AB90" s="8"/>
      <c r="AC90" s="8"/>
      <c r="AD90" s="8"/>
      <c r="AE90" s="8"/>
      <c r="AF90" s="8"/>
      <c r="AG90" s="8"/>
      <c r="AH90" s="8"/>
      <c r="AI90" s="8"/>
      <c r="AJ90" s="11"/>
      <c r="AK90" s="11"/>
      <c r="AL90" s="11"/>
      <c r="AM90" s="11"/>
      <c r="AN90" s="70"/>
    </row>
    <row r="91" spans="2:40" x14ac:dyDescent="0.3">
      <c r="B91" s="69"/>
      <c r="C91" s="9" t="s">
        <v>8</v>
      </c>
      <c r="D91" s="4">
        <v>0.60750000000000004</v>
      </c>
      <c r="E91" s="4">
        <f>D91+1.5</f>
        <v>2.1074999999999999</v>
      </c>
      <c r="F91" s="63">
        <v>1.3487</v>
      </c>
      <c r="G91" s="8"/>
      <c r="H91" s="106" t="s">
        <v>48</v>
      </c>
      <c r="I91" s="106" t="s">
        <v>49</v>
      </c>
      <c r="J91" s="106" t="s">
        <v>50</v>
      </c>
      <c r="K91" s="106" t="s">
        <v>12</v>
      </c>
      <c r="L91" s="4"/>
      <c r="M91" s="4"/>
      <c r="N91" s="4"/>
      <c r="O91" s="4"/>
      <c r="P91" s="8"/>
      <c r="Q91" s="372" t="s">
        <v>4</v>
      </c>
      <c r="R91" s="106" t="s">
        <v>13</v>
      </c>
      <c r="S91" s="4">
        <f>AVERAGE(D82:D84)*2</f>
        <v>1.0999333333333332</v>
      </c>
      <c r="T91" s="4">
        <v>13.5</v>
      </c>
      <c r="U91" s="4">
        <f>S91*T91</f>
        <v>14.849099999999998</v>
      </c>
      <c r="V91" s="8"/>
      <c r="W91" s="8"/>
      <c r="X91" s="8"/>
      <c r="Y91" s="8"/>
      <c r="Z91" s="8"/>
      <c r="AA91" s="8"/>
      <c r="AB91" s="8"/>
      <c r="AC91" s="8"/>
      <c r="AD91" s="8"/>
      <c r="AE91" s="8"/>
      <c r="AF91" s="8"/>
      <c r="AG91" s="8"/>
      <c r="AH91" s="8"/>
      <c r="AI91" s="8"/>
      <c r="AJ91" s="11"/>
      <c r="AK91" s="11"/>
      <c r="AL91" s="11"/>
      <c r="AM91" s="11"/>
      <c r="AN91" s="70"/>
    </row>
    <row r="92" spans="2:40" x14ac:dyDescent="0.3">
      <c r="B92" s="69"/>
      <c r="C92" s="9" t="s">
        <v>9</v>
      </c>
      <c r="D92" s="4">
        <v>0.60750000000000004</v>
      </c>
      <c r="E92" s="4">
        <f>D92+1.5</f>
        <v>2.1074999999999999</v>
      </c>
      <c r="F92" s="63">
        <v>1.3479000000000001</v>
      </c>
      <c r="G92" s="8"/>
      <c r="H92" s="4">
        <f>(L90*D93+1.5)/E93</f>
        <v>0.89536280583183958</v>
      </c>
      <c r="I92" s="4">
        <v>6.640529855389396E-2</v>
      </c>
      <c r="J92" s="4">
        <f>1-H92-I92</f>
        <v>3.8231895614266459E-2</v>
      </c>
      <c r="K92" s="4">
        <f>SUM(H92:J92)</f>
        <v>1</v>
      </c>
      <c r="L92" s="4"/>
      <c r="M92" s="4"/>
      <c r="N92" s="4"/>
      <c r="O92" s="4"/>
      <c r="P92" s="8"/>
      <c r="Q92" s="372"/>
      <c r="R92" s="106" t="s">
        <v>3</v>
      </c>
      <c r="S92" s="4">
        <f>D86*2</f>
        <v>6.1849279165834123E-3</v>
      </c>
      <c r="T92" s="4"/>
      <c r="U92" s="4"/>
      <c r="V92" s="8"/>
      <c r="W92" s="8"/>
      <c r="X92" s="8"/>
      <c r="Y92" s="8"/>
      <c r="Z92" s="8"/>
      <c r="AA92" s="8"/>
      <c r="AB92" s="8"/>
      <c r="AC92" s="8"/>
      <c r="AD92" s="8"/>
      <c r="AE92" s="8"/>
      <c r="AF92" s="8"/>
      <c r="AG92" s="8"/>
      <c r="AH92" s="8"/>
      <c r="AI92" s="8"/>
      <c r="AJ92" s="11"/>
      <c r="AK92" s="11"/>
      <c r="AL92" s="11"/>
      <c r="AM92" s="11"/>
      <c r="AN92" s="70"/>
    </row>
    <row r="93" spans="2:40" x14ac:dyDescent="0.3">
      <c r="B93" s="69"/>
      <c r="C93" s="9" t="s">
        <v>13</v>
      </c>
      <c r="D93" s="4">
        <f>AVERAGE(D90:D92)</f>
        <v>0.60770000000000002</v>
      </c>
      <c r="E93" s="4">
        <f>D93+1.5</f>
        <v>2.1076999999999999</v>
      </c>
      <c r="F93" s="63">
        <f>AVERAGE(F90:F92)</f>
        <v>1.3482333333333336</v>
      </c>
      <c r="G93" s="8"/>
      <c r="H93" s="8"/>
      <c r="I93" s="8"/>
      <c r="J93" s="8"/>
      <c r="K93" s="8"/>
      <c r="L93" s="8"/>
      <c r="M93" s="8"/>
      <c r="N93" s="8"/>
      <c r="O93" s="8"/>
      <c r="P93" s="8"/>
      <c r="Q93" s="372" t="s">
        <v>5</v>
      </c>
      <c r="R93" s="106" t="s">
        <v>13</v>
      </c>
      <c r="S93" s="4">
        <f>AVERAGE(D90:D92)*2</f>
        <v>1.2154</v>
      </c>
      <c r="T93" s="4">
        <v>13</v>
      </c>
      <c r="U93" s="4">
        <f>S93*T93</f>
        <v>15.8002</v>
      </c>
      <c r="V93" s="8"/>
      <c r="W93" s="8"/>
      <c r="X93" s="8"/>
      <c r="Y93" s="8"/>
      <c r="Z93" s="8"/>
      <c r="AA93" s="8"/>
      <c r="AB93" s="8"/>
      <c r="AC93" s="8"/>
      <c r="AD93" s="8"/>
      <c r="AE93" s="8"/>
      <c r="AF93" s="8"/>
      <c r="AG93" s="8"/>
      <c r="AH93" s="8"/>
      <c r="AI93" s="8"/>
      <c r="AJ93" s="11"/>
      <c r="AK93" s="11"/>
      <c r="AL93" s="11"/>
      <c r="AM93" s="11"/>
      <c r="AN93" s="70"/>
    </row>
    <row r="94" spans="2:40" x14ac:dyDescent="0.3">
      <c r="B94" s="69"/>
      <c r="C94" s="9" t="s">
        <v>3</v>
      </c>
      <c r="D94" s="4">
        <f>_xlfn.STDEV.S(D90:D92)</f>
        <v>3.4641016151373729E-4</v>
      </c>
      <c r="E94" s="4">
        <f>_xlfn.STDEV.S(E90:E92)</f>
        <v>3.4641016151373729E-4</v>
      </c>
      <c r="F94" s="63">
        <f>_xlfn.STDEV.S(F90:F92)</f>
        <v>4.1633319989318069E-4</v>
      </c>
      <c r="G94" s="8"/>
      <c r="H94" s="8"/>
      <c r="I94" s="8"/>
      <c r="J94" s="8"/>
      <c r="K94" s="8"/>
      <c r="L94" s="8"/>
      <c r="M94" s="8"/>
      <c r="N94" s="8"/>
      <c r="O94" s="8"/>
      <c r="P94" s="8"/>
      <c r="Q94" s="372"/>
      <c r="R94" s="106" t="s">
        <v>3</v>
      </c>
      <c r="S94" s="4">
        <f>D94*2</f>
        <v>6.9282032302747459E-4</v>
      </c>
      <c r="T94" s="4"/>
      <c r="U94" s="4"/>
      <c r="V94" s="8"/>
      <c r="W94" s="8"/>
      <c r="X94" s="8"/>
      <c r="Y94" s="8"/>
      <c r="Z94" s="8"/>
      <c r="AA94" s="8"/>
      <c r="AB94" s="8"/>
      <c r="AC94" s="8"/>
      <c r="AD94" s="8"/>
      <c r="AE94" s="8"/>
      <c r="AF94" s="8"/>
      <c r="AG94" s="8"/>
      <c r="AH94" s="8"/>
      <c r="AI94" s="8"/>
      <c r="AJ94" s="11"/>
      <c r="AK94" s="11"/>
      <c r="AL94" s="11"/>
      <c r="AM94" s="11"/>
      <c r="AN94" s="70"/>
    </row>
    <row r="95" spans="2:40" ht="15" thickBot="1" x14ac:dyDescent="0.35">
      <c r="B95" s="71"/>
      <c r="C95" s="16"/>
      <c r="D95" s="73"/>
      <c r="E95" s="73"/>
      <c r="F95" s="73"/>
      <c r="G95" s="73"/>
      <c r="H95" s="73"/>
      <c r="I95" s="73"/>
      <c r="J95" s="73"/>
      <c r="K95" s="73"/>
      <c r="L95" s="73"/>
      <c r="M95" s="73"/>
      <c r="N95" s="73"/>
      <c r="O95" s="73"/>
      <c r="P95" s="73"/>
      <c r="Q95" s="149"/>
      <c r="R95" s="73"/>
      <c r="S95" s="73"/>
      <c r="T95" s="73"/>
      <c r="U95" s="73"/>
      <c r="V95" s="73"/>
      <c r="W95" s="73"/>
      <c r="X95" s="73"/>
      <c r="Y95" s="73"/>
      <c r="Z95" s="73"/>
      <c r="AA95" s="73"/>
      <c r="AB95" s="73"/>
      <c r="AC95" s="73"/>
      <c r="AD95" s="73"/>
      <c r="AE95" s="73"/>
      <c r="AF95" s="73"/>
      <c r="AG95" s="73"/>
      <c r="AH95" s="73"/>
      <c r="AI95" s="73"/>
      <c r="AJ95" s="164"/>
      <c r="AK95" s="164"/>
      <c r="AL95" s="164"/>
      <c r="AM95" s="164"/>
      <c r="AN95" s="72"/>
    </row>
    <row r="96" spans="2:40" ht="15" thickBot="1" x14ac:dyDescent="0.35">
      <c r="B96" s="65"/>
      <c r="C96" s="66"/>
      <c r="D96" s="67"/>
      <c r="E96" s="67"/>
      <c r="F96" s="67"/>
      <c r="G96" s="67"/>
      <c r="H96" s="67"/>
      <c r="I96" s="67"/>
      <c r="J96" s="67"/>
      <c r="K96" s="67"/>
      <c r="L96" s="67"/>
      <c r="M96" s="67"/>
      <c r="N96" s="67"/>
      <c r="O96" s="67"/>
      <c r="P96" s="67"/>
      <c r="Q96" s="151"/>
      <c r="R96" s="67"/>
      <c r="S96" s="67"/>
      <c r="T96" s="67"/>
      <c r="U96" s="67"/>
      <c r="V96" s="67"/>
      <c r="W96" s="67"/>
      <c r="X96" s="67"/>
      <c r="Y96" s="67"/>
      <c r="Z96" s="67"/>
      <c r="AA96" s="67"/>
      <c r="AB96" s="67"/>
      <c r="AC96" s="67"/>
      <c r="AD96" s="67"/>
      <c r="AE96" s="67"/>
      <c r="AF96" s="67"/>
      <c r="AG96" s="67"/>
      <c r="AH96" s="67"/>
      <c r="AI96" s="67"/>
      <c r="AJ96" s="165"/>
      <c r="AK96" s="165"/>
      <c r="AL96" s="165"/>
      <c r="AM96" s="165"/>
      <c r="AN96" s="68"/>
    </row>
    <row r="97" spans="2:42" x14ac:dyDescent="0.3">
      <c r="B97" s="69"/>
      <c r="C97" s="1"/>
      <c r="D97" s="8"/>
      <c r="E97" s="8"/>
      <c r="F97" s="8"/>
      <c r="G97" s="8"/>
      <c r="H97" s="8"/>
      <c r="I97" s="8"/>
      <c r="J97" s="8"/>
      <c r="K97" s="8"/>
      <c r="L97" s="8"/>
      <c r="M97" s="8"/>
      <c r="N97" s="8"/>
      <c r="O97" s="8"/>
      <c r="P97" s="8"/>
      <c r="Q97" s="8"/>
      <c r="R97" s="8"/>
      <c r="S97" s="8"/>
      <c r="T97" s="8"/>
      <c r="U97" s="8"/>
      <c r="V97" s="8"/>
      <c r="W97" s="8"/>
      <c r="X97" s="8"/>
      <c r="Y97" s="8"/>
      <c r="Z97" s="8"/>
      <c r="AA97" s="8"/>
      <c r="AB97" s="8"/>
      <c r="AC97" s="207"/>
      <c r="AD97" s="378" t="s">
        <v>57</v>
      </c>
      <c r="AE97" s="378"/>
      <c r="AF97" s="378"/>
      <c r="AG97" s="378"/>
      <c r="AH97" s="383" t="s">
        <v>117</v>
      </c>
      <c r="AI97" s="384"/>
      <c r="AJ97" s="379" t="s">
        <v>77</v>
      </c>
      <c r="AK97" s="379"/>
      <c r="AL97" s="379"/>
      <c r="AM97" s="380"/>
      <c r="AN97" s="70"/>
    </row>
    <row r="98" spans="2:42" x14ac:dyDescent="0.3">
      <c r="B98" s="74" t="s">
        <v>127</v>
      </c>
      <c r="C98" s="1"/>
      <c r="D98" s="8"/>
      <c r="E98" s="8"/>
      <c r="F98" s="8"/>
      <c r="G98" s="8"/>
      <c r="H98" s="8"/>
      <c r="I98" s="8"/>
      <c r="J98" s="8"/>
      <c r="K98" s="8"/>
      <c r="L98" s="8"/>
      <c r="M98" s="8"/>
      <c r="N98" s="8"/>
      <c r="O98" s="8"/>
      <c r="P98" s="8"/>
      <c r="Q98" s="8"/>
      <c r="R98" s="106" t="s">
        <v>69</v>
      </c>
      <c r="S98" s="106" t="s">
        <v>70</v>
      </c>
      <c r="T98" s="106" t="s">
        <v>71</v>
      </c>
      <c r="U98" s="106" t="s">
        <v>72</v>
      </c>
      <c r="V98" s="8"/>
      <c r="W98" s="8"/>
      <c r="X98" s="106"/>
      <c r="Y98" s="106" t="s">
        <v>68</v>
      </c>
      <c r="Z98" s="106" t="s">
        <v>67</v>
      </c>
      <c r="AA98" s="106" t="s">
        <v>73</v>
      </c>
      <c r="AB98" s="8"/>
      <c r="AC98" s="202"/>
      <c r="AD98" s="208" t="s">
        <v>0</v>
      </c>
      <c r="AE98" s="208" t="s">
        <v>52</v>
      </c>
      <c r="AF98" s="208" t="s">
        <v>20</v>
      </c>
      <c r="AG98" s="208" t="s">
        <v>12</v>
      </c>
      <c r="AH98" s="208" t="s">
        <v>15</v>
      </c>
      <c r="AI98" s="208" t="s">
        <v>76</v>
      </c>
      <c r="AJ98" s="210" t="s">
        <v>0</v>
      </c>
      <c r="AK98" s="210" t="s">
        <v>52</v>
      </c>
      <c r="AL98" s="210" t="s">
        <v>20</v>
      </c>
      <c r="AM98" s="211" t="s">
        <v>12</v>
      </c>
      <c r="AN98" s="70"/>
    </row>
    <row r="99" spans="2:42" x14ac:dyDescent="0.3">
      <c r="B99" s="69"/>
      <c r="C99" s="9"/>
      <c r="D99" s="372" t="s">
        <v>57</v>
      </c>
      <c r="E99" s="372"/>
      <c r="F99" s="373"/>
      <c r="G99" s="201"/>
      <c r="H99" s="145"/>
      <c r="I99" s="145"/>
      <c r="J99" s="145"/>
      <c r="K99" s="145"/>
      <c r="L99" s="145"/>
      <c r="M99" s="106"/>
      <c r="N99" s="201" t="s">
        <v>11</v>
      </c>
      <c r="O99" s="201"/>
      <c r="P99" s="106"/>
      <c r="Q99" s="8"/>
      <c r="R99" s="59">
        <v>0.13780000000000001</v>
      </c>
      <c r="S99" s="59">
        <v>0.16</v>
      </c>
      <c r="T99" s="59">
        <f>F109</f>
        <v>1.3529</v>
      </c>
      <c r="U99" s="59">
        <f>F117</f>
        <v>1.3500333333333334</v>
      </c>
      <c r="V99" s="8"/>
      <c r="W99" s="8"/>
      <c r="X99" s="106" t="s">
        <v>6</v>
      </c>
      <c r="Y99" s="59">
        <f>N101</f>
        <v>0.24625689519306537</v>
      </c>
      <c r="Z99" s="59">
        <f>O101</f>
        <v>0.20449172576832148</v>
      </c>
      <c r="AA99" s="59">
        <f>P101</f>
        <v>0.54925137903861321</v>
      </c>
      <c r="AB99" s="8"/>
      <c r="AC99" s="202" t="s">
        <v>6</v>
      </c>
      <c r="AD99" s="59">
        <f>Y99*$AG99</f>
        <v>7.5</v>
      </c>
      <c r="AE99" s="59">
        <f>Z99*$AG99</f>
        <v>6.2279999999999998</v>
      </c>
      <c r="AF99" s="59">
        <f>AA99*$AG99</f>
        <v>16.728000000000005</v>
      </c>
      <c r="AG99" s="59">
        <f>AA108</f>
        <v>30.456000000000003</v>
      </c>
      <c r="AH99" s="59"/>
      <c r="AI99" s="59"/>
      <c r="AJ99" s="79">
        <f t="shared" ref="AJ99:AM102" si="7">AD99/$AG99</f>
        <v>0.24625689519306537</v>
      </c>
      <c r="AK99" s="79">
        <f t="shared" si="7"/>
        <v>0.20449172576832148</v>
      </c>
      <c r="AL99" s="79">
        <f t="shared" si="7"/>
        <v>0.54925137903861321</v>
      </c>
      <c r="AM99" s="79">
        <f t="shared" si="7"/>
        <v>1</v>
      </c>
      <c r="AN99" s="70"/>
    </row>
    <row r="100" spans="2:42" x14ac:dyDescent="0.3">
      <c r="B100" s="69"/>
      <c r="C100" s="9" t="s">
        <v>6</v>
      </c>
      <c r="D100" s="203" t="s">
        <v>0</v>
      </c>
      <c r="E100" s="106" t="s">
        <v>52</v>
      </c>
      <c r="F100" s="204" t="s">
        <v>20</v>
      </c>
      <c r="G100" s="106" t="s">
        <v>12</v>
      </c>
      <c r="H100" s="64"/>
      <c r="I100" s="64"/>
      <c r="J100" s="64"/>
      <c r="K100" s="8"/>
      <c r="L100" s="8"/>
      <c r="M100" s="106" t="s">
        <v>6</v>
      </c>
      <c r="N100" s="106" t="s">
        <v>10</v>
      </c>
      <c r="O100" s="106" t="s">
        <v>58</v>
      </c>
      <c r="P100" s="106" t="s">
        <v>59</v>
      </c>
      <c r="Q100" s="8"/>
      <c r="R100" s="8"/>
      <c r="S100" s="8"/>
      <c r="T100" s="8"/>
      <c r="U100" s="8"/>
      <c r="V100" s="8"/>
      <c r="W100" s="8"/>
      <c r="X100" s="106" t="s">
        <v>4</v>
      </c>
      <c r="Y100" s="59">
        <v>0.13597518144215121</v>
      </c>
      <c r="Z100" s="59">
        <v>1.0222285533873048E-2</v>
      </c>
      <c r="AA100" s="59">
        <f>1-Z100-Y100</f>
        <v>0.8538025330239758</v>
      </c>
      <c r="AB100" s="8"/>
      <c r="AC100" s="202" t="s">
        <v>4</v>
      </c>
      <c r="AD100" s="59">
        <f>Y100*$AG100*E109/D109</f>
        <v>7.3646007531536686</v>
      </c>
      <c r="AE100" s="59">
        <f>Z100*$AG100*E109/D109</f>
        <v>0.55365288682289027</v>
      </c>
      <c r="AF100" s="59">
        <f>AG100-AD100-AE100</f>
        <v>6.6431063600234399</v>
      </c>
      <c r="AG100" s="59">
        <f>U115</f>
        <v>14.561359999999999</v>
      </c>
      <c r="AH100" s="59">
        <f>Y100*$R$3+Z100*$S$3+1.333</f>
        <v>1.3531009953252637</v>
      </c>
      <c r="AI100" s="59">
        <f>(T99-AH100)^2/T99</f>
        <v>2.9861128522342699E-8</v>
      </c>
      <c r="AJ100" s="79">
        <f t="shared" si="7"/>
        <v>0.50576324966580521</v>
      </c>
      <c r="AK100" s="79">
        <f t="shared" si="7"/>
        <v>3.8022058847723722E-2</v>
      </c>
      <c r="AL100" s="79">
        <f t="shared" si="7"/>
        <v>0.45621469148647109</v>
      </c>
      <c r="AM100" s="79">
        <f t="shared" si="7"/>
        <v>1</v>
      </c>
      <c r="AN100" s="70"/>
      <c r="AO100" s="27"/>
      <c r="AP100" s="27"/>
    </row>
    <row r="101" spans="2:42" x14ac:dyDescent="0.3">
      <c r="B101" s="69"/>
      <c r="C101" s="9" t="s">
        <v>7</v>
      </c>
      <c r="D101" s="4">
        <v>7.5</v>
      </c>
      <c r="E101" s="4">
        <f>6+0.38*1.2/2</f>
        <v>6.2279999999999998</v>
      </c>
      <c r="F101" s="56">
        <f>16.5+0.38*1.2/2</f>
        <v>16.728000000000002</v>
      </c>
      <c r="G101" s="4">
        <f>SUM(D101:F101)</f>
        <v>30.456000000000003</v>
      </c>
      <c r="H101" s="8"/>
      <c r="I101" s="8"/>
      <c r="J101" s="8"/>
      <c r="K101" s="8"/>
      <c r="L101" s="8"/>
      <c r="M101" s="106" t="s">
        <v>7</v>
      </c>
      <c r="N101" s="139">
        <f>D101/G101</f>
        <v>0.24625689519306537</v>
      </c>
      <c r="O101" s="139">
        <f>E101/G101</f>
        <v>0.20449172576832148</v>
      </c>
      <c r="P101" s="139">
        <f>1-O101-N101</f>
        <v>0.54925137903861321</v>
      </c>
      <c r="Q101" s="8"/>
      <c r="R101" s="8"/>
      <c r="S101" s="8"/>
      <c r="T101" s="8"/>
      <c r="U101" s="8"/>
      <c r="V101" s="8"/>
      <c r="W101" s="8"/>
      <c r="X101" s="106" t="s">
        <v>5</v>
      </c>
      <c r="Y101" s="59">
        <v>2.3383763721479358E-3</v>
      </c>
      <c r="Z101" s="59">
        <v>0.10444651390646816</v>
      </c>
      <c r="AA101" s="59">
        <f>1-Z101-Y101</f>
        <v>0.89321510972138385</v>
      </c>
      <c r="AB101" s="8"/>
      <c r="AC101" s="202" t="s">
        <v>5</v>
      </c>
      <c r="AD101" s="59">
        <f>Y101*$AG101*E117/D117</f>
        <v>0.12688042666615351</v>
      </c>
      <c r="AE101" s="59">
        <f>Z101*$AG101*E117/D117</f>
        <v>5.6672734150457043</v>
      </c>
      <c r="AF101" s="59">
        <f>AG101-AD101-AE101</f>
        <v>10.065899491621478</v>
      </c>
      <c r="AG101" s="59">
        <f>U117</f>
        <v>15.860053333333335</v>
      </c>
      <c r="AH101" s="59">
        <f>Y101*$R$3+Z101*$S$3+1.333</f>
        <v>1.3500289937363725</v>
      </c>
      <c r="AI101" s="59">
        <f>(U99-AH101)^2/U99</f>
        <v>1.3949360595759027E-11</v>
      </c>
      <c r="AJ101" s="79">
        <f t="shared" si="7"/>
        <v>7.9999999999676441E-3</v>
      </c>
      <c r="AK101" s="79">
        <f t="shared" si="7"/>
        <v>0.35733003514778244</v>
      </c>
      <c r="AL101" s="79">
        <f t="shared" si="7"/>
        <v>0.63466996485225002</v>
      </c>
      <c r="AM101" s="79">
        <f t="shared" si="7"/>
        <v>1</v>
      </c>
      <c r="AN101" s="70"/>
      <c r="AO101" s="27"/>
      <c r="AP101" s="27"/>
    </row>
    <row r="102" spans="2:42" x14ac:dyDescent="0.3">
      <c r="B102" s="69"/>
      <c r="C102" s="1"/>
      <c r="D102" s="8"/>
      <c r="E102" s="8"/>
      <c r="F102" s="8"/>
      <c r="G102" s="8"/>
      <c r="H102" s="8"/>
      <c r="I102" s="8"/>
      <c r="J102" s="8"/>
      <c r="K102" s="8"/>
      <c r="L102" s="8"/>
      <c r="M102" s="8"/>
      <c r="N102" s="142"/>
      <c r="O102" s="142"/>
      <c r="P102" s="142"/>
      <c r="Q102" s="8"/>
      <c r="R102" s="8"/>
      <c r="S102" s="8"/>
      <c r="T102" s="8"/>
      <c r="U102" s="8"/>
      <c r="V102" s="8"/>
      <c r="W102" s="8"/>
      <c r="X102" s="8"/>
      <c r="Y102" s="8"/>
      <c r="Z102" s="8"/>
      <c r="AA102" s="8"/>
      <c r="AB102" s="8"/>
      <c r="AC102" s="202" t="s">
        <v>75</v>
      </c>
      <c r="AD102" s="59">
        <f>SUM(AD100:AD101)</f>
        <v>7.4914811798198224</v>
      </c>
      <c r="AE102" s="59">
        <f>SUM(AE100:AE101)</f>
        <v>6.2209263018685945</v>
      </c>
      <c r="AF102" s="59">
        <f>SUM(AF100:AF101)</f>
        <v>16.709005851644918</v>
      </c>
      <c r="AG102" s="59">
        <f>SUM(AG100:AG101)</f>
        <v>30.421413333333334</v>
      </c>
      <c r="AH102" s="59"/>
      <c r="AI102" s="59"/>
      <c r="AJ102" s="79">
        <f t="shared" si="7"/>
        <v>0.24625684210441534</v>
      </c>
      <c r="AK102" s="79">
        <f t="shared" si="7"/>
        <v>0.20449169253593502</v>
      </c>
      <c r="AL102" s="79">
        <f t="shared" si="7"/>
        <v>0.54925146535964964</v>
      </c>
      <c r="AM102" s="79">
        <f t="shared" si="7"/>
        <v>1</v>
      </c>
      <c r="AN102" s="70"/>
    </row>
    <row r="103" spans="2:42" x14ac:dyDescent="0.3">
      <c r="B103" s="69"/>
      <c r="C103" s="1" t="s">
        <v>16</v>
      </c>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202" t="s">
        <v>76</v>
      </c>
      <c r="AD103" s="59">
        <f>(AD102-AD99)^2/AD99</f>
        <v>9.6760396349600989E-6</v>
      </c>
      <c r="AE103" s="59">
        <f>(AE102-AE99)^2/AE99</f>
        <v>8.0342333420433428E-6</v>
      </c>
      <c r="AF103" s="59">
        <f>(AF102-AF99)^2/AF99</f>
        <v>2.1567292667089503E-5</v>
      </c>
      <c r="AG103" s="59"/>
      <c r="AH103" s="178" t="s">
        <v>74</v>
      </c>
      <c r="AI103" s="59">
        <f>AI100+AI101+AD103+AE103+AF103+AM104+AM105</f>
        <v>3.9307440721975883E-5</v>
      </c>
      <c r="AJ103" s="79"/>
      <c r="AK103" s="184" t="s">
        <v>118</v>
      </c>
      <c r="AL103" s="79">
        <f>ABS(U109-AL100)/U109</f>
        <v>2.1717445667490339E-2</v>
      </c>
      <c r="AM103" s="79"/>
      <c r="AN103" s="70"/>
    </row>
    <row r="104" spans="2:42" ht="15" thickBot="1" x14ac:dyDescent="0.35">
      <c r="B104" s="69"/>
      <c r="C104" s="1">
        <v>1.5</v>
      </c>
      <c r="D104" s="8"/>
      <c r="E104" s="8"/>
      <c r="F104" s="8"/>
      <c r="G104" s="8"/>
      <c r="H104" s="347" t="s">
        <v>130</v>
      </c>
      <c r="I104" s="347"/>
      <c r="J104" s="347"/>
      <c r="K104" s="8"/>
      <c r="L104" s="8"/>
      <c r="M104" s="8"/>
      <c r="N104" s="8"/>
      <c r="O104" s="8"/>
      <c r="P104" s="8"/>
      <c r="Q104" s="8"/>
      <c r="R104" s="8"/>
      <c r="S104" s="8"/>
      <c r="T104" s="8"/>
      <c r="U104" s="8"/>
      <c r="V104" s="8"/>
      <c r="W104" s="8"/>
      <c r="X104" s="8"/>
      <c r="Y104" s="8"/>
      <c r="Z104" s="8"/>
      <c r="AA104" s="8"/>
      <c r="AB104" s="8"/>
      <c r="AC104" s="205" t="s">
        <v>110</v>
      </c>
      <c r="AD104" s="59">
        <f>ABS((AD99-AD102)/AD99)</f>
        <v>1.1358426906903436E-3</v>
      </c>
      <c r="AE104" s="59">
        <f>ABS((AE99-AE102)/AE99)</f>
        <v>1.1357896807009053E-3</v>
      </c>
      <c r="AF104" s="59">
        <f>ABS((AF99-AF102)/AF99)</f>
        <v>1.13547037034239E-3</v>
      </c>
      <c r="AG104" s="59">
        <f>AVERAGE(AD104:AF104)</f>
        <v>1.1357009139112129E-3</v>
      </c>
      <c r="AH104" s="59"/>
      <c r="AI104" s="59"/>
      <c r="AJ104" s="79"/>
      <c r="AK104" s="184" t="s">
        <v>119</v>
      </c>
      <c r="AL104" s="79">
        <f>ABS(U111-AL101)/U111</f>
        <v>6.4454985644216423E-2</v>
      </c>
      <c r="AM104" s="79"/>
      <c r="AN104" s="70"/>
    </row>
    <row r="105" spans="2:42" x14ac:dyDescent="0.3">
      <c r="B105" s="69"/>
      <c r="C105" s="9" t="s">
        <v>4</v>
      </c>
      <c r="D105" s="106" t="s">
        <v>14</v>
      </c>
      <c r="E105" s="106" t="s">
        <v>17</v>
      </c>
      <c r="F105" s="106" t="s">
        <v>15</v>
      </c>
      <c r="G105" s="8"/>
      <c r="H105" s="106" t="s">
        <v>54</v>
      </c>
      <c r="I105" s="106" t="s">
        <v>55</v>
      </c>
      <c r="J105" s="106" t="s">
        <v>56</v>
      </c>
      <c r="K105" s="106" t="s">
        <v>12</v>
      </c>
      <c r="L105" s="106" t="s">
        <v>48</v>
      </c>
      <c r="M105" s="106" t="s">
        <v>49</v>
      </c>
      <c r="N105" s="106" t="s">
        <v>50</v>
      </c>
      <c r="O105" s="106" t="s">
        <v>12</v>
      </c>
      <c r="P105" s="8"/>
      <c r="Q105" s="147"/>
      <c r="R105" s="147"/>
      <c r="S105" s="8"/>
      <c r="T105" s="8"/>
      <c r="U105" s="8"/>
      <c r="V105" s="8"/>
      <c r="W105" s="8"/>
      <c r="X105" s="8"/>
      <c r="Y105" s="8"/>
      <c r="Z105" s="8"/>
      <c r="AA105" s="8"/>
      <c r="AB105" s="8"/>
      <c r="AC105" s="8"/>
      <c r="AD105" s="8"/>
      <c r="AE105" s="8"/>
      <c r="AF105" s="8"/>
      <c r="AG105" s="8"/>
      <c r="AH105" s="8"/>
      <c r="AI105" s="8"/>
      <c r="AJ105" s="11"/>
      <c r="AK105" s="11"/>
      <c r="AL105" s="24"/>
      <c r="AM105" s="11"/>
      <c r="AN105" s="70"/>
    </row>
    <row r="106" spans="2:42" x14ac:dyDescent="0.3">
      <c r="B106" s="69"/>
      <c r="C106" s="9" t="s">
        <v>7</v>
      </c>
      <c r="D106" s="4">
        <v>0.55000000000000004</v>
      </c>
      <c r="E106" s="4">
        <f>D106+1.5</f>
        <v>2.0499999999999998</v>
      </c>
      <c r="F106" s="4">
        <v>1.3529</v>
      </c>
      <c r="G106" s="8"/>
      <c r="H106" s="4">
        <f>1.333</f>
        <v>1.333</v>
      </c>
      <c r="I106" s="4">
        <f>I108*0.1368</f>
        <v>1.8019486730719517E-2</v>
      </c>
      <c r="J106" s="4">
        <f>J108*0.16</f>
        <v>1.8805132692670278E-3</v>
      </c>
      <c r="K106" s="4">
        <f>SUM(H106:J106)</f>
        <v>1.3528999999999864</v>
      </c>
      <c r="L106" s="4">
        <v>0.46634245849119754</v>
      </c>
      <c r="M106" s="4">
        <f>I108*(E109/D109)</f>
        <v>0.48994117669056547</v>
      </c>
      <c r="N106" s="4">
        <f>J108*(E109/D109)</f>
        <v>4.3716364818236604E-2</v>
      </c>
      <c r="O106" s="4">
        <f>SUM(L106:N106)</f>
        <v>0.99999999999999956</v>
      </c>
      <c r="P106" s="8"/>
      <c r="Q106" s="106"/>
      <c r="R106" s="106"/>
      <c r="S106" s="106" t="s">
        <v>58</v>
      </c>
      <c r="T106" s="106" t="s">
        <v>10</v>
      </c>
      <c r="U106" s="106" t="s">
        <v>59</v>
      </c>
      <c r="V106" s="8"/>
      <c r="W106" s="373" t="s">
        <v>57</v>
      </c>
      <c r="X106" s="374"/>
      <c r="Y106" s="374"/>
      <c r="Z106" s="374"/>
      <c r="AA106" s="375"/>
      <c r="AB106" s="145"/>
      <c r="AC106" s="145"/>
      <c r="AD106" s="8"/>
      <c r="AE106" s="8"/>
      <c r="AF106" s="8"/>
      <c r="AG106" s="8"/>
      <c r="AH106" s="8"/>
      <c r="AI106" s="8"/>
      <c r="AJ106" s="11"/>
      <c r="AK106" s="11"/>
      <c r="AL106" s="11"/>
      <c r="AM106" s="11"/>
      <c r="AN106" s="70"/>
    </row>
    <row r="107" spans="2:42" x14ac:dyDescent="0.3">
      <c r="B107" s="69"/>
      <c r="C107" s="9" t="s">
        <v>8</v>
      </c>
      <c r="D107" s="4">
        <v>0.55159999999999998</v>
      </c>
      <c r="E107" s="4">
        <f>D107+1.5</f>
        <v>2.0516000000000001</v>
      </c>
      <c r="F107" s="4">
        <v>1.3529</v>
      </c>
      <c r="G107" s="8"/>
      <c r="H107" s="106" t="s">
        <v>48</v>
      </c>
      <c r="I107" s="106" t="s">
        <v>49</v>
      </c>
      <c r="J107" s="106" t="s">
        <v>50</v>
      </c>
      <c r="K107" s="106" t="s">
        <v>12</v>
      </c>
      <c r="L107" s="4"/>
      <c r="M107" s="4"/>
      <c r="N107" s="4"/>
      <c r="O107" s="4"/>
      <c r="P107" s="8"/>
      <c r="Q107" s="372" t="s">
        <v>6</v>
      </c>
      <c r="R107" s="106" t="s">
        <v>13</v>
      </c>
      <c r="S107" s="139">
        <f>O101</f>
        <v>0.20449172576832148</v>
      </c>
      <c r="T107" s="139">
        <f>N101</f>
        <v>0.24625689519306537</v>
      </c>
      <c r="U107" s="139">
        <f>P101</f>
        <v>0.54925137903861321</v>
      </c>
      <c r="V107" s="8"/>
      <c r="W107" s="106"/>
      <c r="X107" s="106" t="s">
        <v>0</v>
      </c>
      <c r="Y107" s="106" t="s">
        <v>52</v>
      </c>
      <c r="Z107" s="106" t="s">
        <v>20</v>
      </c>
      <c r="AA107" s="106" t="s">
        <v>12</v>
      </c>
      <c r="AB107" s="8"/>
      <c r="AC107" s="8"/>
      <c r="AD107" s="8"/>
      <c r="AE107" s="8"/>
      <c r="AF107" s="8"/>
      <c r="AG107" s="8"/>
      <c r="AH107" s="8"/>
      <c r="AI107" s="8"/>
      <c r="AJ107" s="11"/>
      <c r="AK107" s="11"/>
      <c r="AL107" s="11"/>
      <c r="AM107" s="11"/>
      <c r="AN107" s="70"/>
    </row>
    <row r="108" spans="2:42" x14ac:dyDescent="0.3">
      <c r="B108" s="69"/>
      <c r="C108" s="9" t="s">
        <v>9</v>
      </c>
      <c r="D108" s="4">
        <v>0.55310000000000004</v>
      </c>
      <c r="E108" s="4">
        <f>D108+1.5</f>
        <v>2.0531000000000001</v>
      </c>
      <c r="F108" s="4">
        <v>1.3529</v>
      </c>
      <c r="G108" s="8"/>
      <c r="H108" s="4">
        <f>(L106*D109+1.5)/E109</f>
        <v>0.85652539783667525</v>
      </c>
      <c r="I108" s="4">
        <v>0.13172139423040582</v>
      </c>
      <c r="J108" s="4">
        <f>1-H108-I108</f>
        <v>1.1753207932918924E-2</v>
      </c>
      <c r="K108" s="4">
        <f>SUM(H108:J108)</f>
        <v>1</v>
      </c>
      <c r="L108" s="4"/>
      <c r="M108" s="4"/>
      <c r="N108" s="4"/>
      <c r="O108" s="4"/>
      <c r="P108" s="8"/>
      <c r="Q108" s="372"/>
      <c r="R108" s="106" t="s">
        <v>3</v>
      </c>
      <c r="S108" s="139"/>
      <c r="T108" s="139"/>
      <c r="U108" s="139"/>
      <c r="V108" s="8"/>
      <c r="W108" s="106" t="s">
        <v>6</v>
      </c>
      <c r="X108" s="59">
        <f>D101</f>
        <v>7.5</v>
      </c>
      <c r="Y108" s="59">
        <f>E101</f>
        <v>6.2279999999999998</v>
      </c>
      <c r="Z108" s="59">
        <f>F101</f>
        <v>16.728000000000002</v>
      </c>
      <c r="AA108" s="59">
        <f>SUM(X108:Z108)</f>
        <v>30.456000000000003</v>
      </c>
      <c r="AB108" s="8"/>
      <c r="AC108" s="8"/>
      <c r="AD108" s="8"/>
      <c r="AE108" s="8"/>
      <c r="AF108" s="8"/>
      <c r="AG108" s="8"/>
      <c r="AH108" s="8"/>
      <c r="AI108" s="8"/>
      <c r="AJ108" s="11"/>
      <c r="AK108" s="11"/>
      <c r="AL108" s="11"/>
      <c r="AM108" s="11"/>
      <c r="AN108" s="70"/>
    </row>
    <row r="109" spans="2:42" x14ac:dyDescent="0.3">
      <c r="B109" s="69"/>
      <c r="C109" s="9" t="s">
        <v>13</v>
      </c>
      <c r="D109" s="4">
        <f>AVERAGE(D106:D108)</f>
        <v>0.55156666666666665</v>
      </c>
      <c r="E109" s="4">
        <f>D109+1.5</f>
        <v>2.0515666666666665</v>
      </c>
      <c r="F109" s="4">
        <f>AVERAGE(F106:F108)</f>
        <v>1.3529</v>
      </c>
      <c r="G109" s="8"/>
      <c r="H109" s="8"/>
      <c r="I109" s="8"/>
      <c r="J109" s="8"/>
      <c r="K109" s="8"/>
      <c r="L109" s="8"/>
      <c r="M109" s="8"/>
      <c r="N109" s="8"/>
      <c r="O109" s="8"/>
      <c r="P109" s="8"/>
      <c r="Q109" s="372" t="s">
        <v>4</v>
      </c>
      <c r="R109" s="106" t="s">
        <v>13</v>
      </c>
      <c r="S109" s="139">
        <f>N106</f>
        <v>4.3716364818236604E-2</v>
      </c>
      <c r="T109" s="139">
        <f>M106</f>
        <v>0.48994117669056547</v>
      </c>
      <c r="U109" s="146">
        <f>L106</f>
        <v>0.46634245849119754</v>
      </c>
      <c r="V109" s="8"/>
      <c r="W109" s="106" t="s">
        <v>4</v>
      </c>
      <c r="X109" s="59">
        <f>T109*$U$19</f>
        <v>9.0286360040537392</v>
      </c>
      <c r="Y109" s="59">
        <f>S109*U115</f>
        <v>0.63656972600967765</v>
      </c>
      <c r="Z109" s="59">
        <f>U115*U109</f>
        <v>6.7905804213753838</v>
      </c>
      <c r="AA109" s="59">
        <f>SUM(X109:Z109)</f>
        <v>16.455786151438801</v>
      </c>
      <c r="AB109" s="8"/>
      <c r="AC109" s="8"/>
      <c r="AD109" s="8"/>
      <c r="AE109" s="8"/>
      <c r="AF109" s="8"/>
      <c r="AG109" s="8"/>
      <c r="AH109" s="8"/>
      <c r="AI109" s="8"/>
      <c r="AJ109" s="11"/>
      <c r="AK109" s="11"/>
      <c r="AL109" s="11"/>
      <c r="AM109" s="11"/>
      <c r="AN109" s="70"/>
    </row>
    <row r="110" spans="2:42" x14ac:dyDescent="0.3">
      <c r="B110" s="69"/>
      <c r="C110" s="36" t="s">
        <v>3</v>
      </c>
      <c r="D110" s="88">
        <f>_xlfn.STDEV.S(D106:D108)</f>
        <v>1.5502687938977933E-3</v>
      </c>
      <c r="E110" s="88">
        <f>_xlfn.STDEV.S(E106:E108)</f>
        <v>1.5502687938979615E-3</v>
      </c>
      <c r="F110" s="88">
        <f>_xlfn.STDEV.S(F106:F108)</f>
        <v>0</v>
      </c>
      <c r="G110" s="8"/>
      <c r="H110" s="8"/>
      <c r="I110" s="8"/>
      <c r="J110" s="8"/>
      <c r="K110" s="8"/>
      <c r="L110" s="8"/>
      <c r="M110" s="8"/>
      <c r="N110" s="8"/>
      <c r="O110" s="8"/>
      <c r="P110" s="8"/>
      <c r="Q110" s="372"/>
      <c r="R110" s="106" t="s">
        <v>3</v>
      </c>
      <c r="S110" s="139"/>
      <c r="T110" s="139"/>
      <c r="U110" s="139"/>
      <c r="V110" s="8"/>
      <c r="W110" s="106" t="s">
        <v>5</v>
      </c>
      <c r="X110" s="59">
        <v>0</v>
      </c>
      <c r="Y110" s="59">
        <f>Y108-Y109</f>
        <v>5.5914302739903219</v>
      </c>
      <c r="Z110" s="59">
        <f>U117*U111</f>
        <v>9.4563881304285662</v>
      </c>
      <c r="AA110" s="59">
        <f>SUM(X110:Z110)</f>
        <v>15.047818404418887</v>
      </c>
      <c r="AB110" s="8"/>
      <c r="AC110" s="8"/>
      <c r="AD110" s="8"/>
      <c r="AE110" s="8"/>
      <c r="AF110" s="8"/>
      <c r="AG110" s="8"/>
      <c r="AH110" s="8"/>
      <c r="AI110" s="8"/>
      <c r="AJ110" s="11"/>
      <c r="AK110" s="11"/>
      <c r="AL110" s="11"/>
      <c r="AM110" s="11"/>
      <c r="AN110" s="70"/>
    </row>
    <row r="111" spans="2:42" x14ac:dyDescent="0.3">
      <c r="B111" s="69"/>
      <c r="C111" s="87"/>
      <c r="D111" s="89"/>
      <c r="E111" s="89"/>
      <c r="F111" s="89"/>
      <c r="G111" s="8"/>
      <c r="H111" s="8"/>
      <c r="I111" s="8"/>
      <c r="J111" s="8"/>
      <c r="K111" s="8"/>
      <c r="L111" s="8"/>
      <c r="M111" s="8"/>
      <c r="N111" s="8"/>
      <c r="O111" s="8"/>
      <c r="P111" s="8"/>
      <c r="Q111" s="372" t="s">
        <v>5</v>
      </c>
      <c r="R111" s="106" t="s">
        <v>13</v>
      </c>
      <c r="S111" s="139">
        <f>N114</f>
        <v>0.12630056869470627</v>
      </c>
      <c r="T111" s="139">
        <f>M114</f>
        <v>0.27746006617315289</v>
      </c>
      <c r="U111" s="139">
        <f>L114</f>
        <v>0.59623936513214115</v>
      </c>
      <c r="V111" s="8"/>
      <c r="W111" s="106" t="s">
        <v>62</v>
      </c>
      <c r="X111" s="59">
        <f>SUM(X109:X110)</f>
        <v>9.0286360040537392</v>
      </c>
      <c r="Y111" s="59">
        <f>SUM(Y109:Y110)</f>
        <v>6.2279999999999998</v>
      </c>
      <c r="Z111" s="59">
        <f>SUM(Z109:Z110)</f>
        <v>16.246968551803949</v>
      </c>
      <c r="AA111" s="59">
        <f>SUM(X111:Z111)</f>
        <v>31.503604555857688</v>
      </c>
      <c r="AB111" s="8"/>
      <c r="AC111" s="8"/>
      <c r="AD111" s="8"/>
      <c r="AE111" s="8"/>
      <c r="AF111" s="8"/>
      <c r="AG111" s="8"/>
      <c r="AH111" s="8"/>
      <c r="AI111" s="8"/>
      <c r="AJ111" s="11"/>
      <c r="AK111" s="11"/>
      <c r="AL111" s="11"/>
      <c r="AM111" s="11"/>
      <c r="AN111" s="70"/>
    </row>
    <row r="112" spans="2:42" x14ac:dyDescent="0.3">
      <c r="B112" s="69"/>
      <c r="C112" s="21"/>
      <c r="D112" s="147"/>
      <c r="E112" s="147"/>
      <c r="F112" s="147"/>
      <c r="G112" s="8"/>
      <c r="H112" s="347" t="s">
        <v>131</v>
      </c>
      <c r="I112" s="347"/>
      <c r="J112" s="347"/>
      <c r="K112" s="8"/>
      <c r="L112" s="8"/>
      <c r="M112" s="8"/>
      <c r="N112" s="8"/>
      <c r="O112" s="8"/>
      <c r="P112" s="8"/>
      <c r="Q112" s="372"/>
      <c r="R112" s="106" t="s">
        <v>3</v>
      </c>
      <c r="S112" s="139"/>
      <c r="T112" s="139"/>
      <c r="U112" s="146"/>
      <c r="V112" s="8"/>
      <c r="W112" s="8"/>
      <c r="X112" s="8"/>
      <c r="Y112" s="8"/>
      <c r="Z112" s="8"/>
      <c r="AA112" s="8"/>
      <c r="AB112" s="8"/>
      <c r="AC112" s="8"/>
      <c r="AD112" s="8"/>
      <c r="AE112" s="8"/>
      <c r="AF112" s="8"/>
      <c r="AG112" s="8"/>
      <c r="AH112" s="8"/>
      <c r="AI112" s="8"/>
      <c r="AJ112" s="11"/>
      <c r="AK112" s="11"/>
      <c r="AL112" s="11"/>
      <c r="AM112" s="11"/>
      <c r="AN112" s="70"/>
    </row>
    <row r="113" spans="2:42" x14ac:dyDescent="0.3">
      <c r="B113" s="69"/>
      <c r="C113" s="35" t="s">
        <v>5</v>
      </c>
      <c r="D113" s="206" t="s">
        <v>14</v>
      </c>
      <c r="E113" s="206" t="s">
        <v>17</v>
      </c>
      <c r="F113" s="206" t="s">
        <v>15</v>
      </c>
      <c r="G113" s="8"/>
      <c r="H113" s="106" t="s">
        <v>54</v>
      </c>
      <c r="I113" s="106" t="s">
        <v>55</v>
      </c>
      <c r="J113" s="106" t="s">
        <v>56</v>
      </c>
      <c r="K113" s="106" t="s">
        <v>12</v>
      </c>
      <c r="L113" s="106" t="s">
        <v>48</v>
      </c>
      <c r="M113" s="106" t="s">
        <v>49</v>
      </c>
      <c r="N113" s="106" t="s">
        <v>50</v>
      </c>
      <c r="O113" s="106" t="s">
        <v>12</v>
      </c>
      <c r="P113" s="8"/>
      <c r="Q113" s="8"/>
      <c r="R113" s="8"/>
      <c r="S113" s="8"/>
      <c r="T113" s="8"/>
      <c r="U113" s="8"/>
      <c r="V113" s="8"/>
      <c r="W113" s="8"/>
      <c r="X113" s="8"/>
      <c r="Y113" s="8"/>
      <c r="Z113" s="8"/>
      <c r="AA113" s="8"/>
      <c r="AB113" s="8"/>
      <c r="AC113" s="8"/>
      <c r="AD113" s="8"/>
      <c r="AE113" s="8"/>
      <c r="AF113" s="8"/>
      <c r="AG113" s="8"/>
      <c r="AH113" s="8"/>
      <c r="AI113" s="8"/>
      <c r="AJ113" s="11"/>
      <c r="AK113" s="11"/>
      <c r="AL113" s="11"/>
      <c r="AM113" s="11"/>
      <c r="AN113" s="70"/>
    </row>
    <row r="114" spans="2:42" x14ac:dyDescent="0.3">
      <c r="B114" s="69"/>
      <c r="C114" s="9" t="s">
        <v>7</v>
      </c>
      <c r="D114" s="4">
        <v>0.61839999999999995</v>
      </c>
      <c r="E114" s="4">
        <f>D114+1.5</f>
        <v>2.1183999999999998</v>
      </c>
      <c r="F114" s="4">
        <v>1.35</v>
      </c>
      <c r="G114" s="8"/>
      <c r="H114" s="4">
        <f>1.333</f>
        <v>1.333</v>
      </c>
      <c r="I114" s="4">
        <f>I116*0.1368</f>
        <v>1.1094583676556621E-2</v>
      </c>
      <c r="J114" s="4">
        <f>J116*0.16</f>
        <v>5.9067653125148565E-3</v>
      </c>
      <c r="K114" s="4">
        <f>SUM(H114:J114)</f>
        <v>1.3500013489890714</v>
      </c>
      <c r="L114" s="4">
        <v>0.59623936513214115</v>
      </c>
      <c r="M114" s="4">
        <f>I116*(E117/D117)</f>
        <v>0.27746006617315289</v>
      </c>
      <c r="N114" s="4">
        <f>J116*(E117/D117)</f>
        <v>0.12630056869470627</v>
      </c>
      <c r="O114" s="4">
        <f>SUM(L114:N114)</f>
        <v>1.0000000000000002</v>
      </c>
      <c r="P114" s="8"/>
      <c r="Q114" s="106"/>
      <c r="R114" s="106"/>
      <c r="S114" s="106" t="s">
        <v>23</v>
      </c>
      <c r="T114" s="106" t="s">
        <v>60</v>
      </c>
      <c r="U114" s="106" t="s">
        <v>61</v>
      </c>
      <c r="V114" s="8"/>
      <c r="W114" s="8"/>
      <c r="X114" s="8"/>
      <c r="Y114" s="8"/>
      <c r="Z114" s="8"/>
      <c r="AA114" s="8"/>
      <c r="AB114" s="8"/>
      <c r="AC114" s="8"/>
      <c r="AD114" s="8"/>
      <c r="AE114" s="8"/>
      <c r="AF114" s="8"/>
      <c r="AG114" s="8"/>
      <c r="AH114" s="8"/>
      <c r="AI114" s="8"/>
      <c r="AJ114" s="11"/>
      <c r="AK114" s="11"/>
      <c r="AL114" s="11"/>
      <c r="AM114" s="11"/>
      <c r="AN114" s="70"/>
    </row>
    <row r="115" spans="2:42" x14ac:dyDescent="0.3">
      <c r="B115" s="69"/>
      <c r="C115" s="9" t="s">
        <v>8</v>
      </c>
      <c r="D115" s="4">
        <v>0.62060000000000004</v>
      </c>
      <c r="E115" s="4">
        <f>D115+1.5</f>
        <v>2.1206</v>
      </c>
      <c r="F115" s="4">
        <v>1.35</v>
      </c>
      <c r="G115" s="8"/>
      <c r="H115" s="106" t="s">
        <v>48</v>
      </c>
      <c r="I115" s="106" t="s">
        <v>49</v>
      </c>
      <c r="J115" s="106" t="s">
        <v>50</v>
      </c>
      <c r="K115" s="106" t="s">
        <v>12</v>
      </c>
      <c r="L115" s="4"/>
      <c r="M115" s="4"/>
      <c r="N115" s="4"/>
      <c r="O115" s="4"/>
      <c r="P115" s="8"/>
      <c r="Q115" s="372" t="s">
        <v>4</v>
      </c>
      <c r="R115" s="106" t="s">
        <v>13</v>
      </c>
      <c r="S115" s="4">
        <f>AVERAGE(D106:D108)*2</f>
        <v>1.1031333333333333</v>
      </c>
      <c r="T115" s="4">
        <v>13.2</v>
      </c>
      <c r="U115" s="4">
        <f>S115*T115</f>
        <v>14.561359999999999</v>
      </c>
      <c r="V115" s="8"/>
      <c r="W115" s="8"/>
      <c r="X115" s="8"/>
      <c r="Y115" s="8"/>
      <c r="Z115" s="8"/>
      <c r="AA115" s="8"/>
      <c r="AB115" s="8"/>
      <c r="AC115" s="8"/>
      <c r="AD115" s="8"/>
      <c r="AE115" s="8"/>
      <c r="AF115" s="8"/>
      <c r="AG115" s="8"/>
      <c r="AH115" s="8"/>
      <c r="AI115" s="8"/>
      <c r="AJ115" s="11"/>
      <c r="AK115" s="11"/>
      <c r="AL115" s="11"/>
      <c r="AM115" s="11"/>
      <c r="AN115" s="70"/>
    </row>
    <row r="116" spans="2:42" x14ac:dyDescent="0.3">
      <c r="B116" s="69"/>
      <c r="C116" s="9" t="s">
        <v>9</v>
      </c>
      <c r="D116" s="4">
        <v>0.61960000000000004</v>
      </c>
      <c r="E116" s="4">
        <f>D116+1.5</f>
        <v>2.1196000000000002</v>
      </c>
      <c r="F116" s="4">
        <v>1.3501000000000001</v>
      </c>
      <c r="G116" s="8"/>
      <c r="H116" s="4">
        <f>(L114*D117+1.5)/E117</f>
        <v>0.8819819589272162</v>
      </c>
      <c r="I116" s="4">
        <v>8.1100757869565943E-2</v>
      </c>
      <c r="J116" s="4">
        <f>1-H116-I116</f>
        <v>3.6917283203217854E-2</v>
      </c>
      <c r="K116" s="4">
        <f>SUM(H116:J116)</f>
        <v>1</v>
      </c>
      <c r="L116" s="4"/>
      <c r="M116" s="4"/>
      <c r="N116" s="4"/>
      <c r="O116" s="4"/>
      <c r="P116" s="8"/>
      <c r="Q116" s="372"/>
      <c r="R116" s="106" t="s">
        <v>3</v>
      </c>
      <c r="S116" s="4">
        <f>D110*2</f>
        <v>3.1005375877955865E-3</v>
      </c>
      <c r="T116" s="4"/>
      <c r="U116" s="4"/>
      <c r="V116" s="8"/>
      <c r="W116" s="8"/>
      <c r="X116" s="8"/>
      <c r="Y116" s="8"/>
      <c r="Z116" s="8"/>
      <c r="AA116" s="8"/>
      <c r="AB116" s="8"/>
      <c r="AC116" s="8"/>
      <c r="AD116" s="8"/>
      <c r="AE116" s="8"/>
      <c r="AF116" s="8"/>
      <c r="AG116" s="8"/>
      <c r="AH116" s="8"/>
      <c r="AI116" s="8"/>
      <c r="AJ116" s="11"/>
      <c r="AK116" s="11"/>
      <c r="AL116" s="11"/>
      <c r="AM116" s="11"/>
      <c r="AN116" s="70"/>
    </row>
    <row r="117" spans="2:42" x14ac:dyDescent="0.3">
      <c r="B117" s="69"/>
      <c r="C117" s="9" t="s">
        <v>13</v>
      </c>
      <c r="D117" s="4">
        <f>AVERAGE(D114:D116)</f>
        <v>0.61953333333333338</v>
      </c>
      <c r="E117" s="4">
        <f>D117+1.5</f>
        <v>2.1195333333333335</v>
      </c>
      <c r="F117" s="4">
        <f>AVERAGE(F114:F116)</f>
        <v>1.3500333333333334</v>
      </c>
      <c r="G117" s="8"/>
      <c r="H117" s="8"/>
      <c r="I117" s="8"/>
      <c r="J117" s="8"/>
      <c r="K117" s="8"/>
      <c r="L117" s="8"/>
      <c r="M117" s="8"/>
      <c r="N117" s="8"/>
      <c r="O117" s="8"/>
      <c r="P117" s="8"/>
      <c r="Q117" s="372" t="s">
        <v>5</v>
      </c>
      <c r="R117" s="106" t="s">
        <v>13</v>
      </c>
      <c r="S117" s="4">
        <f>AVERAGE(D114:D116)*2</f>
        <v>1.2390666666666668</v>
      </c>
      <c r="T117" s="4">
        <v>12.8</v>
      </c>
      <c r="U117" s="4">
        <f>S117*T117</f>
        <v>15.860053333333335</v>
      </c>
      <c r="V117" s="8"/>
      <c r="W117" s="8"/>
      <c r="X117" s="8"/>
      <c r="Y117" s="8"/>
      <c r="Z117" s="8"/>
      <c r="AA117" s="8"/>
      <c r="AB117" s="8"/>
      <c r="AC117" s="8"/>
      <c r="AD117" s="8"/>
      <c r="AE117" s="8"/>
      <c r="AF117" s="8"/>
      <c r="AG117" s="8"/>
      <c r="AH117" s="8"/>
      <c r="AI117" s="8"/>
      <c r="AJ117" s="11"/>
      <c r="AK117" s="11"/>
      <c r="AL117" s="11"/>
      <c r="AM117" s="11"/>
      <c r="AN117" s="70"/>
    </row>
    <row r="118" spans="2:42" x14ac:dyDescent="0.3">
      <c r="B118" s="69"/>
      <c r="C118" s="9" t="s">
        <v>3</v>
      </c>
      <c r="D118" s="4">
        <f>_xlfn.STDEV.S(D114:D116)</f>
        <v>1.1015141094572671E-3</v>
      </c>
      <c r="E118" s="4">
        <f>_xlfn.STDEV.S(E114:E116)</f>
        <v>1.1015141094573276E-3</v>
      </c>
      <c r="F118" s="4">
        <f>_xlfn.STDEV.S(F114:F116)</f>
        <v>5.7735026918956222E-5</v>
      </c>
      <c r="G118" s="8"/>
      <c r="H118" s="8"/>
      <c r="I118" s="8"/>
      <c r="J118" s="8"/>
      <c r="K118" s="8"/>
      <c r="L118" s="8"/>
      <c r="M118" s="8"/>
      <c r="N118" s="8"/>
      <c r="O118" s="8"/>
      <c r="P118" s="8"/>
      <c r="Q118" s="372"/>
      <c r="R118" s="106" t="s">
        <v>3</v>
      </c>
      <c r="S118" s="4">
        <f>D118*2</f>
        <v>2.2030282189145342E-3</v>
      </c>
      <c r="T118" s="4"/>
      <c r="U118" s="4"/>
      <c r="V118" s="8"/>
      <c r="W118" s="8"/>
      <c r="X118" s="8"/>
      <c r="Y118" s="8"/>
      <c r="Z118" s="8"/>
      <c r="AA118" s="8"/>
      <c r="AB118" s="8"/>
      <c r="AC118" s="8"/>
      <c r="AD118" s="8"/>
      <c r="AE118" s="8"/>
      <c r="AF118" s="8"/>
      <c r="AG118" s="8"/>
      <c r="AH118" s="8"/>
      <c r="AI118" s="8"/>
      <c r="AJ118" s="8"/>
      <c r="AK118" s="8"/>
      <c r="AL118" s="8"/>
      <c r="AM118" s="8"/>
      <c r="AN118" s="70"/>
    </row>
    <row r="119" spans="2:42" ht="15" thickBot="1" x14ac:dyDescent="0.35">
      <c r="B119" s="71"/>
      <c r="C119" s="16"/>
      <c r="D119" s="73"/>
      <c r="E119" s="73"/>
      <c r="F119" s="73"/>
      <c r="G119" s="73"/>
      <c r="H119" s="73"/>
      <c r="I119" s="73"/>
      <c r="J119" s="73"/>
      <c r="K119" s="73"/>
      <c r="L119" s="73"/>
      <c r="M119" s="73"/>
      <c r="N119" s="73"/>
      <c r="O119" s="73"/>
      <c r="P119" s="73"/>
      <c r="Q119" s="73"/>
      <c r="R119" s="73"/>
      <c r="S119" s="73"/>
      <c r="T119" s="73"/>
      <c r="U119" s="73"/>
      <c r="V119" s="73"/>
      <c r="W119" s="73"/>
      <c r="X119" s="73"/>
      <c r="Y119" s="73"/>
      <c r="Z119" s="73"/>
      <c r="AA119" s="73"/>
      <c r="AB119" s="73"/>
      <c r="AC119" s="73"/>
      <c r="AD119" s="353"/>
      <c r="AE119" s="353"/>
      <c r="AF119" s="353"/>
      <c r="AG119" s="353"/>
      <c r="AH119" s="73"/>
      <c r="AI119" s="73"/>
      <c r="AJ119" s="353"/>
      <c r="AK119" s="353"/>
      <c r="AL119" s="353"/>
      <c r="AM119" s="353"/>
      <c r="AN119" s="72"/>
    </row>
    <row r="120" spans="2:42" x14ac:dyDescent="0.3">
      <c r="G120" s="1"/>
      <c r="H120" s="1"/>
      <c r="I120" s="1"/>
      <c r="J120" s="1"/>
      <c r="K120" s="1"/>
      <c r="AD120" s="1"/>
      <c r="AE120" s="1"/>
      <c r="AF120" s="29"/>
      <c r="AG120" s="1"/>
      <c r="AH120" s="1"/>
      <c r="AI120" s="1"/>
      <c r="AJ120" s="1"/>
      <c r="AK120" s="1"/>
      <c r="AL120" s="29"/>
      <c r="AM120" s="1"/>
    </row>
    <row r="121" spans="2:42" x14ac:dyDescent="0.3">
      <c r="G121" s="1"/>
      <c r="H121" s="1"/>
      <c r="I121" s="1"/>
      <c r="J121" s="1"/>
      <c r="K121" s="1"/>
      <c r="V121" s="22"/>
      <c r="W121" s="22"/>
      <c r="Y121" s="3"/>
      <c r="Z121" s="3"/>
      <c r="AA121" s="3"/>
      <c r="AB121" s="3"/>
      <c r="AC121" s="3"/>
      <c r="AD121" s="26"/>
      <c r="AE121" s="26"/>
      <c r="AF121" s="26"/>
      <c r="AG121" s="26"/>
      <c r="AJ121" s="24"/>
      <c r="AK121" s="24"/>
      <c r="AL121" s="24"/>
    </row>
    <row r="122" spans="2:42" x14ac:dyDescent="0.3">
      <c r="G122" s="1"/>
      <c r="H122" s="1"/>
      <c r="I122" s="1"/>
      <c r="J122" s="1"/>
      <c r="K122" s="1"/>
      <c r="AD122" s="26"/>
      <c r="AE122" s="26"/>
      <c r="AF122" s="26"/>
      <c r="AG122" s="26"/>
      <c r="AI122" s="22"/>
      <c r="AJ122" s="24"/>
      <c r="AK122" s="24"/>
      <c r="AL122" s="24"/>
      <c r="AO122" s="27"/>
      <c r="AP122" s="27"/>
    </row>
    <row r="123" spans="2:42" x14ac:dyDescent="0.3">
      <c r="G123" s="1"/>
      <c r="H123" s="1"/>
      <c r="I123" s="1"/>
      <c r="J123" s="1"/>
      <c r="K123" s="1"/>
      <c r="AD123" s="26"/>
      <c r="AE123" s="26"/>
      <c r="AF123" s="26"/>
      <c r="AG123" s="26"/>
      <c r="AI123" s="22"/>
      <c r="AJ123" s="24"/>
      <c r="AK123" s="24"/>
      <c r="AL123" s="24"/>
      <c r="AO123" s="27"/>
      <c r="AP123" s="27"/>
    </row>
    <row r="124" spans="2:42" x14ac:dyDescent="0.3">
      <c r="G124" s="1"/>
      <c r="H124" s="1"/>
      <c r="I124" s="1"/>
      <c r="J124" s="1"/>
      <c r="K124" s="1"/>
      <c r="AD124" s="26"/>
      <c r="AE124" s="26"/>
      <c r="AF124" s="26"/>
      <c r="AG124" s="26"/>
      <c r="AJ124" s="24"/>
      <c r="AK124" s="24"/>
      <c r="AL124" s="24"/>
    </row>
    <row r="125" spans="2:42" x14ac:dyDescent="0.3">
      <c r="G125" s="1"/>
      <c r="H125" s="1"/>
      <c r="I125" s="1"/>
      <c r="J125" s="1"/>
      <c r="K125" s="1"/>
      <c r="AD125" s="26"/>
      <c r="AE125" s="26"/>
      <c r="AF125" s="26"/>
      <c r="AG125" s="26"/>
      <c r="AI125" s="22"/>
    </row>
    <row r="126" spans="2:42" x14ac:dyDescent="0.3">
      <c r="AD126" s="3"/>
      <c r="AE126" s="3"/>
      <c r="AF126" s="3"/>
      <c r="AG126" s="26"/>
    </row>
  </sheetData>
  <mergeCells count="75">
    <mergeCell ref="AS34:AU34"/>
    <mergeCell ref="AZ6:AZ8"/>
    <mergeCell ref="AZ9:AZ11"/>
    <mergeCell ref="AZ12:AZ14"/>
    <mergeCell ref="AZ15:AZ17"/>
    <mergeCell ref="AY15:AY17"/>
    <mergeCell ref="AY12:AY14"/>
    <mergeCell ref="AY9:AY11"/>
    <mergeCell ref="AW6:AW8"/>
    <mergeCell ref="AW9:AW11"/>
    <mergeCell ref="AW12:AW14"/>
    <mergeCell ref="AW15:AW17"/>
    <mergeCell ref="AY6:AY8"/>
    <mergeCell ref="H112:J112"/>
    <mergeCell ref="H88:J88"/>
    <mergeCell ref="H64:J64"/>
    <mergeCell ref="H40:J40"/>
    <mergeCell ref="H16:J16"/>
    <mergeCell ref="H56:J56"/>
    <mergeCell ref="AD73:AG73"/>
    <mergeCell ref="AJ73:AM73"/>
    <mergeCell ref="AD97:AG97"/>
    <mergeCell ref="AJ97:AM97"/>
    <mergeCell ref="AD119:AG119"/>
    <mergeCell ref="AJ119:AM119"/>
    <mergeCell ref="AH73:AI73"/>
    <mergeCell ref="AH97:AI97"/>
    <mergeCell ref="AD1:AG1"/>
    <mergeCell ref="AJ1:AM1"/>
    <mergeCell ref="AD25:AG25"/>
    <mergeCell ref="AJ25:AM25"/>
    <mergeCell ref="AD49:AG49"/>
    <mergeCell ref="AJ49:AM49"/>
    <mergeCell ref="AH1:AI1"/>
    <mergeCell ref="AH25:AI25"/>
    <mergeCell ref="AH49:AI49"/>
    <mergeCell ref="D3:F3"/>
    <mergeCell ref="H8:J8"/>
    <mergeCell ref="Q11:Q12"/>
    <mergeCell ref="Q13:Q14"/>
    <mergeCell ref="Q15:Q16"/>
    <mergeCell ref="Q19:Q20"/>
    <mergeCell ref="Q21:Q22"/>
    <mergeCell ref="D27:F27"/>
    <mergeCell ref="H32:J32"/>
    <mergeCell ref="Q35:Q36"/>
    <mergeCell ref="Q37:Q38"/>
    <mergeCell ref="Q39:Q40"/>
    <mergeCell ref="Q43:Q44"/>
    <mergeCell ref="Q45:Q46"/>
    <mergeCell ref="D51:F51"/>
    <mergeCell ref="D99:F99"/>
    <mergeCell ref="H104:J104"/>
    <mergeCell ref="Q107:Q108"/>
    <mergeCell ref="D75:F75"/>
    <mergeCell ref="H80:J80"/>
    <mergeCell ref="Q83:Q84"/>
    <mergeCell ref="Q85:Q86"/>
    <mergeCell ref="Q87:Q88"/>
    <mergeCell ref="Q109:Q110"/>
    <mergeCell ref="Q111:Q112"/>
    <mergeCell ref="Q115:Q116"/>
    <mergeCell ref="Q117:Q118"/>
    <mergeCell ref="W10:AA10"/>
    <mergeCell ref="W34:AA34"/>
    <mergeCell ref="W58:AA58"/>
    <mergeCell ref="W82:AA82"/>
    <mergeCell ref="W106:AA106"/>
    <mergeCell ref="Q91:Q92"/>
    <mergeCell ref="Q93:Q94"/>
    <mergeCell ref="Q59:Q60"/>
    <mergeCell ref="Q61:Q62"/>
    <mergeCell ref="Q63:Q64"/>
    <mergeCell ref="Q67:Q68"/>
    <mergeCell ref="Q69:Q7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25343-744D-4244-A453-85508626367A}">
  <dimension ref="A1"/>
  <sheetViews>
    <sheetView zoomScale="70" zoomScaleNormal="70" workbookViewId="0">
      <selection activeCell="M26" sqref="M26"/>
    </sheetView>
  </sheetViews>
  <sheetFormatPr defaultRowHeight="14.4" x14ac:dyDescent="0.3"/>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46584D94221548B0A15FA545F36AFC" ma:contentTypeVersion="12" ma:contentTypeDescription="Create a new document." ma:contentTypeScope="" ma:versionID="a5f3cd7935cd805612986720fdfbab91">
  <xsd:schema xmlns:xsd="http://www.w3.org/2001/XMLSchema" xmlns:xs="http://www.w3.org/2001/XMLSchema" xmlns:p="http://schemas.microsoft.com/office/2006/metadata/properties" xmlns:ns3="63fd02ab-cfc4-4f9e-a638-b2ef7d8e85ad" xmlns:ns4="9e4cadc0-eff7-4d89-90e3-26cb00012714" targetNamespace="http://schemas.microsoft.com/office/2006/metadata/properties" ma:root="true" ma:fieldsID="d26d3dd5d120392dcd06d56c25292a7b" ns3:_="" ns4:_="">
    <xsd:import namespace="63fd02ab-cfc4-4f9e-a638-b2ef7d8e85ad"/>
    <xsd:import namespace="9e4cadc0-eff7-4d89-90e3-26cb0001271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fd02ab-cfc4-4f9e-a638-b2ef7d8e85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e4cadc0-eff7-4d89-90e3-26cb0001271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BD8807-4A08-4F45-B5D6-1C384F2B4FD1}">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63fd02ab-cfc4-4f9e-a638-b2ef7d8e85ad"/>
    <ds:schemaRef ds:uri="http://purl.org/dc/terms/"/>
    <ds:schemaRef ds:uri="http://schemas.openxmlformats.org/package/2006/metadata/core-properties"/>
    <ds:schemaRef ds:uri="9e4cadc0-eff7-4d89-90e3-26cb00012714"/>
    <ds:schemaRef ds:uri="http://www.w3.org/XML/1998/namespace"/>
    <ds:schemaRef ds:uri="http://purl.org/dc/dcmitype/"/>
  </ds:schemaRefs>
</ds:datastoreItem>
</file>

<file path=customXml/itemProps2.xml><?xml version="1.0" encoding="utf-8"?>
<ds:datastoreItem xmlns:ds="http://schemas.openxmlformats.org/officeDocument/2006/customXml" ds:itemID="{6379D73B-D456-468A-95C5-B232B02C78CA}">
  <ds:schemaRefs>
    <ds:schemaRef ds:uri="http://schemas.microsoft.com/sharepoint/v3/contenttype/forms"/>
  </ds:schemaRefs>
</ds:datastoreItem>
</file>

<file path=customXml/itemProps3.xml><?xml version="1.0" encoding="utf-8"?>
<ds:datastoreItem xmlns:ds="http://schemas.openxmlformats.org/officeDocument/2006/customXml" ds:itemID="{2FE07DE3-F218-4510-9C6B-4C12A64ECC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fd02ab-cfc4-4f9e-a638-b2ef7d8e85ad"/>
    <ds:schemaRef ds:uri="9e4cadc0-eff7-4d89-90e3-26cb000127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 phase diagram results</vt:lpstr>
      <vt:lpstr>Equilibrium curve models</vt:lpstr>
      <vt:lpstr>R I standards</vt:lpstr>
      <vt:lpstr>Eppies after freeze drying </vt:lpstr>
      <vt:lpstr>PEG 4000 + CIT</vt:lpstr>
      <vt:lpstr>PEG 6000 + CIT</vt:lpstr>
      <vt:lpstr>PEG 10000 + CIT</vt:lpstr>
      <vt:lpstr>Methods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Hockey</dc:creator>
  <cp:lastModifiedBy>James Hockey</cp:lastModifiedBy>
  <cp:lastPrinted>2019-07-25T14:31:47Z</cp:lastPrinted>
  <dcterms:created xsi:type="dcterms:W3CDTF">2019-06-20T10:10:31Z</dcterms:created>
  <dcterms:modified xsi:type="dcterms:W3CDTF">2021-09-06T11:17:48Z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0x0101006546584D94221548B0A15FA545F36AFC</vt:lpwstr>
  </property>
</Properties>
</file>