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james\Desktop\Backup current\Appendices\Experiments\Fixed\"/>
    </mc:Choice>
  </mc:AlternateContent>
  <xr:revisionPtr revIDLastSave="0" documentId="13_ncr:1_{B4EFA438-D356-4936-A0D7-39D09728F407}" xr6:coauthVersionLast="47" xr6:coauthVersionMax="47" xr10:uidLastSave="{00000000-0000-0000-0000-000000000000}"/>
  <bookViews>
    <workbookView xWindow="-108" yWindow="-108" windowWidth="23256" windowHeight="13176" firstSheet="1" activeTab="2" xr2:uid="{975D1250-B4BD-46F1-9BC4-4B2E82A54EA4}"/>
  </bookViews>
  <sheets>
    <sheet name="Summary; PEG 10000 ATPS results" sheetId="4" r:id="rId1"/>
    <sheet name="Summary of MW study" sheetId="3" r:id="rId2"/>
    <sheet name="Method" sheetId="11" r:id="rId3"/>
    <sheet name="Data (PEG10000 30%-5%-)" sheetId="12" r:id="rId4"/>
    <sheet name="Data (PEG10000 20%-9%-)" sheetId="8" r:id="rId5"/>
    <sheet name="Data (PEG10000 25%-9%-)" sheetId="7" r:id="rId6"/>
    <sheet name="Data (PEG10000 30%-9%-)" sheetId="6" r:id="rId7"/>
    <sheet name="Data (PEG10000 30%-7%-)" sheetId="5" r:id="rId8"/>
    <sheet name="Data (PEG 20000)" sheetId="2" r:id="rId9"/>
    <sheet name="Data (PEG 6000)" sheetId="10" r:id="rId10"/>
  </sheets>
  <externalReferences>
    <externalReference r:id="rId11"/>
  </externalReferences>
  <definedNames>
    <definedName name="_Ref48126196" localSheetId="2">Method!$B$8</definedName>
    <definedName name="_Ref50632891" localSheetId="2">Method!$B$2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3" i="4" l="1"/>
  <c r="X25" i="12"/>
  <c r="X26" i="12"/>
  <c r="Y26" i="12"/>
  <c r="Y25" i="12"/>
  <c r="AH4" i="12"/>
  <c r="AC4" i="12"/>
  <c r="U25" i="5"/>
  <c r="H8" i="12"/>
  <c r="I8" i="12"/>
  <c r="L8" i="12"/>
  <c r="G64" i="4" l="1"/>
  <c r="D4" i="12"/>
  <c r="T4" i="12"/>
  <c r="AB4" i="12"/>
  <c r="AJ4" i="12"/>
  <c r="D5" i="12"/>
  <c r="T5" i="12"/>
  <c r="AB5" i="12"/>
  <c r="AJ5" i="12"/>
  <c r="D6" i="12"/>
  <c r="T6" i="12"/>
  <c r="AB6" i="12"/>
  <c r="AJ6" i="12"/>
  <c r="H7" i="12"/>
  <c r="I7" i="12"/>
  <c r="L7" i="12"/>
  <c r="E12" i="12"/>
  <c r="G12" i="12" s="1"/>
  <c r="J12" i="12"/>
  <c r="M12" i="12"/>
  <c r="O12" i="12" s="1"/>
  <c r="R12" i="12"/>
  <c r="U12" i="12"/>
  <c r="W12" i="12" s="1"/>
  <c r="Z12" i="12"/>
  <c r="AC12" i="12"/>
  <c r="AE12" i="12" s="1"/>
  <c r="AF12" i="12" s="1"/>
  <c r="AH12" i="12"/>
  <c r="AK12" i="12"/>
  <c r="AM12" i="12" s="1"/>
  <c r="AN12" i="12" s="1"/>
  <c r="AP12" i="12"/>
  <c r="E13" i="12"/>
  <c r="G13" i="12" s="1"/>
  <c r="J13" i="12"/>
  <c r="M13" i="12"/>
  <c r="R13" i="12"/>
  <c r="U13" i="12"/>
  <c r="W13" i="12" s="1"/>
  <c r="Z13" i="12"/>
  <c r="AC13" i="12"/>
  <c r="AE13" i="12" s="1"/>
  <c r="AH13" i="12"/>
  <c r="AK13" i="12"/>
  <c r="AM13" i="12" s="1"/>
  <c r="AP13" i="12"/>
  <c r="E14" i="12"/>
  <c r="G14" i="12" s="1"/>
  <c r="J14" i="12"/>
  <c r="M14" i="12"/>
  <c r="O14" i="12"/>
  <c r="R14" i="12"/>
  <c r="U14" i="12"/>
  <c r="W14" i="12" s="1"/>
  <c r="Z14" i="12"/>
  <c r="AC14" i="12"/>
  <c r="AE14" i="12" s="1"/>
  <c r="AF14" i="12" s="1"/>
  <c r="AH14" i="12"/>
  <c r="AK14" i="12"/>
  <c r="AM14" i="12" s="1"/>
  <c r="AP14" i="12"/>
  <c r="E15" i="12"/>
  <c r="G15" i="12" s="1"/>
  <c r="J15" i="12"/>
  <c r="M15" i="12"/>
  <c r="O15" i="12" s="1"/>
  <c r="R15" i="12"/>
  <c r="U15" i="12"/>
  <c r="W15" i="12" s="1"/>
  <c r="Z15" i="12"/>
  <c r="AC15" i="12"/>
  <c r="AH15" i="12"/>
  <c r="AK15" i="12"/>
  <c r="AM15" i="12" s="1"/>
  <c r="AN15" i="12" s="1"/>
  <c r="AP15" i="12"/>
  <c r="E16" i="12"/>
  <c r="G16" i="12" s="1"/>
  <c r="J16" i="12"/>
  <c r="M16" i="12"/>
  <c r="O16" i="12" s="1"/>
  <c r="R16" i="12"/>
  <c r="U16" i="12"/>
  <c r="W16" i="12" s="1"/>
  <c r="Z16" i="12"/>
  <c r="AC16" i="12"/>
  <c r="AE16" i="12" s="1"/>
  <c r="AH16" i="12"/>
  <c r="AK16" i="12"/>
  <c r="AM16" i="12" s="1"/>
  <c r="AN16" i="12" s="1"/>
  <c r="AP16" i="12"/>
  <c r="E17" i="12"/>
  <c r="G17" i="12" s="1"/>
  <c r="J17" i="12"/>
  <c r="M17" i="12"/>
  <c r="O17" i="12" s="1"/>
  <c r="R17" i="12"/>
  <c r="U17" i="12"/>
  <c r="W17" i="12" s="1"/>
  <c r="Z17" i="12"/>
  <c r="AC17" i="12"/>
  <c r="AE17" i="12" s="1"/>
  <c r="AF17" i="12" s="1"/>
  <c r="AH17" i="12"/>
  <c r="AK17" i="12"/>
  <c r="AM17" i="12" s="1"/>
  <c r="AN17" i="12" s="1"/>
  <c r="AP17" i="12"/>
  <c r="E18" i="12"/>
  <c r="G18" i="12" s="1"/>
  <c r="J18" i="12"/>
  <c r="M18" i="12"/>
  <c r="R18" i="12"/>
  <c r="U18" i="12"/>
  <c r="Z18" i="12"/>
  <c r="AC18" i="12"/>
  <c r="AE18" i="12" s="1"/>
  <c r="AH18" i="12"/>
  <c r="AK18" i="12"/>
  <c r="AM18" i="12" s="1"/>
  <c r="AP18" i="12"/>
  <c r="E19" i="12"/>
  <c r="G19" i="12" s="1"/>
  <c r="J19" i="12"/>
  <c r="M19" i="12"/>
  <c r="O19" i="12" s="1"/>
  <c r="R19" i="12"/>
  <c r="U19" i="12"/>
  <c r="W19" i="12" s="1"/>
  <c r="Z19" i="12"/>
  <c r="AC19" i="12"/>
  <c r="AE19" i="12" s="1"/>
  <c r="AH19" i="12"/>
  <c r="AK19" i="12"/>
  <c r="AM19" i="12" s="1"/>
  <c r="AP19" i="12"/>
  <c r="E20" i="12"/>
  <c r="G20" i="12" s="1"/>
  <c r="J20" i="12"/>
  <c r="M20" i="12"/>
  <c r="O20" i="12" s="1"/>
  <c r="R20" i="12"/>
  <c r="U20" i="12"/>
  <c r="W20" i="12" s="1"/>
  <c r="Z20" i="12"/>
  <c r="AC20" i="12"/>
  <c r="AE20" i="12" s="1"/>
  <c r="AF20" i="12" s="1"/>
  <c r="AH20" i="12"/>
  <c r="AK20" i="12"/>
  <c r="AM20" i="12" s="1"/>
  <c r="AN20" i="12" s="1"/>
  <c r="AP20" i="12"/>
  <c r="D6" i="10"/>
  <c r="H6" i="10"/>
  <c r="I6" i="10"/>
  <c r="L6" i="10"/>
  <c r="T6" i="10"/>
  <c r="AB6" i="10"/>
  <c r="AJ6" i="10"/>
  <c r="D7" i="10"/>
  <c r="H7" i="10"/>
  <c r="I7" i="10"/>
  <c r="L7" i="10"/>
  <c r="T7" i="10"/>
  <c r="AB7" i="10"/>
  <c r="AJ7" i="10"/>
  <c r="E11" i="10"/>
  <c r="J11" i="10"/>
  <c r="M11" i="10"/>
  <c r="O11" i="10" s="1"/>
  <c r="R11" i="10"/>
  <c r="U11" i="10"/>
  <c r="W11" i="10" s="1"/>
  <c r="Z11" i="10"/>
  <c r="AC11" i="10"/>
  <c r="AH11" i="10"/>
  <c r="AK11" i="10"/>
  <c r="AM11" i="10" s="1"/>
  <c r="AP11" i="10"/>
  <c r="E12" i="10"/>
  <c r="G12" i="10" s="1"/>
  <c r="J12" i="10"/>
  <c r="M12" i="10"/>
  <c r="O12" i="10" s="1"/>
  <c r="R12" i="10"/>
  <c r="U12" i="10"/>
  <c r="W12" i="10" s="1"/>
  <c r="Z12" i="10"/>
  <c r="AC12" i="10"/>
  <c r="AE12" i="10" s="1"/>
  <c r="AH12" i="10"/>
  <c r="AK12" i="10"/>
  <c r="AM12" i="10" s="1"/>
  <c r="AP12" i="10"/>
  <c r="E13" i="10"/>
  <c r="G13" i="10" s="1"/>
  <c r="J13" i="10"/>
  <c r="M13" i="10"/>
  <c r="O13" i="10"/>
  <c r="R13" i="10"/>
  <c r="U13" i="10"/>
  <c r="W13" i="10" s="1"/>
  <c r="Z13" i="10"/>
  <c r="AC13" i="10"/>
  <c r="AE13" i="10" s="1"/>
  <c r="AF13" i="10" s="1"/>
  <c r="AH13" i="10"/>
  <c r="AK13" i="10"/>
  <c r="AM13" i="10" s="1"/>
  <c r="AP13" i="10"/>
  <c r="E14" i="10"/>
  <c r="J14" i="10"/>
  <c r="M14" i="10"/>
  <c r="R14" i="10"/>
  <c r="U14" i="10"/>
  <c r="Z14" i="10"/>
  <c r="AC14" i="10"/>
  <c r="AE14" i="10" s="1"/>
  <c r="AH14" i="10"/>
  <c r="AK14" i="10"/>
  <c r="AM14" i="10" s="1"/>
  <c r="AP14" i="10"/>
  <c r="E15" i="10"/>
  <c r="J15" i="10"/>
  <c r="M15" i="10"/>
  <c r="O15" i="10"/>
  <c r="R15" i="10"/>
  <c r="U15" i="10"/>
  <c r="W15" i="10" s="1"/>
  <c r="Z15" i="10"/>
  <c r="AE15" i="10"/>
  <c r="AF15" i="10" s="1"/>
  <c r="AH15" i="10"/>
  <c r="AK15" i="10"/>
  <c r="AM15" i="10" s="1"/>
  <c r="AP15" i="10"/>
  <c r="E16" i="10"/>
  <c r="G16" i="10" s="1"/>
  <c r="J16" i="10"/>
  <c r="M16" i="10"/>
  <c r="O16" i="10" s="1"/>
  <c r="R16" i="10"/>
  <c r="U16" i="10"/>
  <c r="W16" i="10"/>
  <c r="Z16" i="10"/>
  <c r="AC16" i="10"/>
  <c r="AE16" i="10" s="1"/>
  <c r="AH16" i="10"/>
  <c r="AK16" i="10"/>
  <c r="AM16" i="10" s="1"/>
  <c r="AN16" i="10" s="1"/>
  <c r="AP16" i="10"/>
  <c r="D6" i="8"/>
  <c r="H6" i="8"/>
  <c r="I6" i="8"/>
  <c r="L6" i="8"/>
  <c r="T6" i="8"/>
  <c r="C50" i="4" s="1"/>
  <c r="C51" i="4" s="1"/>
  <c r="AB6" i="8"/>
  <c r="AJ6" i="8"/>
  <c r="D7" i="8"/>
  <c r="H7" i="8"/>
  <c r="I7" i="8"/>
  <c r="L7" i="8"/>
  <c r="T7" i="8"/>
  <c r="AB7" i="8"/>
  <c r="AJ7" i="8"/>
  <c r="E11" i="8"/>
  <c r="J11" i="8"/>
  <c r="M11" i="8"/>
  <c r="R11" i="8"/>
  <c r="U11" i="8"/>
  <c r="Z11" i="8"/>
  <c r="AC11" i="8"/>
  <c r="AH11" i="8"/>
  <c r="AK11" i="8"/>
  <c r="AP11" i="8"/>
  <c r="AR11" i="8"/>
  <c r="AS11" i="8"/>
  <c r="AX11" i="8"/>
  <c r="AY4" i="8" s="1"/>
  <c r="E12" i="8"/>
  <c r="G12" i="8"/>
  <c r="J12" i="8"/>
  <c r="M12" i="8"/>
  <c r="O12" i="8" s="1"/>
  <c r="R12" i="8"/>
  <c r="U12" i="8"/>
  <c r="W12" i="8" s="1"/>
  <c r="Z12" i="8"/>
  <c r="AC12" i="8"/>
  <c r="AE12" i="8" s="1"/>
  <c r="AH12" i="8"/>
  <c r="AK12" i="8"/>
  <c r="AM12" i="8" s="1"/>
  <c r="AP12" i="8"/>
  <c r="AR12" i="8"/>
  <c r="AU12" i="8" s="1"/>
  <c r="AS12" i="8"/>
  <c r="AX12" i="8"/>
  <c r="E13" i="8"/>
  <c r="G13" i="8"/>
  <c r="J13" i="8"/>
  <c r="M13" i="8"/>
  <c r="O13" i="8" s="1"/>
  <c r="R13" i="8"/>
  <c r="U13" i="8"/>
  <c r="W13" i="8" s="1"/>
  <c r="Z13" i="8"/>
  <c r="AC13" i="8"/>
  <c r="AE13" i="8" s="1"/>
  <c r="AH13" i="8"/>
  <c r="AK13" i="8"/>
  <c r="AM13" i="8" s="1"/>
  <c r="AN13" i="8" s="1"/>
  <c r="AP13" i="8"/>
  <c r="AR13" i="8"/>
  <c r="AU13" i="8" s="1"/>
  <c r="AS13" i="8"/>
  <c r="AX13" i="8"/>
  <c r="E14" i="8"/>
  <c r="J14" i="8"/>
  <c r="M14" i="8"/>
  <c r="R14" i="8"/>
  <c r="U14" i="8"/>
  <c r="Z14" i="8"/>
  <c r="AC14" i="8"/>
  <c r="AH14" i="8"/>
  <c r="AK14" i="8"/>
  <c r="AP14" i="8"/>
  <c r="AR14" i="8"/>
  <c r="AS14" i="8"/>
  <c r="AX14" i="8"/>
  <c r="AX5" i="8" s="1"/>
  <c r="E15" i="8"/>
  <c r="G15" i="8" s="1"/>
  <c r="J15" i="8"/>
  <c r="M15" i="8"/>
  <c r="O15" i="8" s="1"/>
  <c r="R15" i="8"/>
  <c r="U15" i="8"/>
  <c r="W15" i="8" s="1"/>
  <c r="Z15" i="8"/>
  <c r="AC15" i="8"/>
  <c r="AE15" i="8" s="1"/>
  <c r="AF15" i="8" s="1"/>
  <c r="AH15" i="8"/>
  <c r="AK15" i="8"/>
  <c r="AM15" i="8" s="1"/>
  <c r="AP15" i="8"/>
  <c r="AR15" i="8"/>
  <c r="AS15" i="8"/>
  <c r="AX15" i="8"/>
  <c r="E16" i="8"/>
  <c r="G16" i="8" s="1"/>
  <c r="J16" i="8"/>
  <c r="M16" i="8"/>
  <c r="O16" i="8" s="1"/>
  <c r="R16" i="8"/>
  <c r="U16" i="8"/>
  <c r="W16" i="8" s="1"/>
  <c r="Z16" i="8"/>
  <c r="AC16" i="8"/>
  <c r="AE16" i="8" s="1"/>
  <c r="AH16" i="8"/>
  <c r="AK16" i="8"/>
  <c r="AM16" i="8" s="1"/>
  <c r="AN16" i="8" s="1"/>
  <c r="AP16" i="8"/>
  <c r="AR16" i="8"/>
  <c r="AS16" i="8"/>
  <c r="AX16" i="8"/>
  <c r="G50" i="4"/>
  <c r="G51" i="4" s="1"/>
  <c r="P12" i="10" l="1"/>
  <c r="P16" i="10"/>
  <c r="AN12" i="10"/>
  <c r="P14" i="12"/>
  <c r="P16" i="12"/>
  <c r="P20" i="12"/>
  <c r="AN13" i="12"/>
  <c r="N4" i="12"/>
  <c r="X12" i="12"/>
  <c r="AF16" i="12"/>
  <c r="V6" i="12"/>
  <c r="F4" i="12"/>
  <c r="AN19" i="12"/>
  <c r="P19" i="12"/>
  <c r="P12" i="12"/>
  <c r="T8" i="12"/>
  <c r="X14" i="12"/>
  <c r="AN14" i="12"/>
  <c r="X19" i="12"/>
  <c r="AC6" i="12"/>
  <c r="AE6" i="12" s="1"/>
  <c r="P17" i="12"/>
  <c r="X15" i="12"/>
  <c r="AJ8" i="12"/>
  <c r="D8" i="12"/>
  <c r="U6" i="12"/>
  <c r="W6" i="12" s="1"/>
  <c r="X20" i="12"/>
  <c r="AF19" i="12"/>
  <c r="AL6" i="12"/>
  <c r="M6" i="12"/>
  <c r="O6" i="12" s="1"/>
  <c r="P15" i="12"/>
  <c r="W18" i="12"/>
  <c r="AN18" i="12" s="1"/>
  <c r="K6" i="12"/>
  <c r="X17" i="12"/>
  <c r="E5" i="12"/>
  <c r="O13" i="12"/>
  <c r="X13" i="12" s="1"/>
  <c r="M4" i="12"/>
  <c r="AB8" i="12"/>
  <c r="AN5" i="12"/>
  <c r="AO5" i="12"/>
  <c r="AF18" i="12"/>
  <c r="X16" i="12"/>
  <c r="AD5" i="12"/>
  <c r="E6" i="12"/>
  <c r="U5" i="12"/>
  <c r="W5" i="12" s="1"/>
  <c r="E4" i="12"/>
  <c r="O18" i="12"/>
  <c r="P18" i="12" s="1"/>
  <c r="Q6" i="12" s="1"/>
  <c r="F6" i="12"/>
  <c r="AE15" i="12"/>
  <c r="AF15" i="12" s="1"/>
  <c r="M5" i="12"/>
  <c r="S4" i="12"/>
  <c r="AK6" i="12"/>
  <c r="AM6" i="12" s="1"/>
  <c r="AD6" i="12"/>
  <c r="AC5" i="12"/>
  <c r="AE5" i="12" s="1"/>
  <c r="N5" i="12"/>
  <c r="AL5" i="12"/>
  <c r="V5" i="12"/>
  <c r="Z6" i="12"/>
  <c r="AK4" i="12"/>
  <c r="AE4" i="12"/>
  <c r="U4" i="12"/>
  <c r="AK5" i="12"/>
  <c r="AM5" i="12" s="1"/>
  <c r="AI6" i="12"/>
  <c r="AH6" i="12"/>
  <c r="AJ7" i="12"/>
  <c r="T7" i="12"/>
  <c r="J4" i="12"/>
  <c r="K4" i="12"/>
  <c r="K5" i="12"/>
  <c r="J5" i="12"/>
  <c r="AB7" i="12"/>
  <c r="C63" i="4" s="1"/>
  <c r="C64" i="4" s="1"/>
  <c r="R4" i="12"/>
  <c r="AQ6" i="12"/>
  <c r="AA6" i="12"/>
  <c r="R6" i="12"/>
  <c r="S6" i="12"/>
  <c r="AP6" i="12"/>
  <c r="AQ4" i="12"/>
  <c r="AP4" i="12"/>
  <c r="AI4" i="12"/>
  <c r="Z4" i="12"/>
  <c r="AA4" i="12"/>
  <c r="J6" i="12"/>
  <c r="AP5" i="12"/>
  <c r="AQ5" i="12"/>
  <c r="AH5" i="12"/>
  <c r="AI5" i="12"/>
  <c r="Z5" i="12"/>
  <c r="AA5" i="12"/>
  <c r="R5" i="12"/>
  <c r="P5" i="12"/>
  <c r="Q5" i="12"/>
  <c r="S5" i="12"/>
  <c r="D7" i="12"/>
  <c r="G5" i="12"/>
  <c r="N6" i="12"/>
  <c r="F5" i="12"/>
  <c r="AL4" i="12"/>
  <c r="AD4" i="12"/>
  <c r="V4" i="12"/>
  <c r="X15" i="8"/>
  <c r="J5" i="8"/>
  <c r="X12" i="8"/>
  <c r="Z5" i="8"/>
  <c r="AV13" i="8"/>
  <c r="AU15" i="8"/>
  <c r="AP4" i="8"/>
  <c r="E5" i="8"/>
  <c r="G5" i="8" s="1"/>
  <c r="K4" i="8"/>
  <c r="AA5" i="8"/>
  <c r="S5" i="8"/>
  <c r="S6" i="8" s="1"/>
  <c r="H44" i="4" s="1"/>
  <c r="P13" i="8"/>
  <c r="E4" i="8"/>
  <c r="M4" i="8"/>
  <c r="O4" i="8" s="1"/>
  <c r="AU14" i="8"/>
  <c r="AC5" i="8"/>
  <c r="AE5" i="8" s="1"/>
  <c r="AH5" i="8"/>
  <c r="AH4" i="8"/>
  <c r="AH6" i="8" s="1"/>
  <c r="G46" i="4" s="1"/>
  <c r="AD4" i="8"/>
  <c r="P16" i="8"/>
  <c r="AF13" i="8"/>
  <c r="P12" i="8"/>
  <c r="J4" i="8"/>
  <c r="J6" i="8" s="1"/>
  <c r="G43" i="4" s="1"/>
  <c r="AT5" i="8"/>
  <c r="AS4" i="8"/>
  <c r="R4" i="8"/>
  <c r="R6" i="8" s="1"/>
  <c r="G44" i="4" s="1"/>
  <c r="AS5" i="8"/>
  <c r="AR4" i="8"/>
  <c r="S4" i="8"/>
  <c r="AU16" i="8"/>
  <c r="AV16" i="8" s="1"/>
  <c r="P15" i="8"/>
  <c r="AP5" i="8"/>
  <c r="X13" i="8"/>
  <c r="AQ4" i="8"/>
  <c r="Z4" i="8"/>
  <c r="Z7" i="8" s="1"/>
  <c r="R5" i="8"/>
  <c r="G14" i="8"/>
  <c r="AN12" i="8"/>
  <c r="AU11" i="8"/>
  <c r="AK4" i="8"/>
  <c r="AM4" i="8" s="1"/>
  <c r="U4" i="8"/>
  <c r="G11" i="8"/>
  <c r="AT4" i="8"/>
  <c r="X15" i="10"/>
  <c r="X16" i="10"/>
  <c r="K5" i="10"/>
  <c r="AF16" i="10"/>
  <c r="V5" i="10"/>
  <c r="AP5" i="10"/>
  <c r="AC5" i="10"/>
  <c r="AE5" i="10" s="1"/>
  <c r="AI4" i="10"/>
  <c r="AQ5" i="10"/>
  <c r="X11" i="10"/>
  <c r="X13" i="10"/>
  <c r="AI5" i="10"/>
  <c r="W14" i="10"/>
  <c r="AN14" i="10" s="1"/>
  <c r="J5" i="10"/>
  <c r="V4" i="10"/>
  <c r="AI7" i="10"/>
  <c r="G15" i="10"/>
  <c r="P15" i="10" s="1"/>
  <c r="E5" i="10"/>
  <c r="G5" i="10" s="1"/>
  <c r="AN15" i="10"/>
  <c r="M5" i="10"/>
  <c r="O5" i="10" s="1"/>
  <c r="N5" i="10"/>
  <c r="AN13" i="10"/>
  <c r="X12" i="10"/>
  <c r="AN11" i="10"/>
  <c r="AC4" i="10"/>
  <c r="AD4" i="10"/>
  <c r="R4" i="10"/>
  <c r="S4" i="10"/>
  <c r="G11" i="10"/>
  <c r="P11" i="10" s="1"/>
  <c r="E4" i="10"/>
  <c r="AH5" i="10"/>
  <c r="P13" i="10"/>
  <c r="AF12" i="10"/>
  <c r="AK4" i="10"/>
  <c r="AL4" i="10"/>
  <c r="AA4" i="10"/>
  <c r="R5" i="10"/>
  <c r="S5" i="10"/>
  <c r="F5" i="10"/>
  <c r="G14" i="10"/>
  <c r="AH4" i="10"/>
  <c r="N4" i="10"/>
  <c r="AD5" i="10"/>
  <c r="U5" i="10"/>
  <c r="W5" i="10" s="1"/>
  <c r="M4" i="10"/>
  <c r="AK5" i="10"/>
  <c r="AM5" i="10" s="1"/>
  <c r="Z5" i="10"/>
  <c r="AA5" i="10"/>
  <c r="O14" i="10"/>
  <c r="P14" i="10" s="1"/>
  <c r="AP4" i="10"/>
  <c r="AQ4" i="10"/>
  <c r="AE11" i="10"/>
  <c r="AF11" i="10" s="1"/>
  <c r="U4" i="10"/>
  <c r="J4" i="10"/>
  <c r="K4" i="10"/>
  <c r="AL5" i="10"/>
  <c r="Z4" i="10"/>
  <c r="F4" i="10"/>
  <c r="AY6" i="8"/>
  <c r="AY7" i="8"/>
  <c r="W4" i="8"/>
  <c r="AF16" i="8"/>
  <c r="AV15" i="8"/>
  <c r="AN15" i="8"/>
  <c r="AL5" i="8"/>
  <c r="AF12" i="8"/>
  <c r="R7" i="8"/>
  <c r="AR5" i="8"/>
  <c r="M5" i="8"/>
  <c r="O5" i="8" s="1"/>
  <c r="AV12" i="8"/>
  <c r="Z6" i="8"/>
  <c r="G45" i="4" s="1"/>
  <c r="G4" i="8"/>
  <c r="E6" i="8"/>
  <c r="C43" i="4" s="1"/>
  <c r="X16" i="8"/>
  <c r="U5" i="8"/>
  <c r="W5" i="8" s="1"/>
  <c r="AR6" i="8"/>
  <c r="AH7" i="8"/>
  <c r="M7" i="8"/>
  <c r="E7" i="8"/>
  <c r="AK5" i="8"/>
  <c r="N5" i="8"/>
  <c r="AX4" i="8"/>
  <c r="AL4" i="8"/>
  <c r="AC4" i="8"/>
  <c r="AM14" i="8"/>
  <c r="AE14" i="8"/>
  <c r="W14" i="8"/>
  <c r="O14" i="8"/>
  <c r="P14" i="8" s="1"/>
  <c r="AM11" i="8"/>
  <c r="AE11" i="8"/>
  <c r="W11" i="8"/>
  <c r="O11" i="8"/>
  <c r="AI5" i="8"/>
  <c r="V5" i="8"/>
  <c r="F5" i="8"/>
  <c r="AA4" i="8"/>
  <c r="N4" i="8"/>
  <c r="S7" i="8"/>
  <c r="AY5" i="8"/>
  <c r="AQ5" i="8"/>
  <c r="AD5" i="8"/>
  <c r="K5" i="8"/>
  <c r="K7" i="8" s="1"/>
  <c r="AI4" i="8"/>
  <c r="V4" i="8"/>
  <c r="F4" i="8"/>
  <c r="AT7" i="8"/>
  <c r="AI6" i="10" l="1"/>
  <c r="V7" i="10"/>
  <c r="AO4" i="12"/>
  <c r="AF6" i="12"/>
  <c r="S7" i="12"/>
  <c r="H57" i="4" s="1"/>
  <c r="J8" i="12"/>
  <c r="N8" i="12"/>
  <c r="AF13" i="12"/>
  <c r="AP8" i="12"/>
  <c r="K8" i="12"/>
  <c r="E8" i="12"/>
  <c r="Y5" i="12"/>
  <c r="AO6" i="12"/>
  <c r="AO8" i="12" s="1"/>
  <c r="AN6" i="12"/>
  <c r="AA8" i="12"/>
  <c r="Z8" i="12"/>
  <c r="X18" i="12"/>
  <c r="Y6" i="12" s="1"/>
  <c r="Y7" i="12" s="1"/>
  <c r="F58" i="4" s="1"/>
  <c r="X5" i="12"/>
  <c r="Y4" i="12"/>
  <c r="X4" i="12"/>
  <c r="V7" i="12"/>
  <c r="D58" i="4" s="1"/>
  <c r="V8" i="12"/>
  <c r="AK8" i="12"/>
  <c r="AD7" i="12"/>
  <c r="D59" i="4" s="1"/>
  <c r="AD8" i="12"/>
  <c r="AQ8" i="12"/>
  <c r="AE8" i="12"/>
  <c r="AM4" i="12"/>
  <c r="AM8" i="12" s="1"/>
  <c r="F8" i="12"/>
  <c r="S8" i="12"/>
  <c r="O4" i="12"/>
  <c r="M8" i="12"/>
  <c r="AL7" i="12"/>
  <c r="D60" i="4" s="1"/>
  <c r="AL8" i="12"/>
  <c r="AH8" i="12"/>
  <c r="U7" i="12"/>
  <c r="C58" i="4" s="1"/>
  <c r="U8" i="12"/>
  <c r="E7" i="12"/>
  <c r="C56" i="4" s="1"/>
  <c r="G4" i="12"/>
  <c r="P13" i="12"/>
  <c r="F7" i="12"/>
  <c r="D56" i="4" s="1"/>
  <c r="AI8" i="12"/>
  <c r="R8" i="12"/>
  <c r="AC7" i="12"/>
  <c r="C59" i="4" s="1"/>
  <c r="AC8" i="12"/>
  <c r="AN4" i="12"/>
  <c r="AN8" i="12" s="1"/>
  <c r="G6" i="12"/>
  <c r="AF5" i="12"/>
  <c r="AG5" i="12"/>
  <c r="AG6" i="12"/>
  <c r="P6" i="12"/>
  <c r="N7" i="12"/>
  <c r="D57" i="4" s="1"/>
  <c r="AI7" i="12"/>
  <c r="H59" i="4" s="1"/>
  <c r="W4" i="12"/>
  <c r="AK7" i="12"/>
  <c r="C60" i="4" s="1"/>
  <c r="M7" i="12"/>
  <c r="C57" i="4" s="1"/>
  <c r="O5" i="12"/>
  <c r="AA7" i="12"/>
  <c r="H58" i="4" s="1"/>
  <c r="Z7" i="12"/>
  <c r="G58" i="4" s="1"/>
  <c r="AQ7" i="12"/>
  <c r="H60" i="4" s="1"/>
  <c r="K7" i="12"/>
  <c r="H56" i="4" s="1"/>
  <c r="AP7" i="12"/>
  <c r="G60" i="4" s="1"/>
  <c r="R7" i="12"/>
  <c r="G57" i="4" s="1"/>
  <c r="AH7" i="12"/>
  <c r="G59" i="4" s="1"/>
  <c r="AE7" i="12"/>
  <c r="J7" i="12"/>
  <c r="G56" i="4" s="1"/>
  <c r="AP6" i="8"/>
  <c r="G47" i="4" s="1"/>
  <c r="AQ6" i="8"/>
  <c r="H47" i="4" s="1"/>
  <c r="P11" i="8"/>
  <c r="M6" i="8"/>
  <c r="C44" i="4" s="1"/>
  <c r="AD6" i="8"/>
  <c r="D46" i="4" s="1"/>
  <c r="J7" i="8"/>
  <c r="AU5" i="8"/>
  <c r="AU4" i="8"/>
  <c r="K6" i="8"/>
  <c r="H43" i="4" s="1"/>
  <c r="AT6" i="8"/>
  <c r="AP7" i="8"/>
  <c r="X11" i="8"/>
  <c r="Y4" i="8" s="1"/>
  <c r="X14" i="8"/>
  <c r="X5" i="8" s="1"/>
  <c r="D50" i="4"/>
  <c r="D51" i="4" s="1"/>
  <c r="AS6" i="8"/>
  <c r="AS7" i="8"/>
  <c r="X4" i="10"/>
  <c r="V6" i="10"/>
  <c r="AN5" i="10"/>
  <c r="Z6" i="10"/>
  <c r="Z7" i="10"/>
  <c r="Q5" i="10"/>
  <c r="P5" i="10"/>
  <c r="AD6" i="10"/>
  <c r="AD7" i="10"/>
  <c r="J6" i="10"/>
  <c r="J7" i="10"/>
  <c r="AP6" i="10"/>
  <c r="AP7" i="10"/>
  <c r="O4" i="10"/>
  <c r="M6" i="10"/>
  <c r="M7" i="10"/>
  <c r="N6" i="10"/>
  <c r="N7" i="10"/>
  <c r="P4" i="10"/>
  <c r="Q4" i="10"/>
  <c r="AF14" i="10"/>
  <c r="AC6" i="10"/>
  <c r="AC7" i="10"/>
  <c r="AE4" i="10"/>
  <c r="AO5" i="10"/>
  <c r="K7" i="10"/>
  <c r="K6" i="10"/>
  <c r="AK6" i="10"/>
  <c r="AK7" i="10"/>
  <c r="AM4" i="10"/>
  <c r="W4" i="10"/>
  <c r="U6" i="10"/>
  <c r="U7" i="10"/>
  <c r="AH6" i="10"/>
  <c r="AH7" i="10"/>
  <c r="AA6" i="10"/>
  <c r="AA7" i="10"/>
  <c r="S7" i="10"/>
  <c r="S6" i="10"/>
  <c r="AO4" i="10"/>
  <c r="AN4" i="10"/>
  <c r="Y4" i="10"/>
  <c r="AQ7" i="10"/>
  <c r="AQ6" i="10"/>
  <c r="G4" i="10"/>
  <c r="E6" i="10"/>
  <c r="E7" i="10"/>
  <c r="F6" i="10"/>
  <c r="F7" i="10"/>
  <c r="AF4" i="10"/>
  <c r="AG4" i="10"/>
  <c r="AL7" i="10"/>
  <c r="AL6" i="10"/>
  <c r="R7" i="10"/>
  <c r="R6" i="10"/>
  <c r="X14" i="10"/>
  <c r="AL6" i="8"/>
  <c r="D47" i="4" s="1"/>
  <c r="AL7" i="8"/>
  <c r="O6" i="8"/>
  <c r="O7" i="8"/>
  <c r="AV11" i="8"/>
  <c r="W6" i="8"/>
  <c r="W7" i="8"/>
  <c r="AF11" i="8"/>
  <c r="AF14" i="8"/>
  <c r="AX6" i="8"/>
  <c r="AX7" i="8"/>
  <c r="AU6" i="8"/>
  <c r="AU7" i="8"/>
  <c r="G6" i="8"/>
  <c r="G7" i="8"/>
  <c r="AQ7" i="8"/>
  <c r="AI6" i="8"/>
  <c r="H46" i="4" s="1"/>
  <c r="AI7" i="8"/>
  <c r="F6" i="8"/>
  <c r="D43" i="4" s="1"/>
  <c r="F7" i="8"/>
  <c r="N6" i="8"/>
  <c r="D44" i="4" s="1"/>
  <c r="N7" i="8"/>
  <c r="AN11" i="8"/>
  <c r="AN14" i="8"/>
  <c r="AD7" i="8"/>
  <c r="U7" i="8"/>
  <c r="V6" i="8"/>
  <c r="D45" i="4" s="1"/>
  <c r="V7" i="8"/>
  <c r="AA6" i="8"/>
  <c r="H45" i="4" s="1"/>
  <c r="AA7" i="8"/>
  <c r="P4" i="8"/>
  <c r="Q4" i="8"/>
  <c r="P5" i="8"/>
  <c r="Q5" i="8"/>
  <c r="AE4" i="8"/>
  <c r="AC6" i="8"/>
  <c r="C46" i="4" s="1"/>
  <c r="AC7" i="8"/>
  <c r="AM5" i="8"/>
  <c r="AK6" i="8"/>
  <c r="C47" i="4" s="1"/>
  <c r="AR7" i="8"/>
  <c r="AK7" i="8"/>
  <c r="U6" i="8"/>
  <c r="C45" i="4" s="1"/>
  <c r="AV14" i="8"/>
  <c r="X6" i="12" l="1"/>
  <c r="O8" i="12"/>
  <c r="AG8" i="12"/>
  <c r="AO7" i="12"/>
  <c r="F60" i="4" s="1"/>
  <c r="AF4" i="12"/>
  <c r="AF7" i="12" s="1"/>
  <c r="E59" i="4" s="1"/>
  <c r="AG4" i="12"/>
  <c r="D63" i="4"/>
  <c r="D64" i="4" s="1"/>
  <c r="X7" i="12"/>
  <c r="E58" i="4" s="1"/>
  <c r="P4" i="12"/>
  <c r="Q4" i="12"/>
  <c r="E63" i="4"/>
  <c r="G7" i="12"/>
  <c r="G8" i="12"/>
  <c r="W7" i="12"/>
  <c r="W8" i="12"/>
  <c r="X8" i="12"/>
  <c r="AM7" i="12"/>
  <c r="O7" i="12"/>
  <c r="AN7" i="12"/>
  <c r="E60" i="4" s="1"/>
  <c r="AG7" i="12"/>
  <c r="F59" i="4" s="1"/>
  <c r="Y8" i="12"/>
  <c r="Y5" i="8"/>
  <c r="E50" i="4"/>
  <c r="E51" i="4" s="1"/>
  <c r="X4" i="8"/>
  <c r="X7" i="8" s="1"/>
  <c r="AO6" i="10"/>
  <c r="AO7" i="10"/>
  <c r="AE6" i="10"/>
  <c r="AE7" i="10"/>
  <c r="W7" i="10"/>
  <c r="W6" i="10"/>
  <c r="O6" i="10"/>
  <c r="O7" i="10"/>
  <c r="AM6" i="10"/>
  <c r="AM7" i="10"/>
  <c r="Q6" i="10"/>
  <c r="Q7" i="10"/>
  <c r="X5" i="10"/>
  <c r="Y5" i="10"/>
  <c r="Y6" i="10" s="1"/>
  <c r="G7" i="10"/>
  <c r="G6" i="10"/>
  <c r="AN6" i="10"/>
  <c r="AN7" i="10"/>
  <c r="AF5" i="10"/>
  <c r="AF6" i="10" s="1"/>
  <c r="AG5" i="10"/>
  <c r="AG6" i="10" s="1"/>
  <c r="P6" i="10"/>
  <c r="P7" i="10"/>
  <c r="X6" i="8"/>
  <c r="E45" i="4" s="1"/>
  <c r="AF4" i="8"/>
  <c r="AG4" i="8"/>
  <c r="AE6" i="8"/>
  <c r="AE7" i="8"/>
  <c r="Y6" i="8"/>
  <c r="F45" i="4" s="1"/>
  <c r="Y7" i="8"/>
  <c r="AV5" i="8"/>
  <c r="AW5" i="8"/>
  <c r="Q6" i="8"/>
  <c r="F44" i="4" s="1"/>
  <c r="Q7" i="8"/>
  <c r="P6" i="8"/>
  <c r="E44" i="4" s="1"/>
  <c r="P7" i="8"/>
  <c r="AM7" i="8"/>
  <c r="AM6" i="8"/>
  <c r="AN5" i="8"/>
  <c r="AO5" i="8"/>
  <c r="AN4" i="8"/>
  <c r="AO4" i="8"/>
  <c r="AG5" i="8"/>
  <c r="AF5" i="8"/>
  <c r="AV4" i="8"/>
  <c r="AW4" i="8"/>
  <c r="AF8" i="12" l="1"/>
  <c r="P8" i="12"/>
  <c r="P7" i="12"/>
  <c r="E57" i="4" s="1"/>
  <c r="E64" i="4"/>
  <c r="F63" i="4"/>
  <c r="F64" i="4" s="1"/>
  <c r="Q8" i="12"/>
  <c r="Q7" i="12"/>
  <c r="F57" i="4" s="1"/>
  <c r="F50" i="4"/>
  <c r="F51" i="4" s="1"/>
  <c r="AF7" i="10"/>
  <c r="AG7" i="10"/>
  <c r="Y7" i="10"/>
  <c r="X6" i="10"/>
  <c r="X7" i="10"/>
  <c r="AF6" i="8"/>
  <c r="E46" i="4" s="1"/>
  <c r="AF7" i="8"/>
  <c r="AG7" i="8"/>
  <c r="AG6" i="8"/>
  <c r="F46" i="4" s="1"/>
  <c r="AW7" i="8"/>
  <c r="AW6" i="8"/>
  <c r="AO6" i="8"/>
  <c r="F47" i="4" s="1"/>
  <c r="AO7" i="8"/>
  <c r="AV6" i="8"/>
  <c r="AV7" i="8"/>
  <c r="AN6" i="8"/>
  <c r="E47" i="4" s="1"/>
  <c r="AN7" i="8"/>
  <c r="G37" i="4" l="1"/>
  <c r="T4" i="7"/>
  <c r="T7" i="7" s="1"/>
  <c r="AB4" i="7"/>
  <c r="AJ4" i="7"/>
  <c r="AJ7" i="7" s="1"/>
  <c r="T5" i="7"/>
  <c r="AB5" i="7"/>
  <c r="AB7" i="7" s="1"/>
  <c r="AJ5" i="7"/>
  <c r="D6" i="7"/>
  <c r="H6" i="7"/>
  <c r="I6" i="7"/>
  <c r="L6" i="7"/>
  <c r="AJ6" i="7"/>
  <c r="D7" i="7"/>
  <c r="H7" i="7"/>
  <c r="I7" i="7"/>
  <c r="L7" i="7"/>
  <c r="E11" i="7"/>
  <c r="J11" i="7"/>
  <c r="M11" i="7"/>
  <c r="R11" i="7"/>
  <c r="U11" i="7"/>
  <c r="Z11" i="7"/>
  <c r="AC11" i="7"/>
  <c r="AH11" i="7"/>
  <c r="AK11" i="7"/>
  <c r="AP11" i="7"/>
  <c r="E12" i="7"/>
  <c r="G12" i="7" s="1"/>
  <c r="J12" i="7"/>
  <c r="M12" i="7"/>
  <c r="O12" i="7" s="1"/>
  <c r="P12" i="7" s="1"/>
  <c r="R12" i="7"/>
  <c r="U12" i="7"/>
  <c r="W12" i="7"/>
  <c r="Z12" i="7"/>
  <c r="AC12" i="7"/>
  <c r="AE12" i="7" s="1"/>
  <c r="AH12" i="7"/>
  <c r="AK12" i="7"/>
  <c r="AM12" i="7" s="1"/>
  <c r="AP12" i="7"/>
  <c r="E13" i="7"/>
  <c r="G13" i="7" s="1"/>
  <c r="J13" i="7"/>
  <c r="M13" i="7"/>
  <c r="O13" i="7" s="1"/>
  <c r="R13" i="7"/>
  <c r="U13" i="7"/>
  <c r="W13" i="7" s="1"/>
  <c r="Z13" i="7"/>
  <c r="AC13" i="7"/>
  <c r="AE13" i="7" s="1"/>
  <c r="AH13" i="7"/>
  <c r="AK13" i="7"/>
  <c r="AM13" i="7" s="1"/>
  <c r="AN13" i="7" s="1"/>
  <c r="AP13" i="7"/>
  <c r="E14" i="7"/>
  <c r="G14" i="7" s="1"/>
  <c r="J14" i="7"/>
  <c r="M14" i="7"/>
  <c r="O14" i="7" s="1"/>
  <c r="R14" i="7"/>
  <c r="U14" i="7"/>
  <c r="W14" i="7" s="1"/>
  <c r="Z14" i="7"/>
  <c r="AC14" i="7"/>
  <c r="AH14" i="7"/>
  <c r="AK14" i="7"/>
  <c r="AM14" i="7" s="1"/>
  <c r="AN14" i="7" s="1"/>
  <c r="AP14" i="7"/>
  <c r="E15" i="7"/>
  <c r="G15" i="7" s="1"/>
  <c r="J15" i="7"/>
  <c r="M15" i="7"/>
  <c r="R15" i="7"/>
  <c r="U15" i="7"/>
  <c r="Z15" i="7"/>
  <c r="AC15" i="7"/>
  <c r="AH15" i="7"/>
  <c r="AK15" i="7"/>
  <c r="AP15" i="7"/>
  <c r="E16" i="7"/>
  <c r="G16" i="7" s="1"/>
  <c r="J16" i="7"/>
  <c r="M16" i="7"/>
  <c r="O16" i="7" s="1"/>
  <c r="R16" i="7"/>
  <c r="U16" i="7"/>
  <c r="W16" i="7"/>
  <c r="Z16" i="7"/>
  <c r="AC16" i="7"/>
  <c r="AE16" i="7" s="1"/>
  <c r="AH16" i="7"/>
  <c r="AK16" i="7"/>
  <c r="AM16" i="7" s="1"/>
  <c r="AP16" i="7"/>
  <c r="G24" i="4"/>
  <c r="G25" i="4" s="1"/>
  <c r="T4" i="6"/>
  <c r="AB4" i="6"/>
  <c r="AJ4" i="6"/>
  <c r="T5" i="6"/>
  <c r="T7" i="6" s="1"/>
  <c r="AB5" i="6"/>
  <c r="AB6" i="6" s="1"/>
  <c r="AJ5" i="6"/>
  <c r="D6" i="6"/>
  <c r="H6" i="6"/>
  <c r="I6" i="6"/>
  <c r="L6" i="6"/>
  <c r="AJ6" i="6"/>
  <c r="D7" i="6"/>
  <c r="H7" i="6"/>
  <c r="I7" i="6"/>
  <c r="L7" i="6"/>
  <c r="AJ7" i="6"/>
  <c r="E11" i="6"/>
  <c r="G11" i="6" s="1"/>
  <c r="J11" i="6"/>
  <c r="U11" i="6"/>
  <c r="W11" i="6" s="1"/>
  <c r="Z11" i="6"/>
  <c r="AC11" i="6"/>
  <c r="AE11" i="6" s="1"/>
  <c r="AH11" i="6"/>
  <c r="AK11" i="6"/>
  <c r="AM11" i="6" s="1"/>
  <c r="AN11" i="6" s="1"/>
  <c r="AP11" i="6"/>
  <c r="E12" i="6"/>
  <c r="G12" i="6" s="1"/>
  <c r="J12" i="6"/>
  <c r="U12" i="6"/>
  <c r="W12" i="6" s="1"/>
  <c r="Z12" i="6"/>
  <c r="AC12" i="6"/>
  <c r="AE12" i="6" s="1"/>
  <c r="AH12" i="6"/>
  <c r="AK12" i="6"/>
  <c r="AM12" i="6" s="1"/>
  <c r="AP12" i="6"/>
  <c r="E13" i="6"/>
  <c r="G13" i="6" s="1"/>
  <c r="J13" i="6"/>
  <c r="U13" i="6"/>
  <c r="W13" i="6" s="1"/>
  <c r="Z13" i="6"/>
  <c r="AC13" i="6"/>
  <c r="AE13" i="6" s="1"/>
  <c r="AH13" i="6"/>
  <c r="AK13" i="6"/>
  <c r="AM13" i="6" s="1"/>
  <c r="AN13" i="6" s="1"/>
  <c r="AP13" i="6"/>
  <c r="E14" i="6"/>
  <c r="J14" i="6"/>
  <c r="M14" i="6"/>
  <c r="O14" i="6" s="1"/>
  <c r="R14" i="6"/>
  <c r="U14" i="6"/>
  <c r="W14" i="6" s="1"/>
  <c r="Z14" i="6"/>
  <c r="AC14" i="6"/>
  <c r="AE14" i="6" s="1"/>
  <c r="AH14" i="6"/>
  <c r="AK14" i="6"/>
  <c r="AM14" i="6" s="1"/>
  <c r="AN14" i="6" s="1"/>
  <c r="AP14" i="6"/>
  <c r="E15" i="6"/>
  <c r="G15" i="6" s="1"/>
  <c r="J15" i="6"/>
  <c r="M15" i="6"/>
  <c r="O15" i="6" s="1"/>
  <c r="R15" i="6"/>
  <c r="U15" i="6"/>
  <c r="W15" i="6" s="1"/>
  <c r="Z15" i="6"/>
  <c r="AC15" i="6"/>
  <c r="AE15" i="6" s="1"/>
  <c r="AF15" i="6" s="1"/>
  <c r="AH15" i="6"/>
  <c r="AK15" i="6"/>
  <c r="AM15" i="6" s="1"/>
  <c r="AP15" i="6"/>
  <c r="E16" i="6"/>
  <c r="G16" i="6" s="1"/>
  <c r="J16" i="6"/>
  <c r="M16" i="6"/>
  <c r="O16" i="6" s="1"/>
  <c r="R16" i="6"/>
  <c r="U16" i="6"/>
  <c r="W16" i="6" s="1"/>
  <c r="Z16" i="6"/>
  <c r="AC16" i="6"/>
  <c r="AE16" i="6" s="1"/>
  <c r="AH16" i="6"/>
  <c r="AK16" i="6"/>
  <c r="AM16" i="6" s="1"/>
  <c r="AP16" i="6"/>
  <c r="D21" i="6"/>
  <c r="D22" i="6"/>
  <c r="D23" i="6"/>
  <c r="D25" i="6"/>
  <c r="R11" i="6" s="1"/>
  <c r="D26" i="6"/>
  <c r="R12" i="6" s="1"/>
  <c r="D27" i="6"/>
  <c r="D29" i="6"/>
  <c r="D30" i="6"/>
  <c r="D31" i="6"/>
  <c r="L4" i="5"/>
  <c r="T4" i="5"/>
  <c r="AB4" i="5"/>
  <c r="AJ4" i="5"/>
  <c r="L5" i="5"/>
  <c r="T5" i="5"/>
  <c r="AB5" i="5"/>
  <c r="AJ5" i="5"/>
  <c r="L6" i="5"/>
  <c r="T6" i="5"/>
  <c r="AB6" i="5"/>
  <c r="AJ6" i="5"/>
  <c r="D7" i="5"/>
  <c r="H7" i="5"/>
  <c r="I7" i="5"/>
  <c r="T7" i="5"/>
  <c r="D8" i="5"/>
  <c r="H8" i="5"/>
  <c r="I8" i="5"/>
  <c r="T8" i="5"/>
  <c r="E12" i="5"/>
  <c r="J12" i="5"/>
  <c r="U12" i="5"/>
  <c r="W12" i="5" s="1"/>
  <c r="Z12" i="5"/>
  <c r="AC12" i="5"/>
  <c r="AH12" i="5"/>
  <c r="AK12" i="5"/>
  <c r="AM12" i="5" s="1"/>
  <c r="AP12" i="5"/>
  <c r="E13" i="5"/>
  <c r="G13" i="5" s="1"/>
  <c r="J13" i="5"/>
  <c r="U13" i="5"/>
  <c r="W13" i="5" s="1"/>
  <c r="Z13" i="5"/>
  <c r="AC13" i="5"/>
  <c r="AE13" i="5" s="1"/>
  <c r="AH13" i="5"/>
  <c r="AK13" i="5"/>
  <c r="AM13" i="5"/>
  <c r="AP13" i="5"/>
  <c r="E14" i="5"/>
  <c r="G14" i="5" s="1"/>
  <c r="J14" i="5"/>
  <c r="U14" i="5"/>
  <c r="W14" i="5" s="1"/>
  <c r="Z14" i="5"/>
  <c r="AC14" i="5"/>
  <c r="AE14" i="5" s="1"/>
  <c r="AH14" i="5"/>
  <c r="AH4" i="5" s="1"/>
  <c r="AK14" i="5"/>
  <c r="AM14" i="5" s="1"/>
  <c r="AP14" i="5"/>
  <c r="E15" i="5"/>
  <c r="G15" i="5"/>
  <c r="J15" i="5"/>
  <c r="M15" i="5"/>
  <c r="R15" i="5"/>
  <c r="U15" i="5"/>
  <c r="Z15" i="5"/>
  <c r="AC15" i="5"/>
  <c r="AH15" i="5"/>
  <c r="AK15" i="5"/>
  <c r="AP15" i="5"/>
  <c r="E16" i="5"/>
  <c r="G16" i="5" s="1"/>
  <c r="J16" i="5"/>
  <c r="M16" i="5"/>
  <c r="O16" i="5" s="1"/>
  <c r="R16" i="5"/>
  <c r="U16" i="5"/>
  <c r="W16" i="5" s="1"/>
  <c r="Z16" i="5"/>
  <c r="AC16" i="5"/>
  <c r="AE16" i="5" s="1"/>
  <c r="AH16" i="5"/>
  <c r="AK16" i="5"/>
  <c r="AM16" i="5" s="1"/>
  <c r="AP16" i="5"/>
  <c r="E17" i="5"/>
  <c r="G17" i="5" s="1"/>
  <c r="J17" i="5"/>
  <c r="M17" i="5"/>
  <c r="O17" i="5" s="1"/>
  <c r="R17" i="5"/>
  <c r="U17" i="5"/>
  <c r="W17" i="5"/>
  <c r="Z17" i="5"/>
  <c r="AC17" i="5"/>
  <c r="AE17" i="5" s="1"/>
  <c r="AF17" i="5" s="1"/>
  <c r="AH17" i="5"/>
  <c r="AK17" i="5"/>
  <c r="AM17" i="5" s="1"/>
  <c r="AN17" i="5" s="1"/>
  <c r="AP17" i="5"/>
  <c r="E18" i="5"/>
  <c r="G18" i="5" s="1"/>
  <c r="J18" i="5"/>
  <c r="M18" i="5"/>
  <c r="O18" i="5" s="1"/>
  <c r="R18" i="5"/>
  <c r="U18" i="5"/>
  <c r="W18" i="5" s="1"/>
  <c r="Z18" i="5"/>
  <c r="AC18" i="5"/>
  <c r="AE18" i="5" s="1"/>
  <c r="AF18" i="5" s="1"/>
  <c r="AH18" i="5"/>
  <c r="AK18" i="5"/>
  <c r="AM18" i="5" s="1"/>
  <c r="AN18" i="5" s="1"/>
  <c r="AP18" i="5"/>
  <c r="E19" i="5"/>
  <c r="G19" i="5" s="1"/>
  <c r="J19" i="5"/>
  <c r="M19" i="5"/>
  <c r="O19" i="5" s="1"/>
  <c r="R19" i="5"/>
  <c r="U19" i="5"/>
  <c r="W19" i="5" s="1"/>
  <c r="Z19" i="5"/>
  <c r="AC19" i="5"/>
  <c r="AE19" i="5" s="1"/>
  <c r="AF19" i="5" s="1"/>
  <c r="AH19" i="5"/>
  <c r="AK19" i="5"/>
  <c r="AM19" i="5" s="1"/>
  <c r="AN19" i="5" s="1"/>
  <c r="AP19" i="5"/>
  <c r="E20" i="5"/>
  <c r="G20" i="5" s="1"/>
  <c r="J20" i="5"/>
  <c r="M20" i="5"/>
  <c r="O20" i="5" s="1"/>
  <c r="R20" i="5"/>
  <c r="U20" i="5"/>
  <c r="W20" i="5" s="1"/>
  <c r="Z20" i="5"/>
  <c r="AC20" i="5"/>
  <c r="AE20" i="5" s="1"/>
  <c r="AH20" i="5"/>
  <c r="AK20" i="5"/>
  <c r="AM20" i="5" s="1"/>
  <c r="AP20" i="5"/>
  <c r="C25" i="5"/>
  <c r="V25" i="5"/>
  <c r="C26" i="5"/>
  <c r="U26" i="5"/>
  <c r="V26" i="5"/>
  <c r="C27" i="5"/>
  <c r="C29" i="5"/>
  <c r="C30" i="5"/>
  <c r="C31" i="5"/>
  <c r="C33" i="5"/>
  <c r="C34" i="5"/>
  <c r="C35" i="5"/>
  <c r="G11" i="4"/>
  <c r="X19" i="5" l="1"/>
  <c r="AN12" i="5"/>
  <c r="R14" i="5"/>
  <c r="AP4" i="5"/>
  <c r="Z4" i="5"/>
  <c r="AN14" i="5"/>
  <c r="X17" i="5"/>
  <c r="AN16" i="5"/>
  <c r="P18" i="5"/>
  <c r="AJ7" i="5"/>
  <c r="M5" i="5"/>
  <c r="O5" i="5" s="1"/>
  <c r="AN13" i="5"/>
  <c r="AN4" i="5" s="1"/>
  <c r="V4" i="5"/>
  <c r="X20" i="5"/>
  <c r="X18" i="5"/>
  <c r="P17" i="5"/>
  <c r="AF16" i="5"/>
  <c r="R12" i="5"/>
  <c r="P19" i="5"/>
  <c r="AP5" i="5"/>
  <c r="Z5" i="5"/>
  <c r="J5" i="5"/>
  <c r="AK4" i="5"/>
  <c r="AB8" i="5"/>
  <c r="AL4" i="5"/>
  <c r="X16" i="5"/>
  <c r="U5" i="5"/>
  <c r="W5" i="5" s="1"/>
  <c r="AJ8" i="5"/>
  <c r="AF20" i="5"/>
  <c r="AF6" i="5" s="1"/>
  <c r="AC4" i="5"/>
  <c r="X6" i="5"/>
  <c r="E6" i="5"/>
  <c r="G6" i="5" s="1"/>
  <c r="AH5" i="5"/>
  <c r="R5" i="5"/>
  <c r="E5" i="5"/>
  <c r="G5" i="5" s="1"/>
  <c r="J4" i="5"/>
  <c r="AE12" i="5"/>
  <c r="U4" i="5"/>
  <c r="AD4" i="5"/>
  <c r="X14" i="6"/>
  <c r="P16" i="6"/>
  <c r="X15" i="6"/>
  <c r="E5" i="6"/>
  <c r="G5" i="6" s="1"/>
  <c r="AF14" i="6"/>
  <c r="R13" i="6"/>
  <c r="AH4" i="6"/>
  <c r="AN16" i="6"/>
  <c r="M13" i="6"/>
  <c r="O13" i="6" s="1"/>
  <c r="P13" i="6" s="1"/>
  <c r="AQ4" i="6"/>
  <c r="AB7" i="6"/>
  <c r="AA4" i="6"/>
  <c r="G38" i="4"/>
  <c r="X16" i="6"/>
  <c r="Y5" i="6" s="1"/>
  <c r="AN15" i="6"/>
  <c r="M11" i="6"/>
  <c r="O11" i="6" s="1"/>
  <c r="P11" i="6" s="1"/>
  <c r="AF16" i="6"/>
  <c r="AG5" i="6" s="1"/>
  <c r="K4" i="6"/>
  <c r="T6" i="6"/>
  <c r="C37" i="4" s="1"/>
  <c r="C38" i="4" s="1"/>
  <c r="P15" i="6"/>
  <c r="AQ5" i="6"/>
  <c r="AQ6" i="6" s="1"/>
  <c r="H34" i="4" s="1"/>
  <c r="AH5" i="6"/>
  <c r="AH7" i="6" s="1"/>
  <c r="Z5" i="6"/>
  <c r="R5" i="6"/>
  <c r="K5" i="6"/>
  <c r="AP4" i="6"/>
  <c r="Z4" i="6"/>
  <c r="AN12" i="6"/>
  <c r="AO4" i="6" s="1"/>
  <c r="G14" i="6"/>
  <c r="P14" i="6" s="1"/>
  <c r="U4" i="6"/>
  <c r="E4" i="6"/>
  <c r="AI4" i="6"/>
  <c r="J4" i="6"/>
  <c r="AC5" i="7"/>
  <c r="AE5" i="7" s="1"/>
  <c r="J4" i="7"/>
  <c r="AF13" i="7"/>
  <c r="P14" i="7"/>
  <c r="R4" i="7"/>
  <c r="P13" i="7"/>
  <c r="U4" i="7"/>
  <c r="X13" i="7"/>
  <c r="X14" i="7"/>
  <c r="E4" i="7"/>
  <c r="AB6" i="7"/>
  <c r="S4" i="7"/>
  <c r="T6" i="7"/>
  <c r="O5" i="7"/>
  <c r="X16" i="7"/>
  <c r="AF16" i="7"/>
  <c r="AH4" i="7"/>
  <c r="AI4" i="7"/>
  <c r="AE14" i="7"/>
  <c r="AF14" i="7" s="1"/>
  <c r="AP4" i="7"/>
  <c r="Z4" i="7"/>
  <c r="K4" i="7"/>
  <c r="AQ4" i="7"/>
  <c r="AA4" i="7"/>
  <c r="AM15" i="7"/>
  <c r="AL5" i="7"/>
  <c r="AK5" i="7"/>
  <c r="AM5" i="7" s="1"/>
  <c r="U5" i="7"/>
  <c r="W5" i="7" s="1"/>
  <c r="AP5" i="7"/>
  <c r="AQ5" i="7"/>
  <c r="Z5" i="7"/>
  <c r="AA5" i="7"/>
  <c r="AM11" i="7"/>
  <c r="AK4" i="7"/>
  <c r="AL4" i="7"/>
  <c r="W11" i="7"/>
  <c r="V4" i="7"/>
  <c r="AN16" i="7"/>
  <c r="AE15" i="7"/>
  <c r="AD5" i="7"/>
  <c r="O15" i="7"/>
  <c r="P15" i="7" s="1"/>
  <c r="N5" i="7"/>
  <c r="E5" i="7"/>
  <c r="G5" i="7" s="1"/>
  <c r="AF12" i="7"/>
  <c r="W4" i="7"/>
  <c r="W15" i="7"/>
  <c r="V5" i="7"/>
  <c r="K5" i="7"/>
  <c r="K6" i="7" s="1"/>
  <c r="H17" i="4" s="1"/>
  <c r="J5" i="7"/>
  <c r="J6" i="7" s="1"/>
  <c r="G17" i="4" s="1"/>
  <c r="AH5" i="7"/>
  <c r="AI5" i="7"/>
  <c r="S5" i="7"/>
  <c r="R5" i="7"/>
  <c r="R6" i="7" s="1"/>
  <c r="G18" i="4" s="1"/>
  <c r="X12" i="7"/>
  <c r="E6" i="7"/>
  <c r="C17" i="4" s="1"/>
  <c r="G4" i="7"/>
  <c r="P16" i="7"/>
  <c r="M5" i="7"/>
  <c r="AN12" i="7"/>
  <c r="AE11" i="7"/>
  <c r="AC4" i="7"/>
  <c r="AD4" i="7"/>
  <c r="O11" i="7"/>
  <c r="N4" i="7"/>
  <c r="O4" i="7"/>
  <c r="M4" i="7"/>
  <c r="G11" i="7"/>
  <c r="F5" i="7"/>
  <c r="F4" i="7"/>
  <c r="AF11" i="6"/>
  <c r="R4" i="6"/>
  <c r="S4" i="6"/>
  <c r="Z6" i="6"/>
  <c r="G32" i="4" s="1"/>
  <c r="Z7" i="6"/>
  <c r="AN5" i="6"/>
  <c r="AF5" i="6"/>
  <c r="X5" i="6"/>
  <c r="AN4" i="6"/>
  <c r="X11" i="6"/>
  <c r="G4" i="6"/>
  <c r="E6" i="6"/>
  <c r="C30" i="4" s="1"/>
  <c r="E7" i="6"/>
  <c r="AI5" i="6"/>
  <c r="AD5" i="6"/>
  <c r="M12" i="6"/>
  <c r="O12" i="6" s="1"/>
  <c r="P12" i="6" s="1"/>
  <c r="P4" i="6" s="1"/>
  <c r="AP5" i="6"/>
  <c r="V5" i="6"/>
  <c r="N5" i="6"/>
  <c r="AD4" i="6"/>
  <c r="V4" i="6"/>
  <c r="AO5" i="6"/>
  <c r="AK5" i="6"/>
  <c r="AM5" i="6" s="1"/>
  <c r="AC5" i="6"/>
  <c r="AE5" i="6" s="1"/>
  <c r="U5" i="6"/>
  <c r="W5" i="6" s="1"/>
  <c r="M5" i="6"/>
  <c r="O5" i="6" s="1"/>
  <c r="F5" i="6"/>
  <c r="AK4" i="6"/>
  <c r="AC4" i="6"/>
  <c r="F4" i="6"/>
  <c r="AA5" i="6"/>
  <c r="S5" i="6"/>
  <c r="J5" i="6"/>
  <c r="AL5" i="6"/>
  <c r="AL4" i="6"/>
  <c r="R13" i="5"/>
  <c r="R4" i="5" s="1"/>
  <c r="M13" i="5"/>
  <c r="O13" i="5" s="1"/>
  <c r="AK6" i="5"/>
  <c r="AC6" i="5"/>
  <c r="AE6" i="5" s="1"/>
  <c r="U6" i="5"/>
  <c r="W6" i="5" s="1"/>
  <c r="M6" i="5"/>
  <c r="O6" i="5" s="1"/>
  <c r="AD5" i="5"/>
  <c r="AE15" i="5"/>
  <c r="N5" i="5"/>
  <c r="O15" i="5"/>
  <c r="P15" i="5" s="1"/>
  <c r="AA4" i="5"/>
  <c r="K4" i="5"/>
  <c r="AB7" i="5"/>
  <c r="L7" i="5"/>
  <c r="F6" i="5"/>
  <c r="AM4" i="5"/>
  <c r="AE4" i="5"/>
  <c r="AN20" i="5"/>
  <c r="AN6" i="5" s="1"/>
  <c r="AP6" i="5"/>
  <c r="AQ6" i="5"/>
  <c r="AH6" i="5"/>
  <c r="AH7" i="5" s="1"/>
  <c r="G7" i="4" s="1"/>
  <c r="AI6" i="5"/>
  <c r="Z6" i="5"/>
  <c r="Z7" i="5" s="1"/>
  <c r="G6" i="4" s="1"/>
  <c r="AA6" i="5"/>
  <c r="R6" i="5"/>
  <c r="S6" i="5"/>
  <c r="J6" i="5"/>
  <c r="K6" i="5"/>
  <c r="P16" i="5"/>
  <c r="AI4" i="5"/>
  <c r="E4" i="5"/>
  <c r="G12" i="5"/>
  <c r="F4" i="5"/>
  <c r="L8" i="5"/>
  <c r="AM6" i="5"/>
  <c r="AC5" i="5"/>
  <c r="AE5" i="5" s="1"/>
  <c r="M14" i="5"/>
  <c r="O14" i="5" s="1"/>
  <c r="P20" i="5"/>
  <c r="P6" i="5" s="1"/>
  <c r="AO6" i="5"/>
  <c r="AG6" i="5"/>
  <c r="Y6" i="5"/>
  <c r="Q6" i="5"/>
  <c r="AL5" i="5"/>
  <c r="AM15" i="5"/>
  <c r="V5" i="5"/>
  <c r="W15" i="5"/>
  <c r="X15" i="5" s="1"/>
  <c r="AQ4" i="5"/>
  <c r="AK5" i="5"/>
  <c r="AM5" i="5" s="1"/>
  <c r="W4" i="5"/>
  <c r="M12" i="5"/>
  <c r="F5" i="5"/>
  <c r="AL6" i="5"/>
  <c r="AL8" i="5" s="1"/>
  <c r="AD6" i="5"/>
  <c r="AD7" i="5" s="1"/>
  <c r="D7" i="4" s="1"/>
  <c r="V6" i="5"/>
  <c r="N6" i="5"/>
  <c r="AQ5" i="5"/>
  <c r="AI5" i="5"/>
  <c r="AA5" i="5"/>
  <c r="S5" i="5"/>
  <c r="K5" i="5"/>
  <c r="G12" i="4"/>
  <c r="J7" i="5" l="1"/>
  <c r="G4" i="4" s="1"/>
  <c r="AP7" i="5"/>
  <c r="G8" i="4" s="1"/>
  <c r="AO4" i="5"/>
  <c r="AP8" i="5"/>
  <c r="S4" i="5"/>
  <c r="U8" i="5"/>
  <c r="V7" i="5"/>
  <c r="D6" i="4" s="1"/>
  <c r="V8" i="5"/>
  <c r="AF15" i="5"/>
  <c r="AG5" i="5" s="1"/>
  <c r="U7" i="5"/>
  <c r="C6" i="4" s="1"/>
  <c r="AK8" i="5"/>
  <c r="Z8" i="5"/>
  <c r="AL7" i="5"/>
  <c r="D8" i="4" s="1"/>
  <c r="AC8" i="5"/>
  <c r="U6" i="6"/>
  <c r="C32" i="4" s="1"/>
  <c r="K6" i="6"/>
  <c r="H30" i="4" s="1"/>
  <c r="AF13" i="6"/>
  <c r="X13" i="6"/>
  <c r="P5" i="6"/>
  <c r="Q5" i="6"/>
  <c r="Q4" i="6"/>
  <c r="J7" i="6"/>
  <c r="N4" i="6"/>
  <c r="W4" i="6"/>
  <c r="W6" i="6" s="1"/>
  <c r="AQ7" i="6"/>
  <c r="K7" i="6"/>
  <c r="AH6" i="6"/>
  <c r="G33" i="4" s="1"/>
  <c r="X12" i="6"/>
  <c r="Y4" i="6" s="1"/>
  <c r="M4" i="6"/>
  <c r="M6" i="6" s="1"/>
  <c r="C31" i="4" s="1"/>
  <c r="AP6" i="6"/>
  <c r="G34" i="4" s="1"/>
  <c r="P5" i="7"/>
  <c r="AP6" i="7"/>
  <c r="G21" i="4" s="1"/>
  <c r="R7" i="7"/>
  <c r="Z6" i="7"/>
  <c r="G19" i="4" s="1"/>
  <c r="AH6" i="7"/>
  <c r="G20" i="4" s="1"/>
  <c r="K7" i="7"/>
  <c r="AF15" i="7"/>
  <c r="AF5" i="7" s="1"/>
  <c r="AH7" i="7"/>
  <c r="Z7" i="7"/>
  <c r="C24" i="4"/>
  <c r="C25" i="4" s="1"/>
  <c r="AF11" i="7"/>
  <c r="AF4" i="7" s="1"/>
  <c r="Q5" i="7"/>
  <c r="AN11" i="7"/>
  <c r="AD6" i="7"/>
  <c r="D20" i="4" s="1"/>
  <c r="AD7" i="7"/>
  <c r="AI6" i="7"/>
  <c r="H20" i="4" s="1"/>
  <c r="AI7" i="7"/>
  <c r="AL6" i="7"/>
  <c r="D21" i="4" s="1"/>
  <c r="AL7" i="7"/>
  <c r="AE4" i="7"/>
  <c r="AC6" i="7"/>
  <c r="C20" i="4" s="1"/>
  <c r="AC7" i="7"/>
  <c r="AA6" i="7"/>
  <c r="H19" i="4" s="1"/>
  <c r="AA7" i="7"/>
  <c r="J7" i="7"/>
  <c r="N7" i="7"/>
  <c r="N6" i="7"/>
  <c r="D18" i="4" s="1"/>
  <c r="G6" i="7"/>
  <c r="G7" i="7"/>
  <c r="U7" i="7"/>
  <c r="V6" i="7"/>
  <c r="D19" i="4" s="1"/>
  <c r="V7" i="7"/>
  <c r="AN4" i="7"/>
  <c r="AO4" i="7"/>
  <c r="AP7" i="7"/>
  <c r="F7" i="7"/>
  <c r="F6" i="7"/>
  <c r="D17" i="4" s="1"/>
  <c r="M6" i="7"/>
  <c r="C18" i="4" s="1"/>
  <c r="M7" i="7"/>
  <c r="O6" i="7"/>
  <c r="O7" i="7"/>
  <c r="W6" i="7"/>
  <c r="W7" i="7"/>
  <c r="AK6" i="7"/>
  <c r="C21" i="4" s="1"/>
  <c r="AK7" i="7"/>
  <c r="AM4" i="7"/>
  <c r="AG5" i="7"/>
  <c r="P11" i="7"/>
  <c r="E7" i="7"/>
  <c r="S6" i="7"/>
  <c r="H18" i="4" s="1"/>
  <c r="S7" i="7"/>
  <c r="D24" i="4"/>
  <c r="X15" i="7"/>
  <c r="U6" i="7"/>
  <c r="C19" i="4" s="1"/>
  <c r="X11" i="7"/>
  <c r="AQ6" i="7"/>
  <c r="H21" i="4" s="1"/>
  <c r="AQ7" i="7"/>
  <c r="AN15" i="7"/>
  <c r="P6" i="6"/>
  <c r="E31" i="4" s="1"/>
  <c r="P7" i="6"/>
  <c r="AI6" i="6"/>
  <c r="H33" i="4" s="1"/>
  <c r="AI7" i="6"/>
  <c r="AL6" i="6"/>
  <c r="D34" i="4" s="1"/>
  <c r="AL7" i="6"/>
  <c r="AA6" i="6"/>
  <c r="H32" i="4" s="1"/>
  <c r="AA7" i="6"/>
  <c r="AK6" i="6"/>
  <c r="C34" i="4" s="1"/>
  <c r="AK7" i="6"/>
  <c r="AM4" i="6"/>
  <c r="AD6" i="6"/>
  <c r="D33" i="4" s="1"/>
  <c r="AD7" i="6"/>
  <c r="J6" i="6"/>
  <c r="G30" i="4" s="1"/>
  <c r="X4" i="6"/>
  <c r="G7" i="6"/>
  <c r="G6" i="6"/>
  <c r="R6" i="6"/>
  <c r="G31" i="4" s="1"/>
  <c r="D37" i="4" s="1"/>
  <c r="R7" i="6"/>
  <c r="F6" i="6"/>
  <c r="D30" i="4" s="1"/>
  <c r="F7" i="6"/>
  <c r="AO7" i="6"/>
  <c r="AO6" i="6"/>
  <c r="F34" i="4" s="1"/>
  <c r="U7" i="6"/>
  <c r="AP7" i="6"/>
  <c r="AC6" i="6"/>
  <c r="C33" i="4" s="1"/>
  <c r="AC7" i="6"/>
  <c r="AE4" i="6"/>
  <c r="V7" i="6"/>
  <c r="V6" i="6"/>
  <c r="D32" i="4" s="1"/>
  <c r="N7" i="6"/>
  <c r="N6" i="6"/>
  <c r="D31" i="4" s="1"/>
  <c r="AN6" i="6"/>
  <c r="E34" i="4" s="1"/>
  <c r="AN7" i="6"/>
  <c r="AF12" i="6"/>
  <c r="S7" i="6"/>
  <c r="S6" i="6"/>
  <c r="H31" i="4" s="1"/>
  <c r="W7" i="5"/>
  <c r="W8" i="5"/>
  <c r="P13" i="5"/>
  <c r="AF13" i="5"/>
  <c r="X13" i="5"/>
  <c r="AD8" i="5"/>
  <c r="P14" i="5"/>
  <c r="X14" i="5"/>
  <c r="AF14" i="5"/>
  <c r="AC7" i="5"/>
  <c r="C7" i="4" s="1"/>
  <c r="E11" i="4" s="1"/>
  <c r="C11" i="4"/>
  <c r="C12" i="4" s="1"/>
  <c r="AK7" i="5"/>
  <c r="C8" i="4" s="1"/>
  <c r="R7" i="5"/>
  <c r="G5" i="4" s="1"/>
  <c r="D11" i="4" s="1"/>
  <c r="R8" i="5"/>
  <c r="E7" i="5"/>
  <c r="C4" i="4" s="1"/>
  <c r="E8" i="5"/>
  <c r="G4" i="5"/>
  <c r="AN15" i="5"/>
  <c r="F7" i="5"/>
  <c r="D4" i="4" s="1"/>
  <c r="F8" i="5"/>
  <c r="AI7" i="5"/>
  <c r="H7" i="4" s="1"/>
  <c r="AI8" i="5"/>
  <c r="AM7" i="5"/>
  <c r="AM8" i="5"/>
  <c r="K7" i="5"/>
  <c r="H4" i="4" s="1"/>
  <c r="K8" i="5"/>
  <c r="P5" i="5"/>
  <c r="Q5" i="5"/>
  <c r="S7" i="5"/>
  <c r="H5" i="4" s="1"/>
  <c r="S8" i="5"/>
  <c r="J8" i="5"/>
  <c r="AH8" i="5"/>
  <c r="X5" i="5"/>
  <c r="Y5" i="5"/>
  <c r="AF5" i="5"/>
  <c r="M4" i="5"/>
  <c r="O12" i="5"/>
  <c r="N4" i="5"/>
  <c r="AQ7" i="5"/>
  <c r="H8" i="4" s="1"/>
  <c r="AQ8" i="5"/>
  <c r="AE7" i="5"/>
  <c r="AE8" i="5"/>
  <c r="AA7" i="5"/>
  <c r="H6" i="4" s="1"/>
  <c r="AA8" i="5"/>
  <c r="E37" i="4" l="1"/>
  <c r="E38" i="4" s="1"/>
  <c r="D12" i="4"/>
  <c r="Q6" i="6"/>
  <c r="F31" i="4" s="1"/>
  <c r="AF4" i="6"/>
  <c r="O4" i="6"/>
  <c r="W7" i="6"/>
  <c r="D38" i="4"/>
  <c r="Q7" i="6"/>
  <c r="F37" i="4"/>
  <c r="F38" i="4" s="1"/>
  <c r="M7" i="6"/>
  <c r="AG4" i="7"/>
  <c r="X4" i="7"/>
  <c r="Y4" i="7"/>
  <c r="AG6" i="7"/>
  <c r="F20" i="4" s="1"/>
  <c r="AG7" i="7"/>
  <c r="E24" i="4"/>
  <c r="AN5" i="7"/>
  <c r="AN6" i="7" s="1"/>
  <c r="E21" i="4" s="1"/>
  <c r="AO5" i="7"/>
  <c r="AO6" i="7" s="1"/>
  <c r="F21" i="4" s="1"/>
  <c r="AM6" i="7"/>
  <c r="AM7" i="7"/>
  <c r="AF6" i="7"/>
  <c r="E20" i="4" s="1"/>
  <c r="AF7" i="7"/>
  <c r="AE6" i="7"/>
  <c r="AE7" i="7"/>
  <c r="X5" i="7"/>
  <c r="Y5" i="7"/>
  <c r="D25" i="4"/>
  <c r="P4" i="7"/>
  <c r="Q4" i="7"/>
  <c r="AF6" i="6"/>
  <c r="E33" i="4" s="1"/>
  <c r="AF7" i="6"/>
  <c r="Y7" i="6"/>
  <c r="Y6" i="6"/>
  <c r="F32" i="4" s="1"/>
  <c r="O6" i="6"/>
  <c r="O7" i="6"/>
  <c r="AE7" i="6"/>
  <c r="AE6" i="6"/>
  <c r="X6" i="6"/>
  <c r="E32" i="4" s="1"/>
  <c r="X7" i="6"/>
  <c r="AM7" i="6"/>
  <c r="AM6" i="6"/>
  <c r="AG4" i="6"/>
  <c r="M7" i="5"/>
  <c r="C5" i="4" s="1"/>
  <c r="M8" i="5"/>
  <c r="O4" i="5"/>
  <c r="AN5" i="5"/>
  <c r="AO5" i="5"/>
  <c r="P12" i="5"/>
  <c r="AF12" i="5"/>
  <c r="X12" i="5"/>
  <c r="N7" i="5"/>
  <c r="D5" i="4" s="1"/>
  <c r="N8" i="5"/>
  <c r="G7" i="5"/>
  <c r="G8" i="5"/>
  <c r="E12" i="4"/>
  <c r="F11" i="4"/>
  <c r="F12" i="4" s="1"/>
  <c r="AN7" i="7" l="1"/>
  <c r="AO7" i="7"/>
  <c r="Q6" i="7"/>
  <c r="F18" i="4" s="1"/>
  <c r="Q7" i="7"/>
  <c r="Y6" i="7"/>
  <c r="F19" i="4" s="1"/>
  <c r="Y7" i="7"/>
  <c r="P6" i="7"/>
  <c r="E18" i="4" s="1"/>
  <c r="P7" i="7"/>
  <c r="F24" i="4"/>
  <c r="F25" i="4" s="1"/>
  <c r="E25" i="4"/>
  <c r="X6" i="7"/>
  <c r="E19" i="4" s="1"/>
  <c r="X7" i="7"/>
  <c r="AG7" i="6"/>
  <c r="AG6" i="6"/>
  <c r="F33" i="4" s="1"/>
  <c r="X4" i="5"/>
  <c r="Y4" i="5"/>
  <c r="AN7" i="5"/>
  <c r="E8" i="4" s="1"/>
  <c r="AN8" i="5"/>
  <c r="AF4" i="5"/>
  <c r="AG4" i="5"/>
  <c r="O7" i="5"/>
  <c r="O8" i="5"/>
  <c r="P4" i="5"/>
  <c r="Q4" i="5"/>
  <c r="AO8" i="5"/>
  <c r="AO7" i="5"/>
  <c r="F8" i="4" s="1"/>
  <c r="AG7" i="5" l="1"/>
  <c r="F7" i="4" s="1"/>
  <c r="AG8" i="5"/>
  <c r="Y7" i="5"/>
  <c r="F6" i="4" s="1"/>
  <c r="Y8" i="5"/>
  <c r="Q7" i="5"/>
  <c r="F5" i="4" s="1"/>
  <c r="Q8" i="5"/>
  <c r="P7" i="5"/>
  <c r="E5" i="4" s="1"/>
  <c r="P8" i="5"/>
  <c r="AF8" i="5"/>
  <c r="AF7" i="5"/>
  <c r="E7" i="4" s="1"/>
  <c r="X8" i="5"/>
  <c r="X7" i="5"/>
  <c r="E6" i="4" s="1"/>
  <c r="E11" i="2" l="1"/>
  <c r="E12" i="2"/>
  <c r="L4" i="3" l="1"/>
  <c r="Q4" i="3" l="1"/>
  <c r="Q3" i="3"/>
  <c r="P4" i="3"/>
  <c r="P3" i="3"/>
  <c r="N4" i="3"/>
  <c r="O4" i="3" s="1"/>
  <c r="N3" i="3"/>
  <c r="M3" i="3"/>
  <c r="M4" i="3"/>
  <c r="L3" i="3"/>
  <c r="H7" i="2" l="1"/>
  <c r="I7" i="2"/>
  <c r="L7" i="2"/>
  <c r="T7" i="2"/>
  <c r="AB7" i="2"/>
  <c r="D7" i="2"/>
  <c r="H6" i="2"/>
  <c r="G11" i="3"/>
  <c r="G12" i="3" s="1"/>
  <c r="Z11" i="2" l="1"/>
  <c r="L6" i="2" l="1"/>
  <c r="D6" i="2" l="1"/>
  <c r="I6" i="2" l="1"/>
  <c r="M11" i="2" l="1"/>
  <c r="AJ4" i="2" l="1"/>
  <c r="E13" i="2" l="1"/>
  <c r="G12" i="2"/>
  <c r="M14" i="2"/>
  <c r="AP15" i="2"/>
  <c r="AP16" i="2"/>
  <c r="AP14" i="2"/>
  <c r="AP12" i="2"/>
  <c r="AP13" i="2"/>
  <c r="AP11" i="2"/>
  <c r="AK15" i="2"/>
  <c r="AK16" i="2"/>
  <c r="AK14" i="2"/>
  <c r="AK12" i="2"/>
  <c r="AM12" i="2" s="1"/>
  <c r="AK13" i="2"/>
  <c r="AM13" i="2" s="1"/>
  <c r="AK11" i="2"/>
  <c r="AH15" i="2"/>
  <c r="AH16" i="2"/>
  <c r="AH14" i="2"/>
  <c r="AH12" i="2"/>
  <c r="AH13" i="2"/>
  <c r="AH11" i="2"/>
  <c r="AC15" i="2"/>
  <c r="AC16" i="2"/>
  <c r="AC14" i="2"/>
  <c r="AC12" i="2"/>
  <c r="AE12" i="2" s="1"/>
  <c r="AC13" i="2"/>
  <c r="AE13" i="2" s="1"/>
  <c r="AC11" i="2"/>
  <c r="AE11" i="2" s="1"/>
  <c r="Z15" i="2"/>
  <c r="Z16" i="2"/>
  <c r="Z12" i="2"/>
  <c r="Z13" i="2"/>
  <c r="Z14" i="2"/>
  <c r="U15" i="2"/>
  <c r="U16" i="2"/>
  <c r="U14" i="2"/>
  <c r="U11" i="2"/>
  <c r="U12" i="2"/>
  <c r="U13" i="2"/>
  <c r="R15" i="2"/>
  <c r="R16" i="2"/>
  <c r="R14" i="2"/>
  <c r="R12" i="2"/>
  <c r="R13" i="2"/>
  <c r="R11" i="2"/>
  <c r="M15" i="2"/>
  <c r="O15" i="2" s="1"/>
  <c r="M16" i="2"/>
  <c r="O16" i="2" s="1"/>
  <c r="M12" i="2"/>
  <c r="M13" i="2"/>
  <c r="O11" i="2"/>
  <c r="J15" i="2"/>
  <c r="J16" i="2"/>
  <c r="J14" i="2"/>
  <c r="J12" i="2"/>
  <c r="J13" i="2"/>
  <c r="J11" i="2"/>
  <c r="E15" i="2"/>
  <c r="G15" i="2" s="1"/>
  <c r="E16" i="2"/>
  <c r="G16" i="2" s="1"/>
  <c r="E14" i="2"/>
  <c r="G13" i="2" l="1"/>
  <c r="E4" i="2"/>
  <c r="Z4" i="2"/>
  <c r="U4" i="2"/>
  <c r="U5" i="2"/>
  <c r="M4" i="2"/>
  <c r="M5" i="2"/>
  <c r="O5" i="2" s="1"/>
  <c r="AL5" i="2"/>
  <c r="AM11" i="2"/>
  <c r="AL4" i="2"/>
  <c r="G11" i="2"/>
  <c r="P11" i="2" s="1"/>
  <c r="AQ5" i="2"/>
  <c r="AE16" i="2"/>
  <c r="AF16" i="2" s="1"/>
  <c r="T6" i="2"/>
  <c r="AI4" i="2"/>
  <c r="P15" i="2"/>
  <c r="AM16" i="2"/>
  <c r="AE15" i="2"/>
  <c r="AF15" i="2" s="1"/>
  <c r="AM15" i="2"/>
  <c r="AJ5" i="2"/>
  <c r="AJ7" i="2" s="1"/>
  <c r="AB6" i="2"/>
  <c r="AE14" i="2"/>
  <c r="AM14" i="2"/>
  <c r="P16" i="2"/>
  <c r="V4" i="2"/>
  <c r="W12" i="2"/>
  <c r="AQ4" i="2"/>
  <c r="AQ7" i="2" s="1"/>
  <c r="J4" i="2"/>
  <c r="O13" i="2"/>
  <c r="AF11" i="2"/>
  <c r="S5" i="2"/>
  <c r="Z5" i="2"/>
  <c r="Z7" i="2" s="1"/>
  <c r="AH5" i="2"/>
  <c r="AA4" i="2"/>
  <c r="W16" i="2"/>
  <c r="AD5" i="2"/>
  <c r="N5" i="2"/>
  <c r="AP4" i="2"/>
  <c r="AD4" i="2"/>
  <c r="J5" i="2"/>
  <c r="S4" i="2"/>
  <c r="AA5" i="2"/>
  <c r="AI5" i="2"/>
  <c r="F4" i="2"/>
  <c r="O14" i="2"/>
  <c r="AC4" i="2"/>
  <c r="AK4" i="2"/>
  <c r="AH4" i="2"/>
  <c r="AH7" i="2" s="1"/>
  <c r="R4" i="2"/>
  <c r="N4" i="2"/>
  <c r="N7" i="2" s="1"/>
  <c r="O12" i="2"/>
  <c r="AC5" i="2"/>
  <c r="AK5" i="2"/>
  <c r="AP5" i="2"/>
  <c r="R5" i="2"/>
  <c r="V5" i="2"/>
  <c r="W15" i="2"/>
  <c r="W14" i="2"/>
  <c r="F5" i="2"/>
  <c r="W11" i="2"/>
  <c r="X11" i="2" s="1"/>
  <c r="W13" i="2"/>
  <c r="G14" i="2"/>
  <c r="E5" i="2"/>
  <c r="E7" i="2" s="1"/>
  <c r="K5" i="2"/>
  <c r="K4" i="2"/>
  <c r="V7" i="2" l="1"/>
  <c r="AI7" i="2"/>
  <c r="F7" i="2"/>
  <c r="AP7" i="2"/>
  <c r="R7" i="2"/>
  <c r="AK7" i="2"/>
  <c r="S6" i="2"/>
  <c r="H5" i="3" s="1"/>
  <c r="S7" i="2"/>
  <c r="J7" i="2"/>
  <c r="W4" i="2"/>
  <c r="U7" i="2"/>
  <c r="AE4" i="2"/>
  <c r="AC7" i="2"/>
  <c r="AL7" i="2"/>
  <c r="O4" i="2"/>
  <c r="O7" i="2" s="1"/>
  <c r="M7" i="2"/>
  <c r="K7" i="2"/>
  <c r="U6" i="2"/>
  <c r="C6" i="3" s="1"/>
  <c r="AD7" i="2"/>
  <c r="AA7" i="2"/>
  <c r="C11" i="3"/>
  <c r="C12" i="3" s="1"/>
  <c r="E6" i="2"/>
  <c r="C4" i="3" s="1"/>
  <c r="AA6" i="2"/>
  <c r="H6" i="3" s="1"/>
  <c r="AP6" i="2"/>
  <c r="G8" i="3" s="1"/>
  <c r="AJ6" i="2"/>
  <c r="AM5" i="2"/>
  <c r="N6" i="2"/>
  <c r="D5" i="3" s="1"/>
  <c r="Z6" i="2"/>
  <c r="G6" i="3" s="1"/>
  <c r="AI6" i="2"/>
  <c r="H7" i="3" s="1"/>
  <c r="AL6" i="2"/>
  <c r="D8" i="3" s="1"/>
  <c r="V6" i="2"/>
  <c r="D6" i="3" s="1"/>
  <c r="AD6" i="2"/>
  <c r="D7" i="3" s="1"/>
  <c r="AC6" i="2"/>
  <c r="C7" i="3" s="1"/>
  <c r="F6" i="2"/>
  <c r="D4" i="3" s="1"/>
  <c r="G4" i="2"/>
  <c r="J6" i="2"/>
  <c r="G4" i="3" s="1"/>
  <c r="K6" i="2"/>
  <c r="H4" i="3" s="1"/>
  <c r="AK6" i="2"/>
  <c r="C8" i="3" s="1"/>
  <c r="AH6" i="2"/>
  <c r="G7" i="3" s="1"/>
  <c r="AQ6" i="2"/>
  <c r="H8" i="3" s="1"/>
  <c r="M6" i="2"/>
  <c r="C5" i="3" s="1"/>
  <c r="R6" i="2"/>
  <c r="G5" i="3" s="1"/>
  <c r="AN15" i="2"/>
  <c r="G5" i="2"/>
  <c r="AE5" i="2"/>
  <c r="AN14" i="2"/>
  <c r="AN16" i="2"/>
  <c r="X15" i="2"/>
  <c r="X16" i="2"/>
  <c r="P14" i="2"/>
  <c r="AF14" i="2"/>
  <c r="X14" i="2"/>
  <c r="AN12" i="2"/>
  <c r="AN13" i="2"/>
  <c r="AN11" i="2"/>
  <c r="AF12" i="2"/>
  <c r="X12" i="2"/>
  <c r="P12" i="2"/>
  <c r="AF13" i="2"/>
  <c r="X13" i="2"/>
  <c r="P13" i="2"/>
  <c r="W5" i="2"/>
  <c r="AM4" i="2"/>
  <c r="AM7" i="2" l="1"/>
  <c r="G7" i="2"/>
  <c r="O3" i="3"/>
  <c r="N5" i="3"/>
  <c r="O5" i="3" s="1"/>
  <c r="W7" i="2"/>
  <c r="E11" i="3"/>
  <c r="E12" i="3" s="1"/>
  <c r="O6" i="2"/>
  <c r="AE7" i="2"/>
  <c r="D11" i="3"/>
  <c r="G6" i="2"/>
  <c r="W6" i="2"/>
  <c r="AO5" i="2"/>
  <c r="AM6" i="2"/>
  <c r="AE6" i="2"/>
  <c r="Y4" i="2"/>
  <c r="Y7" i="2" s="1"/>
  <c r="AN5" i="2"/>
  <c r="X5" i="2"/>
  <c r="Y5" i="2"/>
  <c r="AG5" i="2"/>
  <c r="AF5" i="2"/>
  <c r="Q5" i="2"/>
  <c r="P5" i="2"/>
  <c r="AN4" i="2"/>
  <c r="AO4" i="2"/>
  <c r="AF4" i="2"/>
  <c r="AG4" i="2"/>
  <c r="X4" i="2"/>
  <c r="X7" i="2" s="1"/>
  <c r="Q4" i="2"/>
  <c r="P4" i="2"/>
  <c r="P7" i="2" l="1"/>
  <c r="AN7" i="2"/>
  <c r="F11" i="3"/>
  <c r="F12" i="3" s="1"/>
  <c r="AF7" i="2"/>
  <c r="Q7" i="2"/>
  <c r="AO7" i="2"/>
  <c r="P5" i="3"/>
  <c r="D12" i="3"/>
  <c r="Q5" i="3" s="1"/>
  <c r="AG7" i="2"/>
  <c r="P6" i="2"/>
  <c r="E5" i="3" s="1"/>
  <c r="AN6" i="2"/>
  <c r="E8" i="3" s="1"/>
  <c r="AO6" i="2"/>
  <c r="F8" i="3" s="1"/>
  <c r="AF6" i="2"/>
  <c r="E7" i="3" s="1"/>
  <c r="Y6" i="2"/>
  <c r="F6" i="3" s="1"/>
  <c r="M5" i="3" s="1"/>
  <c r="Q6" i="2"/>
  <c r="F5" i="3" s="1"/>
  <c r="X6" i="2"/>
  <c r="E6" i="3" s="1"/>
  <c r="L5" i="3" s="1"/>
  <c r="AG6" i="2"/>
  <c r="F7" i="3" s="1"/>
</calcChain>
</file>

<file path=xl/sharedStrings.xml><?xml version="1.0" encoding="utf-8"?>
<sst xmlns="http://schemas.openxmlformats.org/spreadsheetml/2006/main" count="1098" uniqueCount="87">
  <si>
    <t>Leach</t>
  </si>
  <si>
    <t>post centrifuge</t>
  </si>
  <si>
    <t>MDX</t>
  </si>
  <si>
    <t>Post precipitation</t>
  </si>
  <si>
    <t>PEG</t>
  </si>
  <si>
    <t>1B3</t>
  </si>
  <si>
    <t>1B2</t>
  </si>
  <si>
    <t>1B1</t>
  </si>
  <si>
    <t>1A3</t>
  </si>
  <si>
    <t>1A2</t>
  </si>
  <si>
    <t>1A1</t>
  </si>
  <si>
    <t>std dev.</t>
  </si>
  <si>
    <t>Purity no.</t>
  </si>
  <si>
    <t>Recovery</t>
  </si>
  <si>
    <t>Amount</t>
  </si>
  <si>
    <t>cPC Concentration</t>
  </si>
  <si>
    <t>Volume (ml)</t>
  </si>
  <si>
    <t>run</t>
  </si>
  <si>
    <t>Final product</t>
  </si>
  <si>
    <t>PEG phase</t>
  </si>
  <si>
    <t>MDX phase</t>
  </si>
  <si>
    <t>Leaching period</t>
  </si>
  <si>
    <t>Results</t>
  </si>
  <si>
    <t>Average</t>
  </si>
  <si>
    <t>B</t>
  </si>
  <si>
    <t>A</t>
  </si>
  <si>
    <t>Post centrifuge</t>
  </si>
  <si>
    <t>Dilutions</t>
  </si>
  <si>
    <t>x</t>
  </si>
  <si>
    <t>cPC Concentration (mg/mL)</t>
  </si>
  <si>
    <t>Amount (mg)</t>
  </si>
  <si>
    <t>Purity</t>
  </si>
  <si>
    <t>cPC concentration</t>
  </si>
  <si>
    <t>St. deviation</t>
  </si>
  <si>
    <t>Estimated volume ratio</t>
  </si>
  <si>
    <t>Purification factor</t>
  </si>
  <si>
    <t>Partition coefficient</t>
  </si>
  <si>
    <t>K protein</t>
  </si>
  <si>
    <t>1/K</t>
  </si>
  <si>
    <t>20 % MDX- 9 % PEG</t>
  </si>
  <si>
    <t>PEG 20000 ATPS</t>
  </si>
  <si>
    <t>Std deviation</t>
  </si>
  <si>
    <t>PEG 6000 ATPS</t>
  </si>
  <si>
    <t>PEG 10000 ATPS</t>
  </si>
  <si>
    <t>Concentration factor</t>
  </si>
  <si>
    <t>WL (nm)</t>
  </si>
  <si>
    <t>PEG MW</t>
  </si>
  <si>
    <t>30 % MDX- 7 % PEG</t>
  </si>
  <si>
    <t xml:space="preserve">Average </t>
  </si>
  <si>
    <t>1C3</t>
  </si>
  <si>
    <t>1C2</t>
  </si>
  <si>
    <t>1C1</t>
  </si>
  <si>
    <t xml:space="preserve">std dev. </t>
  </si>
  <si>
    <t>C</t>
  </si>
  <si>
    <t>30 % MDX- 9 % PEG</t>
  </si>
  <si>
    <t>STDEV.</t>
  </si>
  <si>
    <t>25 % MDX- 9 % PEG</t>
  </si>
  <si>
    <t>post precip supernatent</t>
  </si>
  <si>
    <t>PEG 4B</t>
  </si>
  <si>
    <t>MDX 4B</t>
  </si>
  <si>
    <t>post centrifuge 4B</t>
  </si>
  <si>
    <t>Std dev.</t>
  </si>
  <si>
    <t>PEG10000 20%MDX-9%PEG A</t>
  </si>
  <si>
    <t>PEG10000 20%MDX-9%PEG B</t>
  </si>
  <si>
    <t>PEG10000 25%MDX-9%PEG A</t>
  </si>
  <si>
    <t>PEG10000 25%MDX-9%PEG B</t>
  </si>
  <si>
    <t>PEG10000 30%MDX-9%PEG B</t>
  </si>
  <si>
    <t>PEG10000 30%MDX-7%PEG A</t>
  </si>
  <si>
    <t>PEG10000 30%MDX-7%PEG B</t>
  </si>
  <si>
    <t>PEG10000 30%MDX-7%PEG C</t>
  </si>
  <si>
    <t>Kprotein</t>
  </si>
  <si>
    <t>30 % MDX- 5 % PEG</t>
  </si>
  <si>
    <t>Std dev</t>
  </si>
  <si>
    <t>PEG10000 30%MDX-5%PEG A</t>
  </si>
  <si>
    <t>PEG10000 30%MDX-5%PEG B</t>
  </si>
  <si>
    <t>PEG10000 30%MDX-5%PEG C</t>
  </si>
  <si>
    <t>PEG 20000 A</t>
  </si>
  <si>
    <t>PEG 20000 B</t>
  </si>
  <si>
    <t>PEG 6000 A</t>
  </si>
  <si>
    <t>PEG 6000 B</t>
  </si>
  <si>
    <t>280 nm</t>
  </si>
  <si>
    <t>Ave</t>
  </si>
  <si>
    <t>-</t>
  </si>
  <si>
    <t>PEG 20000 ATPS         20 % MDX- 9 % PEG</t>
  </si>
  <si>
    <t>Standard error</t>
  </si>
  <si>
    <t>PEG 6000 ATPS                     20 % MDX- 9 % PEG</t>
  </si>
  <si>
    <t xml:space="preserve">PEG 10000 ATPS                   20 % MDX- 9 % PEG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</si>
</sst>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 x14ac:knownFonts="1">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theme="9"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2">
    <xf numFmtId="0" fontId="0" fillId="0" borderId="0" xfId="0"/>
    <xf numFmtId="0" fontId="0" fillId="0" borderId="0" xfId="0" applyBorder="1" applyAlignment="1">
      <alignment horizontal="right"/>
    </xf>
    <xf numFmtId="0" fontId="0" fillId="0" borderId="1" xfId="0" applyBorder="1"/>
    <xf numFmtId="0" fontId="0" fillId="0" borderId="0" xfId="0" applyBorder="1"/>
    <xf numFmtId="0" fontId="0" fillId="0" borderId="0" xfId="0" applyBorder="1" applyAlignment="1"/>
    <xf numFmtId="0" fontId="1" fillId="2" borderId="7" xfId="0" applyFont="1" applyFill="1" applyBorder="1"/>
    <xf numFmtId="0" fontId="1" fillId="2" borderId="8" xfId="0" applyFont="1" applyFill="1" applyBorder="1"/>
    <xf numFmtId="0" fontId="1" fillId="2" borderId="8" xfId="0" applyFont="1" applyFill="1" applyBorder="1" applyAlignment="1"/>
    <xf numFmtId="0" fontId="1" fillId="2" borderId="10" xfId="0" applyFont="1" applyFill="1" applyBorder="1"/>
    <xf numFmtId="0" fontId="0" fillId="0" borderId="0" xfId="0" applyFill="1" applyBorder="1"/>
    <xf numFmtId="2" fontId="0" fillId="0" borderId="0" xfId="0" applyNumberFormat="1" applyBorder="1"/>
    <xf numFmtId="0" fontId="1" fillId="0" borderId="0" xfId="0" applyFont="1" applyBorder="1" applyAlignment="1">
      <alignment horizontal="center"/>
    </xf>
    <xf numFmtId="0" fontId="0" fillId="0" borderId="1" xfId="0" applyFill="1" applyBorder="1"/>
    <xf numFmtId="0" fontId="0" fillId="0" borderId="1" xfId="0" applyBorder="1" applyAlignment="1">
      <alignment horizontal="right"/>
    </xf>
    <xf numFmtId="0" fontId="0" fillId="0" borderId="2" xfId="0" applyBorder="1"/>
    <xf numFmtId="0" fontId="0" fillId="3" borderId="1" xfId="0" applyFill="1" applyBorder="1"/>
    <xf numFmtId="164" fontId="0" fillId="3" borderId="1" xfId="0" applyNumberFormat="1" applyFill="1" applyBorder="1"/>
    <xf numFmtId="0" fontId="1" fillId="2" borderId="1" xfId="0" applyFont="1" applyFill="1" applyBorder="1"/>
    <xf numFmtId="0" fontId="1" fillId="2" borderId="9" xfId="0" applyFont="1" applyFill="1" applyBorder="1"/>
    <xf numFmtId="0" fontId="0" fillId="0" borderId="0" xfId="0" applyAlignment="1">
      <alignment horizontal="right"/>
    </xf>
    <xf numFmtId="0" fontId="0" fillId="0" borderId="29" xfId="0" applyBorder="1"/>
    <xf numFmtId="0" fontId="0" fillId="0" borderId="4" xfId="0" applyBorder="1"/>
    <xf numFmtId="0" fontId="1" fillId="2" borderId="5" xfId="0" applyFont="1" applyFill="1" applyBorder="1" applyAlignment="1">
      <alignment vertical="center" wrapText="1"/>
    </xf>
    <xf numFmtId="164" fontId="0" fillId="3" borderId="9" xfId="0" applyNumberFormat="1" applyFill="1" applyBorder="1"/>
    <xf numFmtId="164" fontId="0" fillId="3" borderId="1" xfId="0" applyNumberFormat="1" applyFill="1" applyBorder="1" applyAlignment="1"/>
    <xf numFmtId="164" fontId="0" fillId="3" borderId="9" xfId="0" applyNumberFormat="1" applyFill="1" applyBorder="1" applyAlignment="1"/>
    <xf numFmtId="164" fontId="0" fillId="3" borderId="11" xfId="0" applyNumberFormat="1" applyFill="1" applyBorder="1"/>
    <xf numFmtId="164" fontId="0" fillId="3" borderId="12" xfId="0" applyNumberFormat="1" applyFill="1" applyBorder="1"/>
    <xf numFmtId="2" fontId="0" fillId="3" borderId="17" xfId="0" applyNumberFormat="1" applyFill="1" applyBorder="1" applyAlignment="1">
      <alignment vertical="center" wrapText="1"/>
    </xf>
    <xf numFmtId="164" fontId="0" fillId="3" borderId="17" xfId="0" applyNumberFormat="1" applyFill="1" applyBorder="1" applyAlignment="1">
      <alignment vertical="center" wrapText="1"/>
    </xf>
    <xf numFmtId="165" fontId="0" fillId="3" borderId="18" xfId="0" applyNumberFormat="1" applyFill="1" applyBorder="1"/>
    <xf numFmtId="164" fontId="0" fillId="3" borderId="19" xfId="0" applyNumberFormat="1" applyFill="1" applyBorder="1"/>
    <xf numFmtId="2" fontId="0" fillId="3" borderId="21" xfId="0" applyNumberFormat="1" applyFill="1" applyBorder="1"/>
    <xf numFmtId="164" fontId="0" fillId="3" borderId="21" xfId="0" applyNumberFormat="1" applyFill="1" applyBorder="1"/>
    <xf numFmtId="165" fontId="0" fillId="3" borderId="21" xfId="0" applyNumberFormat="1" applyFill="1" applyBorder="1"/>
    <xf numFmtId="164" fontId="0" fillId="3" borderId="22" xfId="0" applyNumberFormat="1" applyFill="1" applyBorder="1"/>
    <xf numFmtId="2" fontId="0" fillId="3" borderId="1" xfId="0" applyNumberFormat="1" applyFill="1" applyBorder="1"/>
    <xf numFmtId="165" fontId="0" fillId="3" borderId="1" xfId="0" applyNumberFormat="1" applyFill="1" applyBorder="1"/>
    <xf numFmtId="2" fontId="0" fillId="3" borderId="11" xfId="0" applyNumberFormat="1" applyFill="1" applyBorder="1"/>
    <xf numFmtId="165" fontId="0" fillId="3" borderId="11" xfId="0" applyNumberFormat="1" applyFill="1" applyBorder="1"/>
    <xf numFmtId="11" fontId="0" fillId="0" borderId="1" xfId="0" applyNumberFormat="1" applyBorder="1" applyAlignment="1">
      <alignment horizontal="right"/>
    </xf>
    <xf numFmtId="0" fontId="1" fillId="0" borderId="1" xfId="0" applyFont="1" applyBorder="1" applyAlignment="1">
      <alignment horizontal="center"/>
    </xf>
    <xf numFmtId="0" fontId="0" fillId="4" borderId="1" xfId="0" applyFill="1" applyBorder="1"/>
    <xf numFmtId="0" fontId="0" fillId="4" borderId="1" xfId="0" applyFill="1" applyBorder="1" applyAlignment="1">
      <alignment horizontal="right"/>
    </xf>
    <xf numFmtId="2" fontId="0" fillId="0" borderId="0" xfId="0" applyNumberFormat="1"/>
    <xf numFmtId="2" fontId="0" fillId="0" borderId="1" xfId="0" applyNumberFormat="1" applyBorder="1"/>
    <xf numFmtId="2" fontId="0" fillId="0" borderId="0" xfId="0" applyNumberFormat="1" applyBorder="1" applyAlignment="1">
      <alignment horizontal="right"/>
    </xf>
    <xf numFmtId="2" fontId="0" fillId="0" borderId="4" xfId="0" applyNumberFormat="1" applyBorder="1"/>
    <xf numFmtId="2" fontId="0" fillId="0" borderId="2" xfId="0" applyNumberFormat="1" applyBorder="1"/>
    <xf numFmtId="0" fontId="0" fillId="5" borderId="1" xfId="0" applyFill="1" applyBorder="1" applyAlignment="1">
      <alignment horizontal="right"/>
    </xf>
    <xf numFmtId="164" fontId="0" fillId="6" borderId="1" xfId="0" applyNumberFormat="1" applyFill="1" applyBorder="1"/>
    <xf numFmtId="164" fontId="0" fillId="6" borderId="9" xfId="0" applyNumberFormat="1" applyFill="1" applyBorder="1"/>
    <xf numFmtId="164" fontId="0" fillId="6" borderId="17" xfId="0" applyNumberFormat="1" applyFill="1" applyBorder="1" applyAlignment="1">
      <alignment vertical="center" wrapText="1"/>
    </xf>
    <xf numFmtId="165" fontId="0" fillId="6" borderId="19" xfId="0" applyNumberFormat="1" applyFill="1" applyBorder="1"/>
    <xf numFmtId="164" fontId="0" fillId="6" borderId="25" xfId="0" applyNumberFormat="1" applyFill="1" applyBorder="1"/>
    <xf numFmtId="164" fontId="0" fillId="6" borderId="21" xfId="0" applyNumberFormat="1" applyFill="1" applyBorder="1"/>
    <xf numFmtId="164" fontId="0" fillId="6" borderId="22" xfId="0" applyNumberFormat="1" applyFill="1" applyBorder="1"/>
    <xf numFmtId="164" fontId="0" fillId="6" borderId="27" xfId="0" applyNumberFormat="1" applyFill="1" applyBorder="1" applyAlignment="1">
      <alignment vertical="center" wrapText="1"/>
    </xf>
    <xf numFmtId="165" fontId="0" fillId="6" borderId="28" xfId="0" applyNumberFormat="1" applyFill="1" applyBorder="1"/>
    <xf numFmtId="164" fontId="0" fillId="6" borderId="5" xfId="0" applyNumberFormat="1" applyFill="1" applyBorder="1"/>
    <xf numFmtId="165" fontId="0" fillId="6" borderId="26" xfId="0" applyNumberFormat="1" applyFill="1" applyBorder="1"/>
    <xf numFmtId="164" fontId="0" fillId="6" borderId="27" xfId="0" applyNumberFormat="1" applyFill="1" applyBorder="1"/>
    <xf numFmtId="0" fontId="0" fillId="0" borderId="18" xfId="0" applyBorder="1"/>
    <xf numFmtId="0" fontId="0" fillId="0" borderId="35" xfId="0" applyBorder="1"/>
    <xf numFmtId="0" fontId="0" fillId="0" borderId="25" xfId="0" applyBorder="1"/>
    <xf numFmtId="0" fontId="0" fillId="0" borderId="36" xfId="0" applyBorder="1"/>
    <xf numFmtId="0" fontId="0" fillId="0" borderId="17" xfId="0" applyBorder="1"/>
    <xf numFmtId="0" fontId="0" fillId="0" borderId="37" xfId="0" applyBorder="1"/>
    <xf numFmtId="0" fontId="0" fillId="0" borderId="38" xfId="0" applyBorder="1"/>
    <xf numFmtId="0" fontId="0" fillId="0" borderId="27" xfId="0" applyBorder="1"/>
    <xf numFmtId="0" fontId="1" fillId="2" borderId="16" xfId="0" applyFont="1" applyFill="1" applyBorder="1" applyAlignment="1">
      <alignment vertical="center" wrapText="1"/>
    </xf>
    <xf numFmtId="0" fontId="1" fillId="2" borderId="20" xfId="0" applyFont="1" applyFill="1" applyBorder="1"/>
    <xf numFmtId="0" fontId="1" fillId="2" borderId="6" xfId="0" applyFont="1" applyFill="1" applyBorder="1" applyAlignment="1">
      <alignment vertical="center" wrapText="1"/>
    </xf>
    <xf numFmtId="0" fontId="1" fillId="2" borderId="1" xfId="0" applyFont="1" applyFill="1" applyBorder="1" applyAlignment="1"/>
    <xf numFmtId="0" fontId="1" fillId="2" borderId="9" xfId="0" applyFont="1" applyFill="1" applyBorder="1" applyAlignment="1"/>
    <xf numFmtId="2" fontId="0" fillId="0" borderId="38" xfId="0" applyNumberFormat="1" applyBorder="1"/>
    <xf numFmtId="165" fontId="0" fillId="0" borderId="38" xfId="0" applyNumberFormat="1" applyBorder="1"/>
    <xf numFmtId="0" fontId="0" fillId="0" borderId="17" xfId="0" applyBorder="1" applyAlignment="1"/>
    <xf numFmtId="0" fontId="0" fillId="0" borderId="36" xfId="0" applyBorder="1" applyAlignment="1"/>
    <xf numFmtId="2" fontId="1" fillId="2" borderId="23" xfId="0" applyNumberFormat="1" applyFont="1" applyFill="1" applyBorder="1" applyAlignment="1">
      <alignment wrapText="1"/>
    </xf>
    <xf numFmtId="0" fontId="1" fillId="2" borderId="23" xfId="0" applyFont="1" applyFill="1" applyBorder="1" applyAlignment="1">
      <alignment wrapText="1"/>
    </xf>
    <xf numFmtId="165" fontId="1" fillId="2" borderId="23" xfId="0" applyNumberFormat="1" applyFont="1" applyFill="1" applyBorder="1" applyAlignment="1">
      <alignment wrapText="1"/>
    </xf>
    <xf numFmtId="0" fontId="1" fillId="2" borderId="24" xfId="0" applyFont="1" applyFill="1" applyBorder="1" applyAlignment="1">
      <alignment wrapText="1"/>
    </xf>
    <xf numFmtId="0" fontId="1" fillId="2" borderId="1" xfId="0" applyFont="1" applyFill="1" applyBorder="1" applyAlignment="1">
      <alignment wrapText="1"/>
    </xf>
    <xf numFmtId="0" fontId="1" fillId="0" borderId="0" xfId="0" applyFont="1" applyBorder="1"/>
    <xf numFmtId="0" fontId="1" fillId="0" borderId="38" xfId="0" applyFont="1" applyBorder="1"/>
    <xf numFmtId="0" fontId="1" fillId="0" borderId="35" xfId="0" applyFont="1" applyBorder="1"/>
    <xf numFmtId="0" fontId="1" fillId="2" borderId="23" xfId="0" applyFont="1" applyFill="1" applyBorder="1" applyAlignment="1">
      <alignment horizontal="center"/>
    </xf>
    <xf numFmtId="0" fontId="1" fillId="2" borderId="13" xfId="0" applyFont="1" applyFill="1" applyBorder="1" applyAlignment="1">
      <alignment horizontal="center"/>
    </xf>
    <xf numFmtId="0" fontId="1" fillId="2" borderId="15" xfId="0" applyFont="1" applyFill="1" applyBorder="1" applyAlignment="1">
      <alignment horizontal="center"/>
    </xf>
    <xf numFmtId="0" fontId="1" fillId="2" borderId="14" xfId="0" applyFont="1" applyFill="1" applyBorder="1" applyAlignment="1">
      <alignment horizontal="center"/>
    </xf>
    <xf numFmtId="0" fontId="1" fillId="2" borderId="24" xfId="0" applyFont="1" applyFill="1" applyBorder="1" applyAlignment="1">
      <alignment horizontal="center"/>
    </xf>
    <xf numFmtId="0" fontId="1" fillId="2" borderId="30" xfId="0" applyFont="1" applyFill="1" applyBorder="1" applyAlignment="1">
      <alignment horizontal="center"/>
    </xf>
    <xf numFmtId="0" fontId="1" fillId="2" borderId="31" xfId="0" applyFont="1" applyFill="1" applyBorder="1" applyAlignment="1">
      <alignment horizontal="center"/>
    </xf>
    <xf numFmtId="0" fontId="1" fillId="2" borderId="32" xfId="0" applyFont="1" applyFill="1" applyBorder="1" applyAlignment="1">
      <alignment horizontal="center"/>
    </xf>
    <xf numFmtId="0" fontId="1" fillId="2" borderId="33" xfId="0" applyFont="1" applyFill="1" applyBorder="1" applyAlignment="1">
      <alignment horizontal="center"/>
    </xf>
    <xf numFmtId="0" fontId="1" fillId="2" borderId="34" xfId="0" applyFont="1" applyFill="1" applyBorder="1" applyAlignment="1">
      <alignment horizontal="center"/>
    </xf>
    <xf numFmtId="0" fontId="1" fillId="2" borderId="18" xfId="0" applyFont="1" applyFill="1" applyBorder="1" applyAlignment="1">
      <alignment horizontal="center"/>
    </xf>
    <xf numFmtId="0" fontId="0" fillId="0" borderId="0" xfId="0" applyBorder="1" applyAlignment="1">
      <alignment horizontal="center"/>
    </xf>
    <xf numFmtId="0" fontId="1" fillId="2" borderId="30" xfId="0" applyFont="1" applyFill="1" applyBorder="1" applyAlignment="1">
      <alignment horizontal="center" wrapText="1"/>
    </xf>
    <xf numFmtId="0" fontId="1" fillId="2" borderId="31" xfId="0" applyFont="1" applyFill="1" applyBorder="1" applyAlignment="1">
      <alignment horizontal="center" wrapText="1"/>
    </xf>
    <xf numFmtId="0" fontId="1" fillId="2" borderId="39" xfId="0" applyFont="1" applyFill="1" applyBorder="1" applyAlignment="1">
      <alignment horizontal="center" wrapText="1"/>
    </xf>
    <xf numFmtId="0" fontId="1" fillId="2" borderId="40" xfId="0" applyFont="1" applyFill="1" applyBorder="1" applyAlignment="1">
      <alignment horizontal="center" wrapText="1"/>
    </xf>
    <xf numFmtId="0" fontId="1" fillId="2" borderId="4" xfId="0" applyFont="1" applyFill="1" applyBorder="1" applyAlignment="1">
      <alignment horizontal="center"/>
    </xf>
    <xf numFmtId="0" fontId="1" fillId="2" borderId="2" xfId="0" applyFont="1" applyFill="1"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1" xfId="0" applyBorder="1" applyAlignment="1">
      <alignment horizontal="center"/>
    </xf>
    <xf numFmtId="0" fontId="0" fillId="0" borderId="4" xfId="0" applyFill="1" applyBorder="1" applyAlignment="1">
      <alignment horizontal="center"/>
    </xf>
    <xf numFmtId="0" fontId="0" fillId="0" borderId="3" xfId="0" applyFill="1" applyBorder="1" applyAlignment="1">
      <alignment horizontal="center"/>
    </xf>
    <xf numFmtId="0" fontId="0" fillId="0" borderId="2"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ZA" sz="1200"/>
              <a:t>C-PC purification, concentration and recovery at different PEG MWs</a:t>
            </a:r>
          </a:p>
        </c:rich>
      </c:tx>
      <c:overlay val="0"/>
    </c:title>
    <c:autoTitleDeleted val="0"/>
    <c:plotArea>
      <c:layout>
        <c:manualLayout>
          <c:layoutTarget val="inner"/>
          <c:xMode val="edge"/>
          <c:yMode val="edge"/>
          <c:x val="0.11898717382761749"/>
          <c:y val="0.13367316938048215"/>
          <c:w val="0.74930460710328883"/>
          <c:h val="0.72256879161762455"/>
        </c:manualLayout>
      </c:layout>
      <c:scatterChart>
        <c:scatterStyle val="lineMarker"/>
        <c:varyColors val="0"/>
        <c:ser>
          <c:idx val="1"/>
          <c:order val="1"/>
          <c:tx>
            <c:v>Concentration factor</c:v>
          </c:tx>
          <c:spPr>
            <a:ln w="19050">
              <a:noFill/>
            </a:ln>
          </c:spPr>
          <c:errBars>
            <c:errDir val="y"/>
            <c:errBarType val="both"/>
            <c:errValType val="cust"/>
            <c:noEndCap val="0"/>
            <c:plus>
              <c:numRef>
                <c:f>'Summary of MW study'!$O$3:$O$5</c:f>
                <c:numCache>
                  <c:formatCode>General</c:formatCode>
                  <c:ptCount val="3"/>
                  <c:pt idx="0">
                    <c:v>8.14076601324598E-2</c:v>
                  </c:pt>
                  <c:pt idx="1">
                    <c:v>0.10084485559070532</c:v>
                  </c:pt>
                  <c:pt idx="2">
                    <c:v>0.15950118968126789</c:v>
                  </c:pt>
                </c:numCache>
              </c:numRef>
            </c:plus>
            <c:minus>
              <c:numRef>
                <c:f>'Summary of MW study'!$O$3:$O$5</c:f>
                <c:numCache>
                  <c:formatCode>General</c:formatCode>
                  <c:ptCount val="3"/>
                  <c:pt idx="0">
                    <c:v>8.14076601324598E-2</c:v>
                  </c:pt>
                  <c:pt idx="1">
                    <c:v>0.10084485559070532</c:v>
                  </c:pt>
                  <c:pt idx="2">
                    <c:v>0.15950118968126789</c:v>
                  </c:pt>
                </c:numCache>
              </c:numRef>
            </c:minus>
          </c:errBars>
          <c:xVal>
            <c:numRef>
              <c:f>'Summary of MW study'!$K$3:$K$5</c:f>
              <c:numCache>
                <c:formatCode>General</c:formatCode>
                <c:ptCount val="3"/>
                <c:pt idx="0">
                  <c:v>6000</c:v>
                </c:pt>
                <c:pt idx="1">
                  <c:v>10000</c:v>
                </c:pt>
                <c:pt idx="2">
                  <c:v>20000</c:v>
                </c:pt>
              </c:numCache>
            </c:numRef>
          </c:xVal>
          <c:yVal>
            <c:numRef>
              <c:f>'Summary of MW study'!$N$3:$N$5</c:f>
              <c:numCache>
                <c:formatCode>0.000</c:formatCode>
                <c:ptCount val="3"/>
                <c:pt idx="0">
                  <c:v>1.4447181710681909</c:v>
                </c:pt>
                <c:pt idx="1">
                  <c:v>1.645801607507188</c:v>
                </c:pt>
                <c:pt idx="2">
                  <c:v>1.5018294597486814</c:v>
                </c:pt>
              </c:numCache>
            </c:numRef>
          </c:yVal>
          <c:smooth val="0"/>
          <c:extLst>
            <c:ext xmlns:c16="http://schemas.microsoft.com/office/drawing/2014/chart" uri="{C3380CC4-5D6E-409C-BE32-E72D297353CC}">
              <c16:uniqueId val="{00000005-CE0D-4B5D-8344-6E72B4496A58}"/>
            </c:ext>
          </c:extLst>
        </c:ser>
        <c:ser>
          <c:idx val="0"/>
          <c:order val="2"/>
          <c:tx>
            <c:v>Purification factor</c:v>
          </c:tx>
          <c:spPr>
            <a:ln w="19050">
              <a:noFill/>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'Summary of MW study'!$Q$3:$Q$5</c:f>
                <c:numCache>
                  <c:formatCode>General</c:formatCode>
                  <c:ptCount val="3"/>
                  <c:pt idx="0">
                    <c:v>2.4312033960503725E-2</c:v>
                  </c:pt>
                  <c:pt idx="1">
                    <c:v>1.2527083950112535E-2</c:v>
                  </c:pt>
                  <c:pt idx="2">
                    <c:v>9.6234444589676504E-3</c:v>
                  </c:pt>
                </c:numCache>
              </c:numRef>
            </c:plus>
            <c:minus>
              <c:numRef>
                <c:f>'Summary of MW study'!$Q$3:$Q$5</c:f>
                <c:numCache>
                  <c:formatCode>General</c:formatCode>
                  <c:ptCount val="3"/>
                  <c:pt idx="0">
                    <c:v>2.4312033960503725E-2</c:v>
                  </c:pt>
                  <c:pt idx="1">
                    <c:v>1.2527083950112535E-2</c:v>
                  </c:pt>
                  <c:pt idx="2">
                    <c:v>9.6234444589676504E-3</c:v>
                  </c:pt>
                </c:numCache>
              </c:numRef>
            </c:minus>
          </c:errBars>
          <c:xVal>
            <c:numRef>
              <c:f>'Summary of MW study'!$K$3:$K$5</c:f>
              <c:numCache>
                <c:formatCode>General</c:formatCode>
                <c:ptCount val="3"/>
                <c:pt idx="0">
                  <c:v>6000</c:v>
                </c:pt>
                <c:pt idx="1">
                  <c:v>10000</c:v>
                </c:pt>
                <c:pt idx="2">
                  <c:v>20000</c:v>
                </c:pt>
              </c:numCache>
            </c:numRef>
          </c:xVal>
          <c:yVal>
            <c:numRef>
              <c:f>'Summary of MW study'!$P$3:$P$5</c:f>
              <c:numCache>
                <c:formatCode>0.000</c:formatCode>
                <c:ptCount val="3"/>
                <c:pt idx="0">
                  <c:v>1.1267867008774277</c:v>
                </c:pt>
                <c:pt idx="1">
                  <c:v>1.2087896135584595</c:v>
                </c:pt>
                <c:pt idx="2">
                  <c:v>1.1720303498130686</c:v>
                </c:pt>
              </c:numCache>
            </c:numRef>
          </c:yVal>
          <c:smooth val="0"/>
          <c:extLst>
            <c:ext xmlns:c16="http://schemas.microsoft.com/office/drawing/2014/chart" uri="{C3380CC4-5D6E-409C-BE32-E72D297353CC}">
              <c16:uniqueId val="{00000007-CE0D-4B5D-8344-6E72B4496A58}"/>
            </c:ext>
          </c:extLst>
        </c:ser>
        <c:dLbls>
          <c:showLegendKey val="0"/>
          <c:showVal val="0"/>
          <c:showCatName val="0"/>
          <c:showSerName val="0"/>
          <c:showPercent val="0"/>
          <c:showBubbleSize val="0"/>
        </c:dLbls>
        <c:axId val="626403552"/>
        <c:axId val="626406504"/>
      </c:scatterChart>
      <c:scatterChart>
        <c:scatterStyle val="lineMarker"/>
        <c:varyColors val="0"/>
        <c:ser>
          <c:idx val="2"/>
          <c:order val="0"/>
          <c:tx>
            <c:v>cPC recovery</c:v>
          </c:tx>
          <c:spPr>
            <a:ln w="19050">
              <a:noFill/>
            </a:ln>
          </c:spPr>
          <c:errBars>
            <c:errDir val="y"/>
            <c:errBarType val="both"/>
            <c:errValType val="cust"/>
            <c:noEndCap val="0"/>
            <c:plus>
              <c:numRef>
                <c:f>'Summary of MW study'!$M$3:$M$5</c:f>
                <c:numCache>
                  <c:formatCode>General</c:formatCode>
                  <c:ptCount val="3"/>
                  <c:pt idx="0">
                    <c:v>0.11626871766715194</c:v>
                  </c:pt>
                  <c:pt idx="1">
                    <c:v>7.7557351308828265E-2</c:v>
                  </c:pt>
                  <c:pt idx="2">
                    <c:v>6.6793122471804314E-2</c:v>
                  </c:pt>
                </c:numCache>
              </c:numRef>
            </c:plus>
            <c:minus>
              <c:numRef>
                <c:f>'Summary of MW study'!$M$3:$M$5</c:f>
                <c:numCache>
                  <c:formatCode>General</c:formatCode>
                  <c:ptCount val="3"/>
                  <c:pt idx="0">
                    <c:v>0.11626871766715194</c:v>
                  </c:pt>
                  <c:pt idx="1">
                    <c:v>7.7557351308828265E-2</c:v>
                  </c:pt>
                  <c:pt idx="2">
                    <c:v>6.6793122471804314E-2</c:v>
                  </c:pt>
                </c:numCache>
              </c:numRef>
            </c:minus>
          </c:errBars>
          <c:xVal>
            <c:numRef>
              <c:f>'Summary of MW study'!$K$3:$K$5</c:f>
              <c:numCache>
                <c:formatCode>General</c:formatCode>
                <c:ptCount val="3"/>
                <c:pt idx="0">
                  <c:v>6000</c:v>
                </c:pt>
                <c:pt idx="1">
                  <c:v>10000</c:v>
                </c:pt>
                <c:pt idx="2">
                  <c:v>20000</c:v>
                </c:pt>
              </c:numCache>
            </c:numRef>
          </c:xVal>
          <c:yVal>
            <c:numRef>
              <c:f>'Summary of MW study'!$L$3:$L$5</c:f>
              <c:numCache>
                <c:formatCode>0.000</c:formatCode>
                <c:ptCount val="3"/>
                <c:pt idx="0">
                  <c:v>0.84363618124838757</c:v>
                </c:pt>
                <c:pt idx="1">
                  <c:v>0.95075643849620795</c:v>
                </c:pt>
                <c:pt idx="2">
                  <c:v>0.93572356127942369</c:v>
                </c:pt>
              </c:numCache>
            </c:numRef>
          </c:yVal>
          <c:smooth val="0"/>
          <c:extLst>
            <c:ext xmlns:c16="http://schemas.microsoft.com/office/drawing/2014/chart" uri="{C3380CC4-5D6E-409C-BE32-E72D297353CC}">
              <c16:uniqueId val="{00000008-CE0D-4B5D-8344-6E72B4496A58}"/>
            </c:ext>
          </c:extLst>
        </c:ser>
        <c:dLbls>
          <c:showLegendKey val="0"/>
          <c:showVal val="0"/>
          <c:showCatName val="0"/>
          <c:showSerName val="0"/>
          <c:showPercent val="0"/>
          <c:showBubbleSize val="0"/>
        </c:dLbls>
        <c:axId val="611263640"/>
        <c:axId val="611255768"/>
      </c:scatterChart>
      <c:valAx>
        <c:axId val="626406504"/>
        <c:scaling>
          <c:orientation val="minMax"/>
        </c:scaling>
        <c:delete val="0"/>
        <c:axPos val="l"/>
        <c:title>
          <c:tx>
            <c:rich>
              <a:bodyPr/>
              <a:lstStyle/>
              <a:p>
                <a:pPr>
                  <a:defRPr/>
                </a:pPr>
                <a:r>
                  <a:rPr lang="en-ZA"/>
                  <a:t>Purification- and-concentration-factor</a:t>
                </a:r>
              </a:p>
            </c:rich>
          </c:tx>
          <c:overlay val="0"/>
        </c:title>
        <c:numFmt formatCode="0.000" sourceLinked="1"/>
        <c:majorTickMark val="out"/>
        <c:minorTickMark val="none"/>
        <c:tickLblPos val="nextTo"/>
        <c:crossAx val="626403552"/>
        <c:crosses val="autoZero"/>
        <c:crossBetween val="midCat"/>
      </c:valAx>
      <c:valAx>
        <c:axId val="626403552"/>
        <c:scaling>
          <c:orientation val="minMax"/>
        </c:scaling>
        <c:delete val="0"/>
        <c:axPos val="b"/>
        <c:title>
          <c:tx>
            <c:rich>
              <a:bodyPr/>
              <a:lstStyle/>
              <a:p>
                <a:pPr>
                  <a:defRPr/>
                </a:pPr>
                <a:r>
                  <a:rPr lang="en-ZA"/>
                  <a:t>PEG molecular weight (Da)</a:t>
                </a:r>
              </a:p>
            </c:rich>
          </c:tx>
          <c:overlay val="0"/>
        </c:title>
        <c:numFmt formatCode="General" sourceLinked="1"/>
        <c:majorTickMark val="out"/>
        <c:minorTickMark val="none"/>
        <c:tickLblPos val="nextTo"/>
        <c:crossAx val="626406504"/>
        <c:crosses val="autoZero"/>
        <c:crossBetween val="midCat"/>
      </c:valAx>
      <c:valAx>
        <c:axId val="611255768"/>
        <c:scaling>
          <c:orientation val="minMax"/>
          <c:max val="1"/>
          <c:min val="0"/>
        </c:scaling>
        <c:delete val="0"/>
        <c:axPos val="r"/>
        <c:title>
          <c:tx>
            <c:rich>
              <a:bodyPr/>
              <a:lstStyle/>
              <a:p>
                <a:pPr>
                  <a:defRPr/>
                </a:pPr>
                <a:r>
                  <a:rPr lang="en-ZA"/>
                  <a:t>cPC</a:t>
                </a:r>
                <a:r>
                  <a:rPr lang="en-ZA" baseline="0"/>
                  <a:t> recovery</a:t>
                </a:r>
                <a:endParaRPr lang="en-ZA"/>
              </a:p>
            </c:rich>
          </c:tx>
          <c:overlay val="0"/>
        </c:title>
        <c:numFmt formatCode="0.000" sourceLinked="1"/>
        <c:majorTickMark val="out"/>
        <c:minorTickMark val="none"/>
        <c:tickLblPos val="nextTo"/>
        <c:crossAx val="611263640"/>
        <c:crosses val="max"/>
        <c:crossBetween val="midCat"/>
      </c:valAx>
      <c:valAx>
        <c:axId val="611263640"/>
        <c:scaling>
          <c:orientation val="minMax"/>
        </c:scaling>
        <c:delete val="1"/>
        <c:axPos val="b"/>
        <c:numFmt formatCode="General" sourceLinked="1"/>
        <c:majorTickMark val="out"/>
        <c:minorTickMark val="none"/>
        <c:tickLblPos val="nextTo"/>
        <c:crossAx val="611255768"/>
        <c:crosses val="autoZero"/>
        <c:crossBetween val="midCat"/>
      </c:valAx>
    </c:plotArea>
    <c:legend>
      <c:legendPos val="r"/>
      <c:layout>
        <c:manualLayout>
          <c:xMode val="edge"/>
          <c:yMode val="edge"/>
          <c:x val="0.50585395085206986"/>
          <c:y val="0.50405365995917173"/>
          <c:w val="0.28252782240282071"/>
          <c:h val="0.25115157480314959"/>
        </c:manualLayout>
      </c:layout>
      <c:overlay val="0"/>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178815</xdr:colOff>
      <xdr:row>6</xdr:row>
      <xdr:rowOff>71059</xdr:rowOff>
    </xdr:from>
    <xdr:to>
      <xdr:col>16</xdr:col>
      <xdr:colOff>1161571</xdr:colOff>
      <xdr:row>23</xdr:row>
      <xdr:rowOff>19848</xdr:rowOff>
    </xdr:to>
    <xdr:graphicFrame macro="">
      <xdr:nvGraphicFramePr>
        <xdr:cNvPr id="3" name="Chart 2">
          <a:extLst>
            <a:ext uri="{FF2B5EF4-FFF2-40B4-BE49-F238E27FC236}">
              <a16:creationId xmlns:a16="http://schemas.microsoft.com/office/drawing/2014/main" id="{B26CCCC3-C748-450D-AD94-EBE41E09E8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11877</xdr:colOff>
      <xdr:row>1</xdr:row>
      <xdr:rowOff>13606</xdr:rowOff>
    </xdr:from>
    <xdr:to>
      <xdr:col>9</xdr:col>
      <xdr:colOff>420090</xdr:colOff>
      <xdr:row>42</xdr:row>
      <xdr:rowOff>2770</xdr:rowOff>
    </xdr:to>
    <xdr:sp macro="" textlink="">
      <xdr:nvSpPr>
        <xdr:cNvPr id="2" name="TextBox 1">
          <a:extLst>
            <a:ext uri="{FF2B5EF4-FFF2-40B4-BE49-F238E27FC236}">
              <a16:creationId xmlns:a16="http://schemas.microsoft.com/office/drawing/2014/main" id="{077C3C3C-D457-4414-B001-00466E32D1CE}"/>
            </a:ext>
          </a:extLst>
        </xdr:cNvPr>
        <xdr:cNvSpPr txBox="1"/>
      </xdr:nvSpPr>
      <xdr:spPr>
        <a:xfrm>
          <a:off x="621477" y="193715"/>
          <a:ext cx="5285013" cy="73736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3"/>
          <a:r>
            <a:rPr lang="en-ZA" sz="1100" b="1" i="1">
              <a:solidFill>
                <a:schemeClr val="dk1"/>
              </a:solidFill>
              <a:effectLst/>
              <a:latin typeface="+mn-lt"/>
              <a:ea typeface="+mn-ea"/>
              <a:cs typeface="+mn-cs"/>
            </a:rPr>
            <a:t>Cell disruption and leaching</a:t>
          </a:r>
        </a:p>
        <a:p>
          <a:r>
            <a:rPr lang="en-ZA" sz="1100">
              <a:solidFill>
                <a:schemeClr val="dk1"/>
              </a:solidFill>
              <a:effectLst/>
              <a:latin typeface="+mn-lt"/>
              <a:ea typeface="+mn-ea"/>
              <a:cs typeface="+mn-cs"/>
            </a:rPr>
            <a:t>Dry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powder was bead-milled in a 3 L plastic beaker with 1 kg of 1 mm diameter borosilicate glass beads (purchased from MilliporeSigma). An overhead stirrer (Dillon RDM-100A 14” drill press) was used, operating at 180 RPM. 100 g dry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was loaded with a 5 g/L citrate buffer at pH 6, confirmed using a Lasec pH 50+ DHS probe. The citrate buffer was made using a mixture of 92 % sodium citrate (Kimix Chemicals, South Africa) and 8 % citric acid (Sigma-Aldrich) by mass. Weighing was done using a Radwag PS 4500.R2 balance. The volume was then topped up with deionised water to 1 L. The mixture was milled for 15 minutes with the liquid then poured off and left to soak for a further 48 h to leach the C-PC from the cell debris. </a:t>
          </a:r>
        </a:p>
        <a:p>
          <a:pPr lvl="3"/>
          <a:r>
            <a:rPr lang="en-ZA" sz="1100" b="1" i="1">
              <a:solidFill>
                <a:schemeClr val="dk1"/>
              </a:solidFill>
              <a:effectLst/>
              <a:latin typeface="+mn-lt"/>
              <a:ea typeface="+mn-ea"/>
              <a:cs typeface="+mn-cs"/>
            </a:rPr>
            <a:t>Cell debris removal</a:t>
          </a:r>
        </a:p>
        <a:p>
          <a:r>
            <a:rPr lang="en-ZA" sz="1100">
              <a:solidFill>
                <a:schemeClr val="dk1"/>
              </a:solidFill>
              <a:effectLst/>
              <a:latin typeface="+mn-lt"/>
              <a:ea typeface="+mn-ea"/>
              <a:cs typeface="+mn-cs"/>
            </a:rPr>
            <a:t>The biomass was removed by centrifuging at 7000 g for 20 minutes in 500 mL centrifuge bottles. A Beckman Avanti J-25 centrifuge was used. The supernatant was poured off, to be used in further processing, and the biomass pellet was discarded.</a:t>
          </a:r>
        </a:p>
        <a:p>
          <a:pPr lvl="3"/>
          <a:r>
            <a:rPr lang="en-ZA" sz="1100" b="1" i="1">
              <a:solidFill>
                <a:schemeClr val="dk1"/>
              </a:solidFill>
              <a:effectLst/>
              <a:latin typeface="+mn-lt"/>
              <a:ea typeface="+mn-ea"/>
              <a:cs typeface="+mn-cs"/>
            </a:rPr>
            <a:t>Aqueous two-phase separation</a:t>
          </a:r>
        </a:p>
        <a:p>
          <a:r>
            <a:rPr lang="en-ZA" sz="1100">
              <a:solidFill>
                <a:schemeClr val="dk1"/>
              </a:solidFill>
              <a:effectLst/>
              <a:latin typeface="+mn-lt"/>
              <a:ea typeface="+mn-ea"/>
              <a:cs typeface="+mn-cs"/>
            </a:rPr>
            <a:t>The ATPS was performed by adding 1 L of the crude extract, which is the supernatant after centrifugation, to a 3 L plastic beaker, with the addition of 77 g of PEG (Sigma-Aldrich, MW ≥ 10000 Da) and 460 g of maltodextrin (Supplement World, South Africa). This translated to roughly 5 wt% PEG and 30 wt% maltodextrin as the ATPS composition. This was mixed using the overhead stirrer at 180 RPM for 30 minutes or until well mixed. The mixture was spun again in 500 mL centrifuge bottles at 7000 g for 40 minutes. The bottom phycocyanin-rich maltodextrin phase was siphoned-off using clear tubing. The ATPS was carried out at a pH of 6 and 25 °C. </a:t>
          </a:r>
        </a:p>
        <a:p>
          <a:pPr lvl="3"/>
          <a:r>
            <a:rPr lang="en-ZA" sz="1100" b="1" i="1">
              <a:solidFill>
                <a:schemeClr val="dk1"/>
              </a:solidFill>
              <a:effectLst/>
              <a:latin typeface="+mn-lt"/>
              <a:ea typeface="+mn-ea"/>
              <a:cs typeface="+mn-cs"/>
            </a:rPr>
            <a:t>Precipitation train</a:t>
          </a:r>
        </a:p>
        <a:p>
          <a:r>
            <a:rPr lang="en-ZA" sz="1100">
              <a:solidFill>
                <a:schemeClr val="dk1"/>
              </a:solidFill>
              <a:effectLst/>
              <a:latin typeface="+mn-lt"/>
              <a:ea typeface="+mn-ea"/>
              <a:cs typeface="+mn-cs"/>
            </a:rPr>
            <a:t>Three precipitation stages were used in the patented process. Each used ammonium sulfate (Kimix Chemicals, South Africa) at decreasing amounts in order to selectively precipitate C-PC, thereby increasing purity and decreasing bacterial contamination. After each stage the mixtures were left to stand for at least 1 h and then centrifuged at 7000 g in 500 mL bottles for 15 minutes. The supernatant was then drawn off and the precipitated pellets redissolved.</a:t>
          </a:r>
        </a:p>
        <a:p>
          <a:r>
            <a:rPr lang="en-ZA" sz="1100">
              <a:solidFill>
                <a:schemeClr val="dk1"/>
              </a:solidFill>
              <a:effectLst/>
              <a:latin typeface="+mn-lt"/>
              <a:ea typeface="+mn-ea"/>
              <a:cs typeface="+mn-cs"/>
            </a:rPr>
            <a:t>The first precipitation used 1 L of the bottom phase from the ATPS with 298 g of ammonium sulfate. After centrifugation, the bottom clear phase formed was removed by peristaltic pump and the pellet resuspended in water up to 80% of the initial phase volume.</a:t>
          </a:r>
        </a:p>
        <a:p>
          <a:r>
            <a:rPr lang="en-ZA" sz="1100">
              <a:solidFill>
                <a:schemeClr val="dk1"/>
              </a:solidFill>
              <a:effectLst/>
              <a:latin typeface="+mn-lt"/>
              <a:ea typeface="+mn-ea"/>
              <a:cs typeface="+mn-cs"/>
            </a:rPr>
            <a:t>The second precipitation used 1 L of the previous resuspension and an added 410 g of ammonium sulfate. After centrifuging at 7000 g for 20 minutes in 500 mL centrifuge bottles, the supernatant was discarded and the pellet redissolved to 1 L with deionised water.</a:t>
          </a:r>
        </a:p>
        <a:p>
          <a:r>
            <a:rPr lang="en-ZA" sz="1100">
              <a:solidFill>
                <a:schemeClr val="dk1"/>
              </a:solidFill>
              <a:effectLst/>
              <a:latin typeface="+mn-lt"/>
              <a:ea typeface="+mn-ea"/>
              <a:cs typeface="+mn-cs"/>
            </a:rPr>
            <a:t>The final precipitation used 223 g ammonium sulfate in the 1 L from the previous stage, with the clear supernatant being poured off and discarded.</a:t>
          </a:r>
        </a:p>
        <a:p>
          <a:pPr lvl="3"/>
          <a:r>
            <a:rPr lang="en-ZA" sz="1100" b="1" i="1">
              <a:solidFill>
                <a:schemeClr val="dk1"/>
              </a:solidFill>
              <a:effectLst/>
              <a:latin typeface="+mn-lt"/>
              <a:ea typeface="+mn-ea"/>
              <a:cs typeface="+mn-cs"/>
            </a:rPr>
            <a:t>Drying</a:t>
          </a:r>
        </a:p>
        <a:p>
          <a:r>
            <a:rPr lang="en-ZA" sz="1100">
              <a:solidFill>
                <a:schemeClr val="dk1"/>
              </a:solidFill>
              <a:effectLst/>
              <a:latin typeface="+mn-lt"/>
              <a:ea typeface="+mn-ea"/>
              <a:cs typeface="+mn-cs"/>
            </a:rPr>
            <a:t>Freeze-drying was used in the initial stages of the project, with the final pellet after precipitation being placed in a freeze dryer for 12 h or until completely dry. An Instruvac vacuum freeze-dryer was used.</a:t>
          </a:r>
        </a:p>
        <a:p>
          <a:endParaRPr lang="en-ZA" sz="1100"/>
        </a:p>
      </xdr:txBody>
    </xdr:sp>
    <xdr:clientData/>
  </xdr:twoCellAnchor>
  <xdr:twoCellAnchor>
    <xdr:from>
      <xdr:col>1</xdr:col>
      <xdr:colOff>13854</xdr:colOff>
      <xdr:row>43</xdr:row>
      <xdr:rowOff>1</xdr:rowOff>
    </xdr:from>
    <xdr:to>
      <xdr:col>9</xdr:col>
      <xdr:colOff>422067</xdr:colOff>
      <xdr:row>64</xdr:row>
      <xdr:rowOff>13856</xdr:rowOff>
    </xdr:to>
    <xdr:sp macro="" textlink="">
      <xdr:nvSpPr>
        <xdr:cNvPr id="3" name="TextBox 2">
          <a:extLst>
            <a:ext uri="{FF2B5EF4-FFF2-40B4-BE49-F238E27FC236}">
              <a16:creationId xmlns:a16="http://schemas.microsoft.com/office/drawing/2014/main" id="{1FE92693-8934-49BF-9A30-37C834ED58B2}"/>
            </a:ext>
          </a:extLst>
        </xdr:cNvPr>
        <xdr:cNvSpPr txBox="1"/>
      </xdr:nvSpPr>
      <xdr:spPr>
        <a:xfrm>
          <a:off x="623454" y="7744692"/>
          <a:ext cx="5285013" cy="37961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Polymer concentration studies</a:t>
          </a:r>
        </a:p>
        <a:p>
          <a:r>
            <a:rPr lang="en-ZA" sz="1100">
              <a:solidFill>
                <a:schemeClr val="dk1"/>
              </a:solidFill>
              <a:effectLst/>
              <a:latin typeface="+mn-lt"/>
              <a:ea typeface="+mn-ea"/>
              <a:cs typeface="+mn-cs"/>
            </a:rPr>
            <a:t>Tests were performed to examine the effect of polymer concentrations on C-PC partitioning. At a constant concentration of 30 wt% for maltodextrin, the PEG 10000 concentration was increased from 5 wt% to 7 wt% and then 9 wt % to test the effect of PEG concentration on the partitioning of C-PC. The PEG 10000 concentration was then kept at 9 wt% while the maltodextrin concentration was lowered to 25 wt% and then 20 wt%.</a:t>
          </a:r>
        </a:p>
        <a:p>
          <a:r>
            <a:rPr lang="en-ZA" sz="1100">
              <a:solidFill>
                <a:schemeClr val="dk1"/>
              </a:solidFill>
              <a:effectLst/>
              <a:latin typeface="+mn-lt"/>
              <a:ea typeface="+mn-ea"/>
              <a:cs typeface="+mn-cs"/>
            </a:rPr>
            <a:t>This set of experiments was carried out at the scale mentioned in  section 4.3.2, starting with 1 L of buffered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suspension, followed by leaching and cell debris removal. The ATPS were carried out in duplicated experiments and analysed in triplicate. The results were used to inform the further studies on PEG molecular weight, based on the best performing combination in terms of C-PC yield, purity and recovery. See appendix A.4 for raw data.</a:t>
          </a:r>
        </a:p>
        <a:p>
          <a:pPr lvl="2"/>
          <a:r>
            <a:rPr lang="en-ZA" sz="1100" b="1">
              <a:solidFill>
                <a:schemeClr val="dk1"/>
              </a:solidFill>
              <a:effectLst/>
              <a:latin typeface="+mn-lt"/>
              <a:ea typeface="+mn-ea"/>
              <a:cs typeface="+mn-cs"/>
            </a:rPr>
            <a:t>PEG molecular weight studies</a:t>
          </a:r>
        </a:p>
        <a:p>
          <a:r>
            <a:rPr lang="en-ZA" sz="1100">
              <a:solidFill>
                <a:schemeClr val="dk1"/>
              </a:solidFill>
              <a:effectLst/>
              <a:latin typeface="+mn-lt"/>
              <a:ea typeface="+mn-ea"/>
              <a:cs typeface="+mn-cs"/>
            </a:rPr>
            <a:t>Tests were performed to examine the effect of PEG molecular weight on C-PC partitioning. Three different molecular weights of PEG were used: 6000, 10000 and 20000 Da. Following from the previous experiment, the best-performing concentration combination was used, 9 wt% PEG with 20 wt% maltodextrin. The ATPS were again carried out in duplicated experiments and analysed in triplicate. Comparisons were made based on C-PC recovery, concentration and purity.</a:t>
          </a:r>
        </a:p>
        <a:p>
          <a:endParaRPr lang="en-ZA" sz="1100"/>
        </a:p>
      </xdr:txBody>
    </xdr:sp>
    <xdr:clientData/>
  </xdr:twoCellAnchor>
  <xdr:twoCellAnchor>
    <xdr:from>
      <xdr:col>1</xdr:col>
      <xdr:colOff>27709</xdr:colOff>
      <xdr:row>64</xdr:row>
      <xdr:rowOff>138546</xdr:rowOff>
    </xdr:from>
    <xdr:to>
      <xdr:col>9</xdr:col>
      <xdr:colOff>415636</xdr:colOff>
      <xdr:row>104</xdr:row>
      <xdr:rowOff>12867</xdr:rowOff>
    </xdr:to>
    <mc:AlternateContent xmlns:mc="http://schemas.openxmlformats.org/markup-compatibility/2006">
      <mc:Choice xmlns:a14="http://schemas.microsoft.com/office/drawing/2010/main" Requires="a14">
        <xdr:sp macro="" textlink="">
          <xdr:nvSpPr>
            <xdr:cNvPr id="4" name="TextBox 3">
              <a:extLst>
                <a:ext uri="{FF2B5EF4-FFF2-40B4-BE49-F238E27FC236}">
                  <a16:creationId xmlns:a16="http://schemas.microsoft.com/office/drawing/2014/main" id="{E0ACBD04-0528-4CD4-AA64-3037261B3C80}"/>
                </a:ext>
              </a:extLst>
            </xdr:cNvPr>
            <xdr:cNvSpPr txBox="1"/>
          </xdr:nvSpPr>
          <xdr:spPr>
            <a:xfrm>
              <a:off x="637309" y="11665528"/>
              <a:ext cx="5264727" cy="70786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b="1"/>
                <a:t>C-PC descriptors </a:t>
              </a:r>
            </a:p>
            <a:p>
              <a:r>
                <a:rPr lang="en-ZA"/>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a:p>
            <a:p>
              <a:pPr marL="0" marR="0" lvl="0" indent="0" algn="l" defTabSz="914400" eaLnBrk="1" fontAlgn="auto" latinLnBrk="0" hangingPunct="1">
                <a:lnSpc>
                  <a:spcPct val="100000"/>
                </a:lnSpc>
                <a:spcBef>
                  <a:spcPts val="0"/>
                </a:spcBef>
                <a:spcAft>
                  <a:spcPts val="0"/>
                </a:spcAft>
                <a:buClrTx/>
                <a:buSzTx/>
                <a:buFontTx/>
                <a:buNone/>
                <a:tabLst/>
                <a:defRPr/>
              </a:pPr>
              <a:r>
                <a:rPr lang="en-ZA" sz="1100" b="1" i="1">
                  <a:solidFill>
                    <a:schemeClr val="dk1"/>
                  </a:solidFill>
                  <a:effectLst/>
                  <a:latin typeface="+mn-lt"/>
                  <a:ea typeface="+mn-ea"/>
                  <a:cs typeface="+mn-cs"/>
                </a:rPr>
                <a:t>C-PC Purity</a:t>
              </a:r>
              <a:endParaRPr lang="en-ZA" sz="1100">
                <a:solidFill>
                  <a:schemeClr val="dk1"/>
                </a:solidFill>
                <a:effectLst/>
                <a:latin typeface="+mn-lt"/>
                <a:ea typeface="+mn-ea"/>
                <a:cs typeface="+mn-cs"/>
              </a:endParaRPr>
            </a:p>
            <a:p>
              <a:r>
                <a:rPr lang="en-ZA" sz="11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𝑐𝑃𝐶</m:t>
                  </m:r>
                  <m:r>
                    <a:rPr lang="en-ZA" sz="1100" i="1">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𝑝𝑢𝑟𝑖𝑡𝑦</m:t>
                  </m:r>
                  <m:r>
                    <a:rPr lang="en-ZA" sz="1100" i="1">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r>
                        <a:rPr lang="en-ZA" sz="1100" i="1">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620</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280</m:t>
                          </m:r>
                        </m:sub>
                      </m:sSub>
                    </m:den>
                  </m:f>
                  <m:r>
                    <a:rPr lang="en-ZA" sz="1100" i="1">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2</a:t>
              </a:r>
            </a:p>
            <a:p>
              <a:r>
                <a:rPr lang="en-ZA" sz="1100">
                  <a:solidFill>
                    <a:schemeClr val="dk1"/>
                  </a:solidFill>
                  <a:effectLst/>
                  <a:latin typeface="+mn-lt"/>
                  <a:ea typeface="+mn-ea"/>
                  <a:cs typeface="+mn-cs"/>
                </a:rPr>
                <a:t>Where </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m:rPr>
                          <m:sty m:val="p"/>
                        </m:rPr>
                        <a:rPr lang="en-ZA" sz="1100">
                          <a:solidFill>
                            <a:schemeClr val="dk1"/>
                          </a:solidFill>
                          <a:effectLst/>
                          <a:latin typeface="Cambria Math" panose="02040503050406030204" pitchFamily="18" charset="0"/>
                          <a:ea typeface="+mn-ea"/>
                          <a:cs typeface="+mn-cs"/>
                        </a:rPr>
                        <m:t>λ</m:t>
                      </m:r>
                    </m:sub>
                  </m:sSub>
                </m:oMath>
              </a14:m>
              <a:r>
                <a:rPr lang="en-ZA" sz="1100">
                  <a:solidFill>
                    <a:schemeClr val="dk1"/>
                  </a:solidFill>
                  <a:effectLst/>
                  <a:latin typeface="+mn-lt"/>
                  <a:ea typeface="+mn-ea"/>
                  <a:cs typeface="+mn-cs"/>
                </a:rPr>
                <a:t> is the absorbance under a spectrophotometer at λ, the wavelength in nm.</a:t>
              </a:r>
            </a:p>
            <a:p>
              <a:endParaRPr lang="en-ZA" sz="1100" b="1" i="1">
                <a:solidFill>
                  <a:schemeClr val="dk1"/>
                </a:solidFill>
                <a:effectLst/>
                <a:latin typeface="+mn-lt"/>
                <a:ea typeface="+mn-ea"/>
                <a:cs typeface="+mn-cs"/>
              </a:endParaRPr>
            </a:p>
            <a:p>
              <a:r>
                <a:rPr lang="en-ZA" sz="1100" b="1" i="1">
                  <a:solidFill>
                    <a:schemeClr val="dk1"/>
                  </a:solidFill>
                  <a:effectLst/>
                  <a:latin typeface="+mn-lt"/>
                  <a:ea typeface="+mn-ea"/>
                  <a:cs typeface="+mn-cs"/>
                </a:rPr>
                <a:t>C-PC concentration</a:t>
              </a:r>
            </a:p>
            <a:p>
              <a:r>
                <a:rPr lang="en-ZA" sz="11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14:m>
                <m:oMath xmlns:m="http://schemas.openxmlformats.org/officeDocument/2006/math">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𝑐𝑃𝐶</m:t>
                  </m:r>
                  <m:r>
                    <a:rPr lang="en-ZA" sz="1100" i="1">
                      <a:solidFill>
                        <a:schemeClr val="dk1"/>
                      </a:solidFill>
                      <a:effectLst/>
                      <a:latin typeface="Cambria Math" panose="02040503050406030204" pitchFamily="18" charset="0"/>
                      <a:ea typeface="+mn-ea"/>
                      <a:cs typeface="+mn-cs"/>
                    </a:rPr>
                    <m:t>]  </m:t>
                  </m:r>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𝑚𝑔</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𝑚𝐿</m:t>
                      </m:r>
                    </m:e>
                  </m:d>
                  <m:r>
                    <a:rPr lang="en-ZA" sz="1100" i="1">
                      <a:solidFill>
                        <a:schemeClr val="dk1"/>
                      </a:solidFill>
                      <a:effectLst/>
                      <a:latin typeface="Cambria Math" panose="02040503050406030204" pitchFamily="18" charset="0"/>
                      <a:ea typeface="+mn-ea"/>
                      <a:cs typeface="+mn-cs"/>
                    </a:rPr>
                    <m:t>= </m:t>
                  </m:r>
                  <m:r>
                    <a:rPr lang="en-ZA" sz="1100">
                      <a:solidFill>
                        <a:schemeClr val="dk1"/>
                      </a:solidFill>
                      <a:effectLst/>
                      <a:latin typeface="Cambria Math" panose="02040503050406030204" pitchFamily="18" charset="0"/>
                      <a:ea typeface="+mn-ea"/>
                      <a:cs typeface="+mn-cs"/>
                    </a:rPr>
                    <m:t>0.162</m:t>
                  </m:r>
                  <m:r>
                    <a:rPr lang="en-ZA" sz="1100" i="1">
                      <a:solidFill>
                        <a:schemeClr val="dk1"/>
                      </a:solidFill>
                      <a:effectLst/>
                      <a:latin typeface="Cambria Math" panose="02040503050406030204" pitchFamily="18" charset="0"/>
                      <a:ea typeface="+mn-ea"/>
                      <a:cs typeface="+mn-cs"/>
                    </a:rPr>
                    <m:t>∗</m:t>
                  </m:r>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620</m:t>
                      </m:r>
                    </m:sub>
                  </m:sSub>
                  <m:r>
                    <a:rPr lang="en-ZA" sz="1100">
                      <a:solidFill>
                        <a:schemeClr val="dk1"/>
                      </a:solidFill>
                      <a:effectLst/>
                      <a:latin typeface="Cambria Math" panose="02040503050406030204" pitchFamily="18" charset="0"/>
                      <a:ea typeface="+mn-ea"/>
                      <a:cs typeface="+mn-cs"/>
                    </a:rPr>
                    <m:t> – 0.098</m:t>
                  </m:r>
                  <m:r>
                    <a:rPr lang="en-ZA" sz="1100" i="1">
                      <a:solidFill>
                        <a:schemeClr val="dk1"/>
                      </a:solidFill>
                      <a:effectLst/>
                      <a:latin typeface="Cambria Math" panose="02040503050406030204" pitchFamily="18" charset="0"/>
                      <a:ea typeface="+mn-ea"/>
                      <a:cs typeface="+mn-cs"/>
                    </a:rPr>
                    <m:t>∗</m:t>
                  </m:r>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650</m:t>
                      </m:r>
                    </m:sub>
                  </m:sSub>
                </m:oMath>
              </a14:m>
              <a:r>
                <a:rPr lang="en-ZA" sz="1100">
                  <a:solidFill>
                    <a:schemeClr val="dk1"/>
                  </a:solidFill>
                  <a:effectLst/>
                  <a:latin typeface="+mn-lt"/>
                  <a:ea typeface="+mn-ea"/>
                  <a:cs typeface="+mn-cs"/>
                </a:rPr>
                <a:t>	Equation 3</a:t>
              </a:r>
            </a:p>
            <a:p>
              <a:r>
                <a:rPr lang="en-ZA" sz="1100">
                  <a:solidFill>
                    <a:schemeClr val="dk1"/>
                  </a:solidFill>
                  <a:effectLst/>
                  <a:latin typeface="+mn-lt"/>
                  <a:ea typeface="+mn-ea"/>
                  <a:cs typeface="+mn-cs"/>
                </a:rPr>
                <a:t>Where [C-PC] is the C-PC concentration </a:t>
              </a:r>
            </a:p>
            <a:p>
              <a:endParaRPr lang="en-ZA" sz="1100">
                <a:solidFill>
                  <a:schemeClr val="dk1"/>
                </a:solidFill>
                <a:effectLst/>
                <a:latin typeface="+mn-lt"/>
                <a:ea typeface="+mn-ea"/>
                <a:cs typeface="+mn-cs"/>
              </a:endParaRPr>
            </a:p>
            <a:p>
              <a:r>
                <a:rPr lang="en-ZA" sz="1100" b="1" i="1">
                  <a:solidFill>
                    <a:schemeClr val="dk1"/>
                  </a:solidFill>
                  <a:effectLst/>
                  <a:latin typeface="+mn-lt"/>
                  <a:ea typeface="+mn-ea"/>
                  <a:cs typeface="+mn-cs"/>
                </a:rPr>
                <a:t>C-PC recovery</a:t>
              </a:r>
            </a:p>
            <a:p>
              <a:r>
                <a:rPr lang="en-ZA" sz="11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𝑐𝑃𝐶</m:t>
                  </m:r>
                  <m:r>
                    <a:rPr lang="en-ZA" sz="1100" i="1">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𝑟𝑒𝑐𝑜𝑣𝑒𝑟𝑦</m:t>
                  </m:r>
                  <m:r>
                    <a:rPr lang="en-ZA" sz="1100" i="1">
                      <a:solidFill>
                        <a:schemeClr val="dk1"/>
                      </a:solidFill>
                      <a:effectLst/>
                      <a:latin typeface="Cambria Math" panose="02040503050406030204" pitchFamily="18" charset="0"/>
                      <a:ea typeface="+mn-ea"/>
                      <a:cs typeface="+mn-cs"/>
                    </a:rPr>
                    <m:t> </m:t>
                  </m:r>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𝑓𝑟𝑎𝑐𝑡𝑖𝑜𝑛</m:t>
                      </m:r>
                    </m:e>
                  </m:d>
                  <m:r>
                    <a:rPr lang="en-ZA" sz="1100" i="1">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d>
                            <m:dPr>
                              <m:begChr m:val="["/>
                              <m:endChr m:val="]"/>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C</m:t>
                              </m:r>
                              <m:r>
                                <a:rPr lang="en-ZA" sz="1100" i="1">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PC</m:t>
                              </m:r>
                            </m:e>
                          </m:d>
                        </m:e>
                        <m:sub>
                          <m:r>
                            <a:rPr lang="en-ZA" sz="1100">
                              <a:solidFill>
                                <a:schemeClr val="dk1"/>
                              </a:solidFill>
                              <a:effectLst/>
                              <a:latin typeface="Cambria Math" panose="02040503050406030204" pitchFamily="18" charset="0"/>
                              <a:ea typeface="+mn-ea"/>
                              <a:cs typeface="+mn-cs"/>
                            </a:rPr>
                            <m:t>2</m:t>
                          </m:r>
                        </m:sub>
                      </m:sSub>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a:rPr lang="en-ZA" sz="1100">
                              <a:solidFill>
                                <a:schemeClr val="dk1"/>
                              </a:solidFill>
                              <a:effectLst/>
                              <a:latin typeface="Cambria Math" panose="02040503050406030204" pitchFamily="18" charset="0"/>
                              <a:ea typeface="+mn-ea"/>
                              <a:cs typeface="+mn-cs"/>
                            </a:rPr>
                            <m:t>2</m:t>
                          </m:r>
                        </m:sub>
                      </m:sSub>
                    </m:num>
                    <m:den>
                      <m:sSub>
                        <m:sSubPr>
                          <m:ctrlPr>
                            <a:rPr lang="en-ZA" sz="1100" i="1">
                              <a:solidFill>
                                <a:schemeClr val="dk1"/>
                              </a:solidFill>
                              <a:effectLst/>
                              <a:latin typeface="Cambria Math" panose="02040503050406030204" pitchFamily="18" charset="0"/>
                              <a:ea typeface="+mn-ea"/>
                              <a:cs typeface="+mn-cs"/>
                            </a:rPr>
                          </m:ctrlPr>
                        </m:sSubPr>
                        <m:e>
                          <m:d>
                            <m:dPr>
                              <m:begChr m:val="["/>
                              <m:endChr m:val="]"/>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C</m:t>
                              </m:r>
                              <m:r>
                                <a:rPr lang="en-ZA" sz="1100" i="1">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PC</m:t>
                              </m:r>
                            </m:e>
                          </m:d>
                        </m:e>
                        <m:sub>
                          <m:r>
                            <a:rPr lang="en-ZA" sz="1100">
                              <a:solidFill>
                                <a:schemeClr val="dk1"/>
                              </a:solidFill>
                              <a:effectLst/>
                              <a:latin typeface="Cambria Math" panose="02040503050406030204" pitchFamily="18" charset="0"/>
                              <a:ea typeface="+mn-ea"/>
                              <a:cs typeface="+mn-cs"/>
                            </a:rPr>
                            <m:t>1</m:t>
                          </m:r>
                        </m:sub>
                      </m:sSub>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𝑉</m:t>
                          </m:r>
                        </m:e>
                        <m:sub>
                          <m:r>
                            <a:rPr lang="en-ZA" sz="1100" i="1">
                              <a:solidFill>
                                <a:schemeClr val="dk1"/>
                              </a:solidFill>
                              <a:effectLst/>
                              <a:latin typeface="Cambria Math" panose="02040503050406030204" pitchFamily="18" charset="0"/>
                              <a:ea typeface="+mn-ea"/>
                              <a:cs typeface="+mn-cs"/>
                            </a:rPr>
                            <m:t>1</m:t>
                          </m:r>
                        </m:sub>
                      </m:sSub>
                    </m:den>
                  </m:f>
                </m:oMath>
              </a14:m>
              <a:r>
                <a:rPr lang="en-ZA" sz="1100">
                  <a:solidFill>
                    <a:schemeClr val="dk1"/>
                  </a:solidFill>
                  <a:effectLst/>
                  <a:latin typeface="+mn-lt"/>
                  <a:ea typeface="+mn-ea"/>
                  <a:cs typeface="+mn-cs"/>
                </a:rPr>
                <a:t>		Equation 4</a:t>
              </a:r>
            </a:p>
            <a:p>
              <a:r>
                <a:rPr lang="en-ZA" sz="1100">
                  <a:solidFill>
                    <a:schemeClr val="dk1"/>
                  </a:solidFill>
                  <a:effectLst/>
                  <a:latin typeface="+mn-lt"/>
                  <a:ea typeface="+mn-ea"/>
                  <a:cs typeface="+mn-cs"/>
                </a:rPr>
                <a:t>Where V is the volume, and 1 refers to the previous or first step, and 2 refers to the subsequent step.</a:t>
              </a:r>
            </a:p>
            <a:p>
              <a:endParaRPr lang="en-ZA" sz="1100"/>
            </a:p>
          </xdr:txBody>
        </xdr:sp>
      </mc:Choice>
      <mc:Fallback>
        <xdr:sp macro="" textlink="">
          <xdr:nvSpPr>
            <xdr:cNvPr id="4" name="TextBox 3">
              <a:extLst>
                <a:ext uri="{FF2B5EF4-FFF2-40B4-BE49-F238E27FC236}">
                  <a16:creationId xmlns:a16="http://schemas.microsoft.com/office/drawing/2014/main" id="{E0ACBD04-0528-4CD4-AA64-3037261B3C80}"/>
                </a:ext>
              </a:extLst>
            </xdr:cNvPr>
            <xdr:cNvSpPr txBox="1"/>
          </xdr:nvSpPr>
          <xdr:spPr>
            <a:xfrm>
              <a:off x="637309" y="11665528"/>
              <a:ext cx="5264727" cy="70786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b="1"/>
                <a:t>C-PC descriptors </a:t>
              </a:r>
            </a:p>
            <a:p>
              <a:r>
                <a:rPr lang="en-ZA"/>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a:p>
            <a:p>
              <a:pPr marL="0" marR="0" lvl="0" indent="0" algn="l" defTabSz="914400" eaLnBrk="1" fontAlgn="auto" latinLnBrk="0" hangingPunct="1">
                <a:lnSpc>
                  <a:spcPct val="100000"/>
                </a:lnSpc>
                <a:spcBef>
                  <a:spcPts val="0"/>
                </a:spcBef>
                <a:spcAft>
                  <a:spcPts val="0"/>
                </a:spcAft>
                <a:buClrTx/>
                <a:buSzTx/>
                <a:buFontTx/>
                <a:buNone/>
                <a:tabLst/>
                <a:defRPr/>
              </a:pPr>
              <a:r>
                <a:rPr lang="en-ZA" sz="1100" b="1" i="1">
                  <a:solidFill>
                    <a:schemeClr val="dk1"/>
                  </a:solidFill>
                  <a:effectLst/>
                  <a:latin typeface="+mn-lt"/>
                  <a:ea typeface="+mn-ea"/>
                  <a:cs typeface="+mn-cs"/>
                </a:rPr>
                <a:t>C-PC Purity</a:t>
              </a:r>
              <a:endParaRPr lang="en-ZA" sz="1100">
                <a:solidFill>
                  <a:schemeClr val="dk1"/>
                </a:solidFill>
                <a:effectLst/>
                <a:latin typeface="+mn-lt"/>
                <a:ea typeface="+mn-ea"/>
                <a:cs typeface="+mn-cs"/>
              </a:endParaRPr>
            </a:p>
            <a:p>
              <a:r>
                <a:rPr lang="en-ZA" sz="11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r>
                <a:rPr lang="en-ZA" sz="1100" i="0">
                  <a:solidFill>
                    <a:schemeClr val="dk1"/>
                  </a:solidFill>
                  <a:effectLst/>
                  <a:latin typeface="Cambria Math" panose="02040503050406030204" pitchFamily="18" charset="0"/>
                  <a:ea typeface="+mn-ea"/>
                  <a:cs typeface="+mn-cs"/>
                </a:rPr>
                <a:t>𝑐𝑃𝐶 𝑝𝑢𝑟𝑖𝑡𝑦=( A_620)/A_280   </a:t>
              </a:r>
              <a:r>
                <a:rPr lang="en-ZA" sz="1100">
                  <a:solidFill>
                    <a:schemeClr val="dk1"/>
                  </a:solidFill>
                  <a:effectLst/>
                  <a:latin typeface="+mn-lt"/>
                  <a:ea typeface="+mn-ea"/>
                  <a:cs typeface="+mn-cs"/>
                </a:rPr>
                <a:t>			Equation 2</a:t>
              </a:r>
            </a:p>
            <a:p>
              <a:r>
                <a:rPr lang="en-ZA" sz="1100">
                  <a:solidFill>
                    <a:schemeClr val="dk1"/>
                  </a:solidFill>
                  <a:effectLst/>
                  <a:latin typeface="+mn-lt"/>
                  <a:ea typeface="+mn-ea"/>
                  <a:cs typeface="+mn-cs"/>
                </a:rPr>
                <a:t>Where </a:t>
              </a:r>
              <a:r>
                <a:rPr lang="en-ZA" sz="1100" i="0">
                  <a:solidFill>
                    <a:schemeClr val="dk1"/>
                  </a:solidFill>
                  <a:effectLst/>
                  <a:latin typeface="Cambria Math" panose="02040503050406030204" pitchFamily="18" charset="0"/>
                  <a:ea typeface="+mn-ea"/>
                  <a:cs typeface="+mn-cs"/>
                </a:rPr>
                <a:t>A_λ</a:t>
              </a:r>
              <a:r>
                <a:rPr lang="en-ZA" sz="1100">
                  <a:solidFill>
                    <a:schemeClr val="dk1"/>
                  </a:solidFill>
                  <a:effectLst/>
                  <a:latin typeface="+mn-lt"/>
                  <a:ea typeface="+mn-ea"/>
                  <a:cs typeface="+mn-cs"/>
                </a:rPr>
                <a:t> is the absorbance under a spectrophotometer at λ, the wavelength in nm.</a:t>
              </a:r>
            </a:p>
            <a:p>
              <a:endParaRPr lang="en-ZA" sz="1100" b="1" i="1">
                <a:solidFill>
                  <a:schemeClr val="dk1"/>
                </a:solidFill>
                <a:effectLst/>
                <a:latin typeface="+mn-lt"/>
                <a:ea typeface="+mn-ea"/>
                <a:cs typeface="+mn-cs"/>
              </a:endParaRPr>
            </a:p>
            <a:p>
              <a:r>
                <a:rPr lang="en-ZA" sz="1100" b="1" i="1">
                  <a:solidFill>
                    <a:schemeClr val="dk1"/>
                  </a:solidFill>
                  <a:effectLst/>
                  <a:latin typeface="+mn-lt"/>
                  <a:ea typeface="+mn-ea"/>
                  <a:cs typeface="+mn-cs"/>
                </a:rPr>
                <a:t>C-PC concentration</a:t>
              </a:r>
            </a:p>
            <a:p>
              <a:r>
                <a:rPr lang="en-ZA" sz="11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r>
                <a:rPr lang="en-ZA" sz="1100" i="0">
                  <a:solidFill>
                    <a:schemeClr val="dk1"/>
                  </a:solidFill>
                  <a:effectLst/>
                  <a:latin typeface="Cambria Math" panose="02040503050406030204" pitchFamily="18" charset="0"/>
                  <a:ea typeface="+mn-ea"/>
                  <a:cs typeface="+mn-cs"/>
                </a:rPr>
                <a:t>[𝑐𝑃𝐶]  (𝑚𝑔/𝑚𝐿)= 0.162∗ A_620  – 0.098∗ A_650</a:t>
              </a:r>
              <a:r>
                <a:rPr lang="en-ZA" sz="1100">
                  <a:solidFill>
                    <a:schemeClr val="dk1"/>
                  </a:solidFill>
                  <a:effectLst/>
                  <a:latin typeface="+mn-lt"/>
                  <a:ea typeface="+mn-ea"/>
                  <a:cs typeface="+mn-cs"/>
                </a:rPr>
                <a:t>	Equation 3</a:t>
              </a:r>
            </a:p>
            <a:p>
              <a:r>
                <a:rPr lang="en-ZA" sz="1100">
                  <a:solidFill>
                    <a:schemeClr val="dk1"/>
                  </a:solidFill>
                  <a:effectLst/>
                  <a:latin typeface="+mn-lt"/>
                  <a:ea typeface="+mn-ea"/>
                  <a:cs typeface="+mn-cs"/>
                </a:rPr>
                <a:t>Where [C-PC] is the C-PC concentration </a:t>
              </a:r>
            </a:p>
            <a:p>
              <a:endParaRPr lang="en-ZA" sz="1100">
                <a:solidFill>
                  <a:schemeClr val="dk1"/>
                </a:solidFill>
                <a:effectLst/>
                <a:latin typeface="+mn-lt"/>
                <a:ea typeface="+mn-ea"/>
                <a:cs typeface="+mn-cs"/>
              </a:endParaRPr>
            </a:p>
            <a:p>
              <a:r>
                <a:rPr lang="en-ZA" sz="1100" b="1" i="1">
                  <a:solidFill>
                    <a:schemeClr val="dk1"/>
                  </a:solidFill>
                  <a:effectLst/>
                  <a:latin typeface="+mn-lt"/>
                  <a:ea typeface="+mn-ea"/>
                  <a:cs typeface="+mn-cs"/>
                </a:rPr>
                <a:t>C-PC recovery</a:t>
              </a:r>
            </a:p>
            <a:p>
              <a:r>
                <a:rPr lang="en-ZA" sz="11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r>
                <a:rPr lang="en-ZA" sz="1100" i="0">
                  <a:solidFill>
                    <a:schemeClr val="dk1"/>
                  </a:solidFill>
                  <a:effectLst/>
                  <a:latin typeface="Cambria Math" panose="02040503050406030204" pitchFamily="18" charset="0"/>
                  <a:ea typeface="+mn-ea"/>
                  <a:cs typeface="+mn-cs"/>
                </a:rPr>
                <a:t>𝑐𝑃𝐶 𝑟𝑒𝑐𝑜𝑣𝑒𝑟𝑦 (𝑓𝑟𝑎𝑐𝑡𝑖𝑜𝑛)=([C−PC]_2 V_2)/([C−PC]_1 𝑉_1 )</a:t>
              </a:r>
              <a:r>
                <a:rPr lang="en-ZA" sz="1100">
                  <a:solidFill>
                    <a:schemeClr val="dk1"/>
                  </a:solidFill>
                  <a:effectLst/>
                  <a:latin typeface="+mn-lt"/>
                  <a:ea typeface="+mn-ea"/>
                  <a:cs typeface="+mn-cs"/>
                </a:rPr>
                <a:t>		Equation 4</a:t>
              </a:r>
            </a:p>
            <a:p>
              <a:r>
                <a:rPr lang="en-ZA" sz="1100">
                  <a:solidFill>
                    <a:schemeClr val="dk1"/>
                  </a:solidFill>
                  <a:effectLst/>
                  <a:latin typeface="+mn-lt"/>
                  <a:ea typeface="+mn-ea"/>
                  <a:cs typeface="+mn-cs"/>
                </a:rPr>
                <a:t>Where V is the volume, and 1 refers to the previous or first step, and 2 refers to the subsequent step.</a:t>
              </a:r>
            </a:p>
            <a:p>
              <a:endParaRPr lang="en-ZA" sz="1100"/>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ctcloud-my.sharepoint.com/personal/hckjam001_myuct_ac_za/Documents/cPC%20data%20spreadsheet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summary"/>
      <sheetName val="Absorbances"/>
      <sheetName val="cPC assays"/>
      <sheetName val="stepwise results"/>
      <sheetName val="cell disruption"/>
      <sheetName val="leaching period"/>
      <sheetName val="ATPS"/>
      <sheetName val="1st precipitation"/>
      <sheetName val="2nd precipitation"/>
      <sheetName val="3rd precipitation"/>
      <sheetName val="Final product"/>
      <sheetName val="Contamination"/>
      <sheetName val="Checking purity number"/>
    </sheetNames>
    <sheetDataSet>
      <sheetData sheetId="0"/>
      <sheetData sheetId="1"/>
      <sheetData sheetId="2"/>
      <sheetData sheetId="3"/>
      <sheetData sheetId="4">
        <row r="20">
          <cell r="M20"/>
        </row>
      </sheetData>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6BDC3-B91A-45B8-827F-97CE3F95CB31}">
  <dimension ref="A1:I65"/>
  <sheetViews>
    <sheetView zoomScale="55" zoomScaleNormal="55" workbookViewId="0">
      <selection activeCell="O30" sqref="O30"/>
    </sheetView>
  </sheetViews>
  <sheetFormatPr defaultRowHeight="14.4" x14ac:dyDescent="0.3"/>
  <cols>
    <col min="2" max="2" width="25.88671875" customWidth="1"/>
    <col min="3" max="3" width="21.6640625" bestFit="1" customWidth="1"/>
    <col min="4" max="4" width="16.6640625" bestFit="1" customWidth="1"/>
    <col min="5" max="5" width="18.33203125" bestFit="1" customWidth="1"/>
    <col min="6" max="6" width="11.88671875" bestFit="1" customWidth="1"/>
    <col min="7" max="7" width="13.33203125" bestFit="1" customWidth="1"/>
    <col min="8" max="8" width="12.109375" bestFit="1" customWidth="1"/>
  </cols>
  <sheetData>
    <row r="1" spans="1:9" ht="15" thickBot="1" x14ac:dyDescent="0.35">
      <c r="A1" s="62"/>
      <c r="B1" s="63"/>
      <c r="C1" s="63"/>
      <c r="D1" s="63"/>
      <c r="E1" s="63"/>
      <c r="F1" s="63"/>
      <c r="G1" s="63"/>
      <c r="H1" s="63"/>
      <c r="I1" s="64"/>
    </row>
    <row r="2" spans="1:9" x14ac:dyDescent="0.3">
      <c r="A2" s="65"/>
      <c r="B2" s="92" t="s">
        <v>47</v>
      </c>
      <c r="C2" s="87" t="s">
        <v>32</v>
      </c>
      <c r="D2" s="87"/>
      <c r="E2" s="87" t="s">
        <v>13</v>
      </c>
      <c r="F2" s="87"/>
      <c r="G2" s="87" t="s">
        <v>31</v>
      </c>
      <c r="H2" s="91"/>
      <c r="I2" s="66"/>
    </row>
    <row r="3" spans="1:9" x14ac:dyDescent="0.3">
      <c r="A3" s="65"/>
      <c r="B3" s="93"/>
      <c r="C3" s="17" t="s">
        <v>23</v>
      </c>
      <c r="D3" s="17" t="s">
        <v>33</v>
      </c>
      <c r="E3" s="17" t="s">
        <v>23</v>
      </c>
      <c r="F3" s="17" t="s">
        <v>33</v>
      </c>
      <c r="G3" s="17" t="s">
        <v>23</v>
      </c>
      <c r="H3" s="18" t="s">
        <v>33</v>
      </c>
      <c r="I3" s="66"/>
    </row>
    <row r="4" spans="1:9" x14ac:dyDescent="0.3">
      <c r="A4" s="65"/>
      <c r="B4" s="6" t="s">
        <v>0</v>
      </c>
      <c r="C4" s="50">
        <f>'Data (PEG10000 30%-7%-)'!E7</f>
        <v>5.170755555555556</v>
      </c>
      <c r="D4" s="50">
        <f>'Data (PEG10000 30%-7%-)'!F7</f>
        <v>0.14352939466644007</v>
      </c>
      <c r="E4" s="50" t="s">
        <v>82</v>
      </c>
      <c r="F4" s="50" t="s">
        <v>82</v>
      </c>
      <c r="G4" s="50">
        <f>'Data (PEG10000 30%-7%-)'!J7</f>
        <v>0.5854013565163726</v>
      </c>
      <c r="H4" s="51">
        <f>'Data (PEG10000 30%-7%-)'!K7</f>
        <v>3.7372573899184264E-3</v>
      </c>
      <c r="I4" s="66"/>
    </row>
    <row r="5" spans="1:9" x14ac:dyDescent="0.3">
      <c r="A5" s="65"/>
      <c r="B5" s="6" t="s">
        <v>26</v>
      </c>
      <c r="C5" s="50">
        <f>'Data (PEG10000 30%-7%-)'!M7</f>
        <v>5.7543494030197451</v>
      </c>
      <c r="D5" s="50">
        <f>'Data (PEG10000 30%-7%-)'!N7</f>
        <v>0.22075110274720786</v>
      </c>
      <c r="E5" s="50">
        <f>'Data (PEG10000 30%-7%-)'!P7</f>
        <v>0.67262455303759738</v>
      </c>
      <c r="F5" s="50">
        <f>'Data (PEG10000 30%-7%-)'!Q7</f>
        <v>4.4971260570446515E-2</v>
      </c>
      <c r="G5" s="50">
        <f>'Data (PEG10000 30%-7%-)'!R7</f>
        <v>0.5919415790734428</v>
      </c>
      <c r="H5" s="51">
        <f>'Data (PEG10000 30%-7%-)'!S7</f>
        <v>3.9172431033954831E-3</v>
      </c>
      <c r="I5" s="66"/>
    </row>
    <row r="6" spans="1:9" x14ac:dyDescent="0.3">
      <c r="A6" s="65"/>
      <c r="B6" s="6" t="s">
        <v>20</v>
      </c>
      <c r="C6" s="50">
        <f>'Data (PEG10000 30%-7%-)'!U7</f>
        <v>5.1529555555555548</v>
      </c>
      <c r="D6" s="50">
        <f>'Data (PEG10000 30%-7%-)'!V7</f>
        <v>0.63815464442228842</v>
      </c>
      <c r="E6" s="50">
        <f>'Data (PEG10000 30%-7%-)'!X7</f>
        <v>1.0925287094163618</v>
      </c>
      <c r="F6" s="50">
        <f>'Data (PEG10000 30%-7%-)'!Y7</f>
        <v>0.14361078950329087</v>
      </c>
      <c r="G6" s="50">
        <f>'Data (PEG10000 30%-7%-)'!Z7</f>
        <v>0.63388771659250376</v>
      </c>
      <c r="H6" s="51">
        <f>'Data (PEG10000 30%-7%-)'!AA7</f>
        <v>3.263313535761686E-2</v>
      </c>
      <c r="I6" s="66"/>
    </row>
    <row r="7" spans="1:9" x14ac:dyDescent="0.3">
      <c r="A7" s="65"/>
      <c r="B7" s="6" t="s">
        <v>19</v>
      </c>
      <c r="C7" s="50">
        <f>'Data (PEG10000 30%-7%-)'!AC7</f>
        <v>7.2094444444444447E-2</v>
      </c>
      <c r="D7" s="50">
        <f>'Data (PEG10000 30%-7%-)'!AD7</f>
        <v>1.5939960110275968E-2</v>
      </c>
      <c r="E7" s="50">
        <f>'Data (PEG10000 30%-7%-)'!AF7</f>
        <v>2.1015120827420426E-3</v>
      </c>
      <c r="F7" s="50">
        <f>'Data (PEG10000 30%-7%-)'!AG7</f>
        <v>4.3441805640653678E-4</v>
      </c>
      <c r="G7" s="50">
        <f>'Data (PEG10000 30%-7%-)'!AH7</f>
        <v>3.1130798654223468E-2</v>
      </c>
      <c r="H7" s="51">
        <f>'Data (PEG10000 30%-7%-)'!AI7</f>
        <v>1.069415559857542E-2</v>
      </c>
      <c r="I7" s="66"/>
    </row>
    <row r="8" spans="1:9" x14ac:dyDescent="0.3">
      <c r="A8" s="65"/>
      <c r="B8" s="6" t="s">
        <v>3</v>
      </c>
      <c r="C8" s="50">
        <f>'Data (PEG10000 30%-7%-)'!AK7</f>
        <v>3.2638222222222222</v>
      </c>
      <c r="D8" s="50">
        <f>'Data (PEG10000 30%-7%-)'!AL7</f>
        <v>0.22018122605655618</v>
      </c>
      <c r="E8" s="50">
        <f>'Data (PEG10000 30%-7%-)'!AN7</f>
        <v>0.62973194090516615</v>
      </c>
      <c r="F8" s="50">
        <f>'Data (PEG10000 30%-7%-)'!AO7</f>
        <v>9.1483116281754207E-2</v>
      </c>
      <c r="G8" s="50">
        <f>'Data (PEG10000 30%-7%-)'!AP7</f>
        <v>0.48417952371659662</v>
      </c>
      <c r="H8" s="51">
        <f>'Data (PEG10000 30%-7%-)'!AQ7</f>
        <v>6.8982988806111636E-3</v>
      </c>
      <c r="I8" s="66"/>
    </row>
    <row r="9" spans="1:9" ht="15" thickBot="1" x14ac:dyDescent="0.35">
      <c r="A9" s="65"/>
      <c r="B9" s="3"/>
      <c r="C9" s="3"/>
      <c r="D9" s="3"/>
      <c r="E9" s="3"/>
      <c r="F9" s="3"/>
      <c r="G9" s="3"/>
      <c r="H9" s="3"/>
      <c r="I9" s="66"/>
    </row>
    <row r="10" spans="1:9" ht="15" thickBot="1" x14ac:dyDescent="0.35">
      <c r="A10" s="65"/>
      <c r="B10" s="5" t="s">
        <v>47</v>
      </c>
      <c r="C10" s="5" t="s">
        <v>34</v>
      </c>
      <c r="D10" s="5" t="s">
        <v>35</v>
      </c>
      <c r="E10" s="5" t="s">
        <v>36</v>
      </c>
      <c r="F10" s="5" t="s">
        <v>38</v>
      </c>
      <c r="G10" s="5" t="s">
        <v>37</v>
      </c>
      <c r="H10" s="3"/>
      <c r="I10" s="66"/>
    </row>
    <row r="11" spans="1:9" ht="15" thickBot="1" x14ac:dyDescent="0.35">
      <c r="A11" s="65"/>
      <c r="B11" s="5" t="s">
        <v>23</v>
      </c>
      <c r="C11" s="52">
        <f>'Data (PEG10000 30%-7%-)'!AB7/'Data (PEG10000 30%-7%-)'!T7</f>
        <v>0.14883720930232561</v>
      </c>
      <c r="D11" s="52">
        <f>G6/G5</f>
        <v>1.070861954966432</v>
      </c>
      <c r="E11" s="52">
        <f>C7/C6</f>
        <v>1.3990891958444563E-2</v>
      </c>
      <c r="F11" s="53">
        <f>1/E11</f>
        <v>71.475071279956836</v>
      </c>
      <c r="G11" s="54">
        <f>AVERAGE('Data (PEG10000 30%-7%-)'!E25:E27,'Data (PEG10000 30%-7%-)'!K25:K27,'Data (PEG10000 30%-7%-)'!Q25:Q27)/AVERAGE('Data (PEG10000 30%-7%-)'!D25:D27,'Data (PEG10000 30%-7%-)'!J25:J27,'Data (PEG10000 30%-7%-)'!P25:P27)</f>
        <v>0.31061192873741283</v>
      </c>
      <c r="H11" s="3"/>
      <c r="I11" s="66"/>
    </row>
    <row r="12" spans="1:9" ht="15" thickBot="1" x14ac:dyDescent="0.35">
      <c r="A12" s="65"/>
      <c r="B12" s="5" t="s">
        <v>41</v>
      </c>
      <c r="C12" s="55">
        <f>C11*SQRT(('Data (PEG10000 30%-7%-)'!T8/'Data (PEG10000 30%-7%-)'!T7)^2+('Data (PEG10000 30%-7%-)'!AB8/'Data (PEG10000 30%-7%-)'!AB7)^2)</f>
        <v>1.7191341108130951E-2</v>
      </c>
      <c r="D12" s="55">
        <f>D11*SQRT((H5/G5)^2+(H6/G6)^2)</f>
        <v>5.5582584297294957E-2</v>
      </c>
      <c r="E12" s="55">
        <f>E11*SQRT((D6/C6)^2+(D7/C7)^2)</f>
        <v>3.5455641280770097E-3</v>
      </c>
      <c r="F12" s="55">
        <f>F11*SQRT((D6/C6)^2+(D7/C7)^2)</f>
        <v>18.113173165418125</v>
      </c>
      <c r="G12" s="56">
        <f>G11*SQRT((('Data (PEG10000 30%-7%-)'!U26)/('Data (PEG10000 30%-7%-)'!U25))^2+(('Data (PEG10000 30%-7%-)'!V26)/('Data (PEG10000 30%-7%-)'!V25))^2)</f>
        <v>6.1614155421989274E-2</v>
      </c>
      <c r="H12" s="3"/>
      <c r="I12" s="66"/>
    </row>
    <row r="13" spans="1:9" ht="15" thickBot="1" x14ac:dyDescent="0.35">
      <c r="A13" s="67"/>
      <c r="B13" s="68"/>
      <c r="C13" s="68"/>
      <c r="D13" s="68"/>
      <c r="E13" s="68"/>
      <c r="F13" s="68"/>
      <c r="G13" s="68"/>
      <c r="H13" s="68"/>
      <c r="I13" s="69"/>
    </row>
    <row r="14" spans="1:9" ht="15" thickBot="1" x14ac:dyDescent="0.35">
      <c r="A14" s="62"/>
      <c r="B14" s="63"/>
      <c r="C14" s="63"/>
      <c r="D14" s="63"/>
      <c r="E14" s="63"/>
      <c r="F14" s="63"/>
      <c r="G14" s="63"/>
      <c r="H14" s="63"/>
      <c r="I14" s="64"/>
    </row>
    <row r="15" spans="1:9" x14ac:dyDescent="0.3">
      <c r="A15" s="65"/>
      <c r="B15" s="97" t="s">
        <v>56</v>
      </c>
      <c r="C15" s="87" t="s">
        <v>32</v>
      </c>
      <c r="D15" s="87"/>
      <c r="E15" s="87" t="s">
        <v>13</v>
      </c>
      <c r="F15" s="87"/>
      <c r="G15" s="87" t="s">
        <v>31</v>
      </c>
      <c r="H15" s="91"/>
      <c r="I15" s="66"/>
    </row>
    <row r="16" spans="1:9" x14ac:dyDescent="0.3">
      <c r="A16" s="65"/>
      <c r="B16" s="96"/>
      <c r="C16" s="6" t="s">
        <v>23</v>
      </c>
      <c r="D16" s="6" t="s">
        <v>33</v>
      </c>
      <c r="E16" s="6" t="s">
        <v>23</v>
      </c>
      <c r="F16" s="6" t="s">
        <v>33</v>
      </c>
      <c r="G16" s="6" t="s">
        <v>23</v>
      </c>
      <c r="H16" s="6" t="s">
        <v>33</v>
      </c>
      <c r="I16" s="66"/>
    </row>
    <row r="17" spans="1:9" x14ac:dyDescent="0.3">
      <c r="A17" s="65"/>
      <c r="B17" s="6" t="s">
        <v>0</v>
      </c>
      <c r="C17" s="50">
        <f>'Data (PEG10000 25%-9%-)'!E6</f>
        <v>4.8180100220213156</v>
      </c>
      <c r="D17" s="50">
        <f>'Data (PEG10000 25%-9%-)'!F6</f>
        <v>0.10999968122728662</v>
      </c>
      <c r="E17" s="50" t="s">
        <v>82</v>
      </c>
      <c r="F17" s="50" t="s">
        <v>82</v>
      </c>
      <c r="G17" s="50">
        <f>'Data (PEG10000 25%-9%-)'!J6</f>
        <v>0.56460334712347993</v>
      </c>
      <c r="H17" s="51">
        <f>'Data (PEG10000 25%-9%-)'!K6</f>
        <v>3.5078753741106645E-3</v>
      </c>
      <c r="I17" s="66"/>
    </row>
    <row r="18" spans="1:9" x14ac:dyDescent="0.3">
      <c r="A18" s="65"/>
      <c r="B18" s="6" t="s">
        <v>26</v>
      </c>
      <c r="C18" s="50">
        <f>'Data (PEG10000 25%-9%-)'!M6</f>
        <v>5.1749999999999998</v>
      </c>
      <c r="D18" s="50">
        <f>'Data (PEG10000 25%-9%-)'!N6</f>
        <v>0.11908925279982313</v>
      </c>
      <c r="E18" s="50">
        <f>'Data (PEG10000 25%-9%-)'!P6</f>
        <v>0.65241185064120666</v>
      </c>
      <c r="F18" s="50">
        <f>'Data (PEG10000 25%-9%-)'!Q6</f>
        <v>1.910487195743557E-4</v>
      </c>
      <c r="G18" s="50">
        <f>'Data (PEG10000 25%-9%-)'!R6</f>
        <v>0.5645089019258458</v>
      </c>
      <c r="H18" s="51">
        <f>'Data (PEG10000 25%-9%-)'!S6</f>
        <v>3.4530006582649919E-3</v>
      </c>
      <c r="I18" s="66"/>
    </row>
    <row r="19" spans="1:9" x14ac:dyDescent="0.3">
      <c r="A19" s="65"/>
      <c r="B19" s="6" t="s">
        <v>20</v>
      </c>
      <c r="C19" s="50">
        <f>'Data (PEG10000 25%-9%-)'!U6</f>
        <v>8.3847999999999985</v>
      </c>
      <c r="D19" s="50">
        <f>'Data (PEG10000 25%-9%-)'!V6</f>
        <v>0.46448015306529478</v>
      </c>
      <c r="E19" s="50">
        <f>'Data (PEG10000 25%-9%-)'!X6</f>
        <v>1.2379150231852145</v>
      </c>
      <c r="F19" s="50">
        <f>'Data (PEG10000 25%-9%-)'!Y6</f>
        <v>8.8527084072981904E-2</v>
      </c>
      <c r="G19" s="50">
        <f>'Data (PEG10000 25%-9%-)'!Z6</f>
        <v>0.75358502447484144</v>
      </c>
      <c r="H19" s="51">
        <f>'Data (PEG10000 25%-9%-)'!AA6</f>
        <v>3.226570168731944E-3</v>
      </c>
      <c r="I19" s="66"/>
    </row>
    <row r="20" spans="1:9" x14ac:dyDescent="0.3">
      <c r="A20" s="65"/>
      <c r="B20" s="6" t="s">
        <v>19</v>
      </c>
      <c r="C20" s="50">
        <f>'Data (PEG10000 25%-9%-)'!AC6</f>
        <v>6.8646000090000006E-2</v>
      </c>
      <c r="D20" s="50">
        <f>'Data (PEG10000 25%-9%-)'!AD6</f>
        <v>1.7455400450132375E-2</v>
      </c>
      <c r="E20" s="50">
        <f>'Data (PEG10000 25%-9%-)'!AF6</f>
        <v>7.831253114323691E-3</v>
      </c>
      <c r="F20" s="50">
        <f>'Data (PEG10000 25%-9%-)'!AG6</f>
        <v>2.0591954965854991E-3</v>
      </c>
      <c r="G20" s="50">
        <f>'Data (PEG10000 25%-9%-)'!AH6</f>
        <v>1.9622105789587261E-2</v>
      </c>
      <c r="H20" s="51">
        <f>'Data (PEG10000 25%-9%-)'!AI6</f>
        <v>2.2971512734606188E-2</v>
      </c>
      <c r="I20" s="66"/>
    </row>
    <row r="21" spans="1:9" x14ac:dyDescent="0.3">
      <c r="A21" s="65"/>
      <c r="B21" s="6" t="s">
        <v>3</v>
      </c>
      <c r="C21" s="50">
        <f>'Data (PEG10000 25%-9%-)'!AK6</f>
        <v>5.9127666666666663</v>
      </c>
      <c r="D21" s="50">
        <f>'Data (PEG10000 25%-9%-)'!AL6</f>
        <v>0.43665686009225302</v>
      </c>
      <c r="E21" s="50">
        <f>'Data (PEG10000 25%-9%-)'!AN6</f>
        <v>0.66595622251242603</v>
      </c>
      <c r="F21" s="50">
        <f>'Data (PEG10000 25%-9%-)'!AO6</f>
        <v>5.6706322330552963E-2</v>
      </c>
      <c r="G21" s="50">
        <f>'Data (PEG10000 25%-9%-)'!AP6</f>
        <v>0.679852480404044</v>
      </c>
      <c r="H21" s="51">
        <f>'Data (PEG10000 25%-9%-)'!AQ6</f>
        <v>7.5396451929386522E-3</v>
      </c>
      <c r="I21" s="66"/>
    </row>
    <row r="22" spans="1:9" ht="15" thickBot="1" x14ac:dyDescent="0.35">
      <c r="A22" s="65"/>
      <c r="B22" s="3"/>
      <c r="C22" s="3"/>
      <c r="D22" s="3"/>
      <c r="E22" s="3"/>
      <c r="F22" s="3"/>
      <c r="G22" s="3"/>
      <c r="H22" s="3"/>
      <c r="I22" s="66"/>
    </row>
    <row r="23" spans="1:9" ht="15" thickBot="1" x14ac:dyDescent="0.35">
      <c r="A23" s="65"/>
      <c r="B23" s="5" t="s">
        <v>56</v>
      </c>
      <c r="C23" s="5" t="s">
        <v>34</v>
      </c>
      <c r="D23" s="5" t="s">
        <v>35</v>
      </c>
      <c r="E23" s="5" t="s">
        <v>36</v>
      </c>
      <c r="F23" s="5" t="s">
        <v>38</v>
      </c>
      <c r="G23" s="5" t="s">
        <v>37</v>
      </c>
      <c r="H23" s="3"/>
      <c r="I23" s="66"/>
    </row>
    <row r="24" spans="1:9" ht="15" thickBot="1" x14ac:dyDescent="0.35">
      <c r="A24" s="65"/>
      <c r="B24" s="5" t="s">
        <v>23</v>
      </c>
      <c r="C24" s="57">
        <f>'Data (PEG10000 25%-9%-)'!AB6/'Data (PEG10000 25%-9%-)'!T6</f>
        <v>0.78021978021978022</v>
      </c>
      <c r="D24" s="57">
        <f>G19/G18</f>
        <v>1.3349391336504253</v>
      </c>
      <c r="E24" s="57">
        <f>C20/C19</f>
        <v>8.1869573621314775E-3</v>
      </c>
      <c r="F24" s="58">
        <f>1/E24</f>
        <v>122.14549994183061</v>
      </c>
      <c r="G24" s="59">
        <f>AVERAGE('Data (PEG10000 25%-9%-)'!F21:F23)/AVERAGE('Data (PEG10000 25%-9%-)'!E21:E23)</f>
        <v>0.24828711256117453</v>
      </c>
      <c r="H24" s="3"/>
      <c r="I24" s="66"/>
    </row>
    <row r="25" spans="1:9" ht="15" thickBot="1" x14ac:dyDescent="0.35">
      <c r="A25" s="65"/>
      <c r="B25" s="5" t="s">
        <v>41</v>
      </c>
      <c r="C25" s="55">
        <f>C24*SQRT(('Data (PEG10000 25%-9%-)'!T7/'Data (PEG10000 25%-9%-)'!T6)^2+('Data (PEG10000 25%-9%-)'!AB7/'Data (PEG10000 25%-9%-)'!AB6)^2)</f>
        <v>0.13396517141252101</v>
      </c>
      <c r="D25" s="55">
        <f>D24*SQRT((H18/G18)^2+(H19/G19)^2)</f>
        <v>9.9672537620321012E-3</v>
      </c>
      <c r="E25" s="55">
        <f>E24*SQRT((D19/C19)^2+(D20/C20)^2)</f>
        <v>2.1306182921981965E-3</v>
      </c>
      <c r="F25" s="55">
        <f>F24*SQRT((D19/C19)^2+(D20/C20)^2)</f>
        <v>31.787808947132842</v>
      </c>
      <c r="G25" s="56">
        <f>G24*SQRT((_xlfn.STDEV.S('Data (PEG10000 25%-9%-)'!E21:E23)/AVERAGE('Data (PEG10000 25%-9%-)'!E21:E23))^2+(_xlfn.STDEV.S('Data (PEG10000 25%-9%-)'!D21:D23)/AVERAGE('Data (PEG10000 25%-9%-)'!D21:D23))^2)</f>
        <v>2.0203926294940194E-2</v>
      </c>
      <c r="H25" s="3"/>
      <c r="I25" s="66"/>
    </row>
    <row r="26" spans="1:9" ht="15" thickBot="1" x14ac:dyDescent="0.35">
      <c r="A26" s="67"/>
      <c r="B26" s="68"/>
      <c r="C26" s="68"/>
      <c r="D26" s="68"/>
      <c r="E26" s="68"/>
      <c r="F26" s="68"/>
      <c r="G26" s="68"/>
      <c r="H26" s="68"/>
      <c r="I26" s="69"/>
    </row>
    <row r="27" spans="1:9" ht="15" thickBot="1" x14ac:dyDescent="0.35">
      <c r="A27" s="62"/>
      <c r="B27" s="63"/>
      <c r="C27" s="63"/>
      <c r="D27" s="63"/>
      <c r="E27" s="63"/>
      <c r="F27" s="63"/>
      <c r="G27" s="63"/>
      <c r="H27" s="63"/>
      <c r="I27" s="64"/>
    </row>
    <row r="28" spans="1:9" x14ac:dyDescent="0.3">
      <c r="A28" s="65"/>
      <c r="B28" s="97" t="s">
        <v>54</v>
      </c>
      <c r="C28" s="87" t="s">
        <v>32</v>
      </c>
      <c r="D28" s="87"/>
      <c r="E28" s="87" t="s">
        <v>13</v>
      </c>
      <c r="F28" s="87"/>
      <c r="G28" s="87" t="s">
        <v>31</v>
      </c>
      <c r="H28" s="91"/>
      <c r="I28" s="66"/>
    </row>
    <row r="29" spans="1:9" x14ac:dyDescent="0.3">
      <c r="A29" s="65"/>
      <c r="B29" s="96"/>
      <c r="C29" s="6" t="s">
        <v>23</v>
      </c>
      <c r="D29" s="6" t="s">
        <v>33</v>
      </c>
      <c r="E29" s="6" t="s">
        <v>23</v>
      </c>
      <c r="F29" s="6" t="s">
        <v>33</v>
      </c>
      <c r="G29" s="6" t="s">
        <v>23</v>
      </c>
      <c r="H29" s="6" t="s">
        <v>33</v>
      </c>
      <c r="I29" s="66"/>
    </row>
    <row r="30" spans="1:9" x14ac:dyDescent="0.3">
      <c r="A30" s="65"/>
      <c r="B30" s="6" t="s">
        <v>0</v>
      </c>
      <c r="C30" s="50">
        <f>'Data (PEG10000 30%-9%-)'!E6</f>
        <v>5.3037000000000001</v>
      </c>
      <c r="D30" s="50">
        <f>'Data (PEG10000 30%-9%-)'!F6</f>
        <v>0.29874302623044041</v>
      </c>
      <c r="E30" s="50" t="s">
        <v>82</v>
      </c>
      <c r="F30" s="50" t="s">
        <v>82</v>
      </c>
      <c r="G30" s="50">
        <f>'Data (PEG10000 30%-9%-)'!J6</f>
        <v>0.60591612577581322</v>
      </c>
      <c r="H30" s="51">
        <f>'Data (PEG10000 30%-9%-)'!K6</f>
        <v>5.3456691006406832E-3</v>
      </c>
      <c r="I30" s="66"/>
    </row>
    <row r="31" spans="1:9" x14ac:dyDescent="0.3">
      <c r="A31" s="65"/>
      <c r="B31" s="6" t="s">
        <v>26</v>
      </c>
      <c r="C31" s="50">
        <f>'Data (PEG10000 30%-9%-)'!M6</f>
        <v>5.5785961418949501</v>
      </c>
      <c r="D31" s="50">
        <f>'Data (PEG10000 30%-9%-)'!N6</f>
        <v>0.35333023230163157</v>
      </c>
      <c r="E31" s="50">
        <f>'Data (PEG10000 30%-9%-)'!P6</f>
        <v>0.63273152987291459</v>
      </c>
      <c r="F31" s="50">
        <f>'Data (PEG10000 30%-9%-)'!Q6</f>
        <v>5.6611537145430199E-2</v>
      </c>
      <c r="G31" s="50">
        <f>'Data (PEG10000 30%-9%-)'!R6</f>
        <v>0.60421204557163577</v>
      </c>
      <c r="H31" s="51">
        <f>'Data (PEG10000 30%-9%-)'!S6</f>
        <v>4.081606341557702E-3</v>
      </c>
      <c r="I31" s="66"/>
    </row>
    <row r="32" spans="1:9" x14ac:dyDescent="0.3">
      <c r="A32" s="65"/>
      <c r="B32" s="6" t="s">
        <v>20</v>
      </c>
      <c r="C32" s="50">
        <f>'Data (PEG10000 30%-9%-)'!U6</f>
        <v>4.8410666666666673</v>
      </c>
      <c r="D32" s="50">
        <f>'Data (PEG10000 30%-9%-)'!V6</f>
        <v>0.5428150101063326</v>
      </c>
      <c r="E32" s="50">
        <f>'Data (PEG10000 30%-9%-)'!X6</f>
        <v>0.97547976145931559</v>
      </c>
      <c r="F32" s="50">
        <f>'Data (PEG10000 30%-9%-)'!Y6</f>
        <v>0.15834846426724067</v>
      </c>
      <c r="G32" s="50">
        <f>'Data (PEG10000 30%-9%-)'!Z6</f>
        <v>0.58147755102522269</v>
      </c>
      <c r="H32" s="51">
        <f>'Data (PEG10000 30%-9%-)'!AA6</f>
        <v>7.5743308950349461E-3</v>
      </c>
      <c r="I32" s="66"/>
    </row>
    <row r="33" spans="1:9" x14ac:dyDescent="0.3">
      <c r="A33" s="65"/>
      <c r="B33" s="6" t="s">
        <v>19</v>
      </c>
      <c r="C33" s="50">
        <f>'Data (PEG10000 30%-9%-)'!AC6</f>
        <v>4.8717111056666665E-2</v>
      </c>
      <c r="D33" s="50">
        <f>'Data (PEG10000 30%-9%-)'!AD6</f>
        <v>1.9492722505593196E-2</v>
      </c>
      <c r="E33" s="50">
        <f>'Data (PEG10000 30%-9%-)'!AF6</f>
        <v>1.4809220898847773E-3</v>
      </c>
      <c r="F33" s="50">
        <f>'Data (PEG10000 30%-9%-)'!AG6</f>
        <v>6.0181189631722774E-4</v>
      </c>
      <c r="G33" s="50">
        <f>'Data (PEG10000 30%-9%-)'!AH6</f>
        <v>2.8072602210629197E-2</v>
      </c>
      <c r="H33" s="51">
        <f>'Data (PEG10000 30%-9%-)'!AI6</f>
        <v>1.4110834347678767E-2</v>
      </c>
      <c r="I33" s="66"/>
    </row>
    <row r="34" spans="1:9" x14ac:dyDescent="0.3">
      <c r="A34" s="65"/>
      <c r="B34" s="6" t="s">
        <v>3</v>
      </c>
      <c r="C34" s="50">
        <f>'Data (PEG10000 30%-9%-)'!AK6</f>
        <v>3.2680100000000003</v>
      </c>
      <c r="D34" s="50">
        <f>'Data (PEG10000 30%-9%-)'!AL6</f>
        <v>0.34478649718221399</v>
      </c>
      <c r="E34" s="50">
        <f>'Data (PEG10000 30%-9%-)'!AN6</f>
        <v>0.761867508979158</v>
      </c>
      <c r="F34" s="50">
        <f>'Data (PEG10000 30%-9%-)'!AO6</f>
        <v>0.11098647214883589</v>
      </c>
      <c r="G34" s="50">
        <f>'Data (PEG10000 30%-9%-)'!AP6</f>
        <v>0.49540799955243747</v>
      </c>
      <c r="H34" s="51">
        <f>'Data (PEG10000 30%-9%-)'!AQ6</f>
        <v>1.72804450655385E-2</v>
      </c>
      <c r="I34" s="66"/>
    </row>
    <row r="35" spans="1:9" ht="15" thickBot="1" x14ac:dyDescent="0.35">
      <c r="A35" s="65"/>
      <c r="B35" s="3"/>
      <c r="C35" s="3"/>
      <c r="D35" s="3"/>
      <c r="E35" s="3"/>
      <c r="F35" s="3"/>
      <c r="G35" s="3"/>
      <c r="H35" s="3"/>
      <c r="I35" s="66"/>
    </row>
    <row r="36" spans="1:9" ht="15" thickBot="1" x14ac:dyDescent="0.35">
      <c r="A36" s="65"/>
      <c r="B36" s="5" t="s">
        <v>54</v>
      </c>
      <c r="C36" s="5" t="s">
        <v>34</v>
      </c>
      <c r="D36" s="5" t="s">
        <v>35</v>
      </c>
      <c r="E36" s="5" t="s">
        <v>36</v>
      </c>
      <c r="F36" s="5" t="s">
        <v>38</v>
      </c>
      <c r="G36" s="5" t="s">
        <v>37</v>
      </c>
      <c r="H36" s="3"/>
      <c r="I36" s="66"/>
    </row>
    <row r="37" spans="1:9" ht="15" thickBot="1" x14ac:dyDescent="0.35">
      <c r="A37" s="65"/>
      <c r="B37" s="5" t="s">
        <v>23</v>
      </c>
      <c r="C37" s="57">
        <f>'Data (PEG10000 30%-9%-)'!AB6/'Data (PEG10000 30%-9%-)'!T6</f>
        <v>0.14285714285714285</v>
      </c>
      <c r="D37" s="57">
        <f>G32/G31</f>
        <v>0.96237331792201475</v>
      </c>
      <c r="E37" s="57">
        <f>C33/C32</f>
        <v>1.0063301005976643E-2</v>
      </c>
      <c r="F37" s="58">
        <f>1/E37</f>
        <v>99.370971752320159</v>
      </c>
      <c r="G37" s="59">
        <f>AVERAGE('Data (PEG10000 30%-9%-)'!F21:F23)/AVERAGE('Data (PEG10000 30%-9%-)'!E21:E23)</f>
        <v>0.26955744300402323</v>
      </c>
      <c r="H37" s="3"/>
      <c r="I37" s="66"/>
    </row>
    <row r="38" spans="1:9" ht="15" thickBot="1" x14ac:dyDescent="0.35">
      <c r="A38" s="65"/>
      <c r="B38" s="5" t="s">
        <v>41</v>
      </c>
      <c r="C38" s="55">
        <f>C37*SQRT(('Data (PEG10000 30%-9%-)'!T7/'Data (PEG10000 30%-9%-)'!T6)^2+('Data (PEG10000 30%-9%-)'!AB7/'Data (PEG10000 30%-9%-)'!AB6)^2)</f>
        <v>0</v>
      </c>
      <c r="D38" s="55">
        <f>D37*SQRT((H31/G31)^2+(H32/G32)^2)</f>
        <v>1.4121343396253219E-2</v>
      </c>
      <c r="E38" s="55">
        <f>E37*SQRT((D32/C32)^2+(D33/C33)^2)</f>
        <v>4.1816501769340536E-3</v>
      </c>
      <c r="F38" s="55">
        <f>F37*SQRT((D32/C32)^2)</f>
        <v>11.142183892533</v>
      </c>
      <c r="G38" s="56">
        <f>G37*SQRT((_xlfn.STDEV.S('Data (PEG10000 30%-9%-)'!E21:E23)/AVERAGE('Data (PEG10000 30%-9%-)'!E21:E23))^2+(_xlfn.STDEV.S('Data (PEG10000 30%-9%-)'!D21:D23)/AVERAGE('Data (PEG10000 30%-9%-)'!D21:D23))^2)</f>
        <v>4.4241279060867778E-2</v>
      </c>
      <c r="H38" s="3"/>
      <c r="I38" s="66"/>
    </row>
    <row r="39" spans="1:9" ht="15" thickBot="1" x14ac:dyDescent="0.35">
      <c r="A39" s="67"/>
      <c r="B39" s="68"/>
      <c r="C39" s="68"/>
      <c r="D39" s="68"/>
      <c r="E39" s="68"/>
      <c r="F39" s="68"/>
      <c r="G39" s="68"/>
      <c r="H39" s="68"/>
      <c r="I39" s="69"/>
    </row>
    <row r="40" spans="1:9" ht="15" thickBot="1" x14ac:dyDescent="0.35">
      <c r="A40" s="62"/>
      <c r="B40" s="63"/>
      <c r="C40" s="63"/>
      <c r="D40" s="63"/>
      <c r="E40" s="63"/>
      <c r="F40" s="63"/>
      <c r="G40" s="63"/>
      <c r="H40" s="63"/>
      <c r="I40" s="64"/>
    </row>
    <row r="41" spans="1:9" x14ac:dyDescent="0.3">
      <c r="A41" s="65"/>
      <c r="B41" s="95" t="s">
        <v>39</v>
      </c>
      <c r="C41" s="88" t="s">
        <v>32</v>
      </c>
      <c r="D41" s="90"/>
      <c r="E41" s="88" t="s">
        <v>13</v>
      </c>
      <c r="F41" s="90"/>
      <c r="G41" s="88" t="s">
        <v>31</v>
      </c>
      <c r="H41" s="89"/>
      <c r="I41" s="66"/>
    </row>
    <row r="42" spans="1:9" x14ac:dyDescent="0.3">
      <c r="A42" s="65"/>
      <c r="B42" s="96"/>
      <c r="C42" s="6" t="s">
        <v>23</v>
      </c>
      <c r="D42" s="6" t="s">
        <v>33</v>
      </c>
      <c r="E42" s="6" t="s">
        <v>23</v>
      </c>
      <c r="F42" s="6" t="s">
        <v>33</v>
      </c>
      <c r="G42" s="6" t="s">
        <v>23</v>
      </c>
      <c r="H42" s="6" t="s">
        <v>33</v>
      </c>
      <c r="I42" s="66"/>
    </row>
    <row r="43" spans="1:9" x14ac:dyDescent="0.3">
      <c r="A43" s="65"/>
      <c r="B43" s="6" t="s">
        <v>0</v>
      </c>
      <c r="C43" s="50">
        <f>'Data (PEG10000 20%-9%-)'!E6</f>
        <v>5.3741000000000003</v>
      </c>
      <c r="D43" s="50">
        <f>'Data (PEG10000 20%-9%-)'!F6</f>
        <v>0.11442563772434325</v>
      </c>
      <c r="E43" s="50" t="s">
        <v>82</v>
      </c>
      <c r="F43" s="50" t="s">
        <v>82</v>
      </c>
      <c r="G43" s="50">
        <f>'Data (PEG10000 20%-9%-)'!J6</f>
        <v>0.58546440564802271</v>
      </c>
      <c r="H43" s="51">
        <f>'Data (PEG10000 20%-9%-)'!K6</f>
        <v>7.2493630487680876E-3</v>
      </c>
      <c r="I43" s="66"/>
    </row>
    <row r="44" spans="1:9" x14ac:dyDescent="0.3">
      <c r="A44" s="65"/>
      <c r="B44" s="6" t="s">
        <v>26</v>
      </c>
      <c r="C44" s="50">
        <f>'Data (PEG10000 20%-9%-)'!M6</f>
        <v>5.6692333333333336</v>
      </c>
      <c r="D44" s="50">
        <f>'Data (PEG10000 20%-9%-)'!N6</f>
        <v>0.24539861863216814</v>
      </c>
      <c r="E44" s="50">
        <f>'Data (PEG10000 20%-9%-)'!P6</f>
        <v>0.66310868668921974</v>
      </c>
      <c r="F44" s="50">
        <f>'Data (PEG10000 20%-9%-)'!Q6</f>
        <v>2.8989137549479318E-2</v>
      </c>
      <c r="G44" s="50">
        <f>'Data (PEG10000 20%-9%-)'!R6</f>
        <v>0.59418079236968269</v>
      </c>
      <c r="H44" s="51">
        <f>'Data (PEG10000 20%-9%-)'!S6</f>
        <v>1.5225651014806572E-3</v>
      </c>
      <c r="I44" s="66"/>
    </row>
    <row r="45" spans="1:9" x14ac:dyDescent="0.3">
      <c r="A45" s="65"/>
      <c r="B45" s="6" t="s">
        <v>20</v>
      </c>
      <c r="C45" s="50">
        <f>'Data (PEG10000 20%-9%-)'!U6</f>
        <v>9.3304333333333336</v>
      </c>
      <c r="D45" s="50">
        <f>'Data (PEG10000 20%-9%-)'!V6</f>
        <v>0.40464649537740011</v>
      </c>
      <c r="E45" s="50">
        <f>'Data (PEG10000 20%-9%-)'!X6</f>
        <v>0.95075643849620795</v>
      </c>
      <c r="F45" s="50">
        <f>'Data (PEG10000 20%-9%-)'!Y6</f>
        <v>7.7557351308828265E-2</v>
      </c>
      <c r="G45" s="50">
        <f>'Data (PEG10000 20%-9%-)'!Z6</f>
        <v>0.71823957039240804</v>
      </c>
      <c r="H45" s="51">
        <f>'Data (PEG10000 20%-9%-)'!AA6</f>
        <v>7.2122259171847041E-3</v>
      </c>
      <c r="I45" s="66"/>
    </row>
    <row r="46" spans="1:9" x14ac:dyDescent="0.3">
      <c r="A46" s="65"/>
      <c r="B46" s="6" t="s">
        <v>19</v>
      </c>
      <c r="C46" s="50">
        <f>'Data (PEG10000 20%-9%-)'!AC6</f>
        <v>8.6717777233333335E-2</v>
      </c>
      <c r="D46" s="50">
        <f>'Data (PEG10000 20%-9%-)'!AD6</f>
        <v>1.0294979025174743E-2</v>
      </c>
      <c r="E46" s="50">
        <f>'Data (PEG10000 20%-9%-)'!AF6</f>
        <v>9.9976966058555605E-3</v>
      </c>
      <c r="F46" s="50">
        <f>'Data (PEG10000 20%-9%-)'!AG6</f>
        <v>1.544616707139795E-3</v>
      </c>
      <c r="G46" s="50">
        <f>'Data (PEG10000 20%-9%-)'!AH6</f>
        <v>5.5031652357453366E-2</v>
      </c>
      <c r="H46" s="51">
        <f>'Data (PEG10000 20%-9%-)'!AI6</f>
        <v>1.0351554907487071E-2</v>
      </c>
      <c r="I46" s="66"/>
    </row>
    <row r="47" spans="1:9" x14ac:dyDescent="0.3">
      <c r="A47" s="65"/>
      <c r="B47" s="6" t="s">
        <v>3</v>
      </c>
      <c r="C47" s="50">
        <f>'Data (PEG10000 20%-9%-)'!AK6</f>
        <v>7.6745999999999999</v>
      </c>
      <c r="D47" s="50">
        <f>'Data (PEG10000 20%-9%-)'!AL6</f>
        <v>0.14106930108650181</v>
      </c>
      <c r="E47" s="50">
        <f>'Data (PEG10000 20%-9%-)'!AN6</f>
        <v>0.83769579959520768</v>
      </c>
      <c r="F47" s="50">
        <f>'Data (PEG10000 20%-9%-)'!AO6</f>
        <v>3.0294704248376957E-2</v>
      </c>
      <c r="G47" s="50">
        <f>'Data (PEG10000 20%-9%-)'!AP6</f>
        <v>0.71696558342161909</v>
      </c>
      <c r="H47" s="51">
        <f>'Data (PEG10000 20%-9%-)'!AQ6</f>
        <v>3.6761540304282091E-3</v>
      </c>
      <c r="I47" s="66"/>
    </row>
    <row r="48" spans="1:9" x14ac:dyDescent="0.3">
      <c r="A48" s="65"/>
      <c r="B48" s="3"/>
      <c r="C48" s="3"/>
      <c r="D48" s="3"/>
      <c r="E48" s="3"/>
      <c r="F48" s="3"/>
      <c r="G48" s="3"/>
      <c r="H48" s="3"/>
      <c r="I48" s="66"/>
    </row>
    <row r="49" spans="1:9" ht="15" thickBot="1" x14ac:dyDescent="0.35">
      <c r="A49" s="65"/>
      <c r="B49" s="6" t="s">
        <v>39</v>
      </c>
      <c r="C49" s="6" t="s">
        <v>34</v>
      </c>
      <c r="D49" s="6" t="s">
        <v>35</v>
      </c>
      <c r="E49" s="6" t="s">
        <v>36</v>
      </c>
      <c r="F49" s="6" t="s">
        <v>38</v>
      </c>
      <c r="G49" s="6" t="s">
        <v>37</v>
      </c>
      <c r="H49" s="3"/>
      <c r="I49" s="66"/>
    </row>
    <row r="50" spans="1:9" ht="15" thickBot="1" x14ac:dyDescent="0.35">
      <c r="A50" s="65"/>
      <c r="B50" s="6" t="s">
        <v>23</v>
      </c>
      <c r="C50" s="57">
        <f>'Data (PEG10000 20%-9%-)'!AB6/'Data (PEG10000 20%-9%-)'!T6</f>
        <v>1.193103448275862</v>
      </c>
      <c r="D50" s="57">
        <f>G45/G44</f>
        <v>1.2087896135584595</v>
      </c>
      <c r="E50" s="57">
        <f>C46/C45</f>
        <v>9.2940782207328702E-3</v>
      </c>
      <c r="F50" s="58">
        <f>1/E50</f>
        <v>107.59539313637781</v>
      </c>
      <c r="G50" s="59">
        <f>AVERAGE('Data (PEG10000 20%-9%-)'!F21:F23)/AVERAGE('Data (PEG10000 20%-9%-)'!E21:E23)</f>
        <v>0.2509863429438543</v>
      </c>
      <c r="H50" s="3"/>
      <c r="I50" s="66"/>
    </row>
    <row r="51" spans="1:9" ht="15" thickBot="1" x14ac:dyDescent="0.35">
      <c r="A51" s="65"/>
      <c r="B51" s="6" t="s">
        <v>41</v>
      </c>
      <c r="C51" s="55">
        <f>C50*SQRT(('Data (PEG10000 20%-9%-)'!T7/'Data (PEG10000 20%-9%-)'!T6)^2+('Data (PEG10000 20%-9%-)'!AB7/'Data (PEG10000 20%-9%-)'!AB6)^2)</f>
        <v>0.12204651886243771</v>
      </c>
      <c r="D51" s="55">
        <f>D50*SQRT((H44/G44)^2+(H45/G45)^2)</f>
        <v>1.2527083950112535E-2</v>
      </c>
      <c r="E51" s="55">
        <f>E50*SQRT((D45/C45)^2+(D46/C46)^2)</f>
        <v>1.1746933860991716E-3</v>
      </c>
      <c r="F51" s="55">
        <f>F50*SQRT((D45/C45)^2+(D46/C46)^2)</f>
        <v>13.599153535214899</v>
      </c>
      <c r="G51" s="56">
        <f>G50*SQRT((_xlfn.STDEV.S('Data (PEG10000 20%-9%-)'!E21:E23)/AVERAGE('Data (PEG10000 20%-9%-)'!F21:F23))^2+(_xlfn.STDEV.S('Data (PEG10000 20%-9%-)'!F21:F23)/AVERAGE('Data (PEG10000 20%-9%-)'!E21:E23))^2)</f>
        <v>8.2205300073427329E-2</v>
      </c>
      <c r="H51" s="3"/>
      <c r="I51" s="66"/>
    </row>
    <row r="52" spans="1:9" ht="15" thickBot="1" x14ac:dyDescent="0.35">
      <c r="A52" s="67"/>
      <c r="B52" s="68"/>
      <c r="C52" s="68"/>
      <c r="D52" s="68"/>
      <c r="E52" s="68"/>
      <c r="F52" s="68"/>
      <c r="G52" s="68"/>
      <c r="H52" s="68"/>
      <c r="I52" s="69"/>
    </row>
    <row r="53" spans="1:9" ht="15" thickBot="1" x14ac:dyDescent="0.35">
      <c r="A53" s="62"/>
      <c r="B53" s="63"/>
      <c r="C53" s="63"/>
      <c r="D53" s="63"/>
      <c r="E53" s="63"/>
      <c r="F53" s="63"/>
      <c r="G53" s="63"/>
      <c r="H53" s="63"/>
      <c r="I53" s="64"/>
    </row>
    <row r="54" spans="1:9" x14ac:dyDescent="0.3">
      <c r="A54" s="65"/>
      <c r="B54" s="94" t="s">
        <v>71</v>
      </c>
      <c r="C54" s="87" t="s">
        <v>32</v>
      </c>
      <c r="D54" s="87"/>
      <c r="E54" s="87" t="s">
        <v>13</v>
      </c>
      <c r="F54" s="87"/>
      <c r="G54" s="87" t="s">
        <v>31</v>
      </c>
      <c r="H54" s="91"/>
      <c r="I54" s="66"/>
    </row>
    <row r="55" spans="1:9" x14ac:dyDescent="0.3">
      <c r="A55" s="65"/>
      <c r="B55" s="93"/>
      <c r="C55" s="17" t="s">
        <v>23</v>
      </c>
      <c r="D55" s="17" t="s">
        <v>33</v>
      </c>
      <c r="E55" s="17" t="s">
        <v>23</v>
      </c>
      <c r="F55" s="17" t="s">
        <v>33</v>
      </c>
      <c r="G55" s="17" t="s">
        <v>23</v>
      </c>
      <c r="H55" s="18" t="s">
        <v>33</v>
      </c>
      <c r="I55" s="66"/>
    </row>
    <row r="56" spans="1:9" x14ac:dyDescent="0.3">
      <c r="A56" s="65"/>
      <c r="B56" s="6" t="s">
        <v>0</v>
      </c>
      <c r="C56" s="50">
        <f>'Data (PEG10000 30%-5%-)'!E7</f>
        <v>4.4691333333333345</v>
      </c>
      <c r="D56" s="50">
        <f>'Data (PEG10000 30%-5%-)'!F7</f>
        <v>0.17434120583744717</v>
      </c>
      <c r="E56" s="50" t="s">
        <v>82</v>
      </c>
      <c r="F56" s="50" t="s">
        <v>82</v>
      </c>
      <c r="G56" s="50">
        <f>'Data (PEG10000 30%-5%-)'!J7</f>
        <v>0.57355430322350098</v>
      </c>
      <c r="H56" s="51">
        <f>'Data (PEG10000 30%-5%-)'!K7</f>
        <v>6.9977209554838793E-3</v>
      </c>
      <c r="I56" s="66"/>
    </row>
    <row r="57" spans="1:9" x14ac:dyDescent="0.3">
      <c r="A57" s="65"/>
      <c r="B57" s="6" t="s">
        <v>26</v>
      </c>
      <c r="C57" s="50">
        <f>'Data (PEG10000 30%-5%-)'!M7</f>
        <v>5.3617111111111102</v>
      </c>
      <c r="D57" s="50">
        <f>'Data (PEG10000 30%-5%-)'!N7</f>
        <v>0.22026761464720238</v>
      </c>
      <c r="E57" s="50">
        <f>'Data (PEG10000 30%-5%-)'!P7</f>
        <v>0.70936772110081503</v>
      </c>
      <c r="F57" s="50">
        <f>'Data (PEG10000 30%-5%-)'!Q7</f>
        <v>3.0698375060246242E-2</v>
      </c>
      <c r="G57" s="50">
        <f>'Data (PEG10000 30%-5%-)'!R7</f>
        <v>0.59186878170711799</v>
      </c>
      <c r="H57" s="51">
        <f>'Data (PEG10000 30%-5%-)'!S7</f>
        <v>3.7630584923658964E-3</v>
      </c>
      <c r="I57" s="66"/>
    </row>
    <row r="58" spans="1:9" x14ac:dyDescent="0.3">
      <c r="A58" s="65"/>
      <c r="B58" s="6" t="s">
        <v>20</v>
      </c>
      <c r="C58" s="50">
        <f>'Data (PEG10000 30%-5%-)'!U7</f>
        <v>4.2824666666666671</v>
      </c>
      <c r="D58" s="50">
        <f>'Data (PEG10000 30%-5%-)'!V7</f>
        <v>0.44142640085155777</v>
      </c>
      <c r="E58" s="50">
        <f>'Data (PEG10000 30%-5%-)'!X7</f>
        <v>0.84729503057285915</v>
      </c>
      <c r="F58" s="50">
        <f>'Data (PEG10000 30%-5%-)'!Y7</f>
        <v>0.10042323503191171</v>
      </c>
      <c r="G58" s="50">
        <f>'Data (PEG10000 30%-5%-)'!Z7</f>
        <v>0.5748910300978346</v>
      </c>
      <c r="H58" s="51">
        <f>'Data (PEG10000 30%-5%-)'!AA7</f>
        <v>6.19255300674272E-3</v>
      </c>
      <c r="I58" s="66"/>
    </row>
    <row r="59" spans="1:9" x14ac:dyDescent="0.3">
      <c r="A59" s="65"/>
      <c r="B59" s="6" t="s">
        <v>19</v>
      </c>
      <c r="C59" s="50">
        <f>'Data (PEG10000 30%-5%-)'!AC7</f>
        <v>0.14431777777777779</v>
      </c>
      <c r="D59" s="50">
        <f>'Data (PEG10000 30%-5%-)'!AD7</f>
        <v>2.448329187781172E-2</v>
      </c>
      <c r="E59" s="50">
        <f>'Data (PEG10000 30%-5%-)'!AF7</f>
        <v>5.6956952834764929E-3</v>
      </c>
      <c r="F59" s="50">
        <f>'Data (PEG10000 30%-5%-)'!AG7</f>
        <v>9.1931739068930199E-4</v>
      </c>
      <c r="G59" s="50">
        <f>'Data (PEG10000 30%-5%-)'!AH7</f>
        <v>3.8789306196333369E-2</v>
      </c>
      <c r="H59" s="51">
        <f>'Data (PEG10000 30%-5%-)'!AI7</f>
        <v>1.1966426942769904E-2</v>
      </c>
      <c r="I59" s="66"/>
    </row>
    <row r="60" spans="1:9" x14ac:dyDescent="0.3">
      <c r="A60" s="65"/>
      <c r="B60" s="6" t="s">
        <v>3</v>
      </c>
      <c r="C60" s="50">
        <f>'Data (PEG10000 30%-5%-)'!AK7</f>
        <v>3.3118222222222227</v>
      </c>
      <c r="D60" s="50">
        <f>'Data (PEG10000 30%-5%-)'!AL7</f>
        <v>0.31427021391894244</v>
      </c>
      <c r="E60" s="50">
        <f>'Data (PEG10000 30%-5%-)'!AN7</f>
        <v>0.74806131237300222</v>
      </c>
      <c r="F60" s="50">
        <f>'Data (PEG10000 30%-5%-)'!AO7</f>
        <v>0.11856490202397964</v>
      </c>
      <c r="G60" s="50">
        <f>'Data (PEG10000 30%-5%-)'!AP7</f>
        <v>0.53723245048349544</v>
      </c>
      <c r="H60" s="51">
        <f>'Data (PEG10000 30%-5%-)'!AQ7</f>
        <v>1.5213615157634279E-2</v>
      </c>
      <c r="I60" s="66"/>
    </row>
    <row r="61" spans="1:9" x14ac:dyDescent="0.3">
      <c r="A61" s="65"/>
      <c r="B61" s="3"/>
      <c r="C61" s="3"/>
      <c r="D61" s="3"/>
      <c r="E61" s="3"/>
      <c r="F61" s="3"/>
      <c r="G61" s="3"/>
      <c r="H61" s="3"/>
      <c r="I61" s="66"/>
    </row>
    <row r="62" spans="1:9" x14ac:dyDescent="0.3">
      <c r="A62" s="65"/>
      <c r="B62" s="6" t="s">
        <v>71</v>
      </c>
      <c r="C62" s="6" t="s">
        <v>34</v>
      </c>
      <c r="D62" s="6" t="s">
        <v>35</v>
      </c>
      <c r="E62" s="6" t="s">
        <v>36</v>
      </c>
      <c r="F62" s="6" t="s">
        <v>38</v>
      </c>
      <c r="G62" s="6" t="s">
        <v>70</v>
      </c>
      <c r="H62" s="3"/>
      <c r="I62" s="66"/>
    </row>
    <row r="63" spans="1:9" ht="15" thickBot="1" x14ac:dyDescent="0.35">
      <c r="A63" s="65"/>
      <c r="B63" s="6" t="s">
        <v>23</v>
      </c>
      <c r="C63" s="57">
        <f>'Data (PEG10000 30%-5%-)'!AB7/'Data (PEG10000 30%-5%-)'!T7</f>
        <v>0.1953125</v>
      </c>
      <c r="D63" s="57">
        <f>G58/G57</f>
        <v>0.97131500742391796</v>
      </c>
      <c r="E63" s="57">
        <f>C59/C58</f>
        <v>3.3699685020574854E-2</v>
      </c>
      <c r="F63" s="60">
        <f>1/E63</f>
        <v>29.673867853348316</v>
      </c>
      <c r="G63" s="61">
        <f>AVERAGE('Data (PEG10000 30%-5%-)'!M25:M27,'Data (PEG10000 30%-5%-)'!T25:T27)/AVERAGE('Data (PEG10000 30%-5%-)'!L25:L27,'Data (PEG10000 30%-5%-)'!S25:S27)</f>
        <v>0.37329700272479566</v>
      </c>
      <c r="H63" s="3"/>
      <c r="I63" s="66"/>
    </row>
    <row r="64" spans="1:9" ht="15" thickBot="1" x14ac:dyDescent="0.35">
      <c r="A64" s="65"/>
      <c r="B64" s="6" t="s">
        <v>41</v>
      </c>
      <c r="C64" s="55">
        <f>C63*SQRT(('Data (PEG10000 30%-5%-)'!T8/'Data (PEG10000 30%-5%-)'!T7)^2)</f>
        <v>1.3984911178454101E-2</v>
      </c>
      <c r="D64" s="55">
        <f>D63*SQRT((H57/G57)^2+(H58/G58)^2)</f>
        <v>1.2149311626646288E-2</v>
      </c>
      <c r="E64" s="55">
        <f>E63*SQRT((D58/C58)^2+(D59/C59)^2)</f>
        <v>6.6896718097554878E-3</v>
      </c>
      <c r="F64" s="55">
        <f>F63*SQRT((D58/C58)^2+(D59/C59)^2)</f>
        <v>5.890513135174924</v>
      </c>
      <c r="G64" s="56">
        <f>G63*SQRT(('Data (PEG10000 30%-5%-)'!X26/'Data (PEG10000 30%-5%-)'!X25)^2+(('Data (PEG10000 30%-5%-)'!Y26/'Data (PEG10000 30%-5%-)'!Y25)^2))</f>
        <v>8.8591838587681757E-2</v>
      </c>
      <c r="H64" s="3"/>
      <c r="I64" s="66"/>
    </row>
    <row r="65" spans="1:9" ht="15" thickBot="1" x14ac:dyDescent="0.35">
      <c r="A65" s="67"/>
      <c r="B65" s="68"/>
      <c r="C65" s="68"/>
      <c r="D65" s="68"/>
      <c r="E65" s="68"/>
      <c r="F65" s="68"/>
      <c r="G65" s="68"/>
      <c r="H65" s="68"/>
      <c r="I65" s="69"/>
    </row>
  </sheetData>
  <mergeCells count="20">
    <mergeCell ref="C15:D15"/>
    <mergeCell ref="E15:F15"/>
    <mergeCell ref="G15:H15"/>
    <mergeCell ref="C2:D2"/>
    <mergeCell ref="E2:F2"/>
    <mergeCell ref="G2:H2"/>
    <mergeCell ref="B2:B3"/>
    <mergeCell ref="B54:B55"/>
    <mergeCell ref="B41:B42"/>
    <mergeCell ref="B28:B29"/>
    <mergeCell ref="B15:B16"/>
    <mergeCell ref="E28:F28"/>
    <mergeCell ref="G41:H41"/>
    <mergeCell ref="C41:D41"/>
    <mergeCell ref="E41:F41"/>
    <mergeCell ref="C54:D54"/>
    <mergeCell ref="E54:F54"/>
    <mergeCell ref="G54:H54"/>
    <mergeCell ref="G28:H28"/>
    <mergeCell ref="C28:D2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FF877-77E6-488A-8BB1-C7554287B19E}">
  <dimension ref="A1:AQ31"/>
  <sheetViews>
    <sheetView zoomScale="70" zoomScaleNormal="70" workbookViewId="0">
      <selection activeCell="L37" sqref="L37"/>
    </sheetView>
  </sheetViews>
  <sheetFormatPr defaultRowHeight="14.4" x14ac:dyDescent="0.3"/>
  <cols>
    <col min="4" max="4" width="13.77734375" bestFit="1" customWidth="1"/>
    <col min="5" max="6" width="10.44140625" bestFit="1" customWidth="1"/>
    <col min="7" max="7" width="13.77734375" bestFit="1" customWidth="1"/>
    <col min="8" max="9" width="9.109375" bestFit="1" customWidth="1"/>
    <col min="10" max="11" width="10.44140625" bestFit="1" customWidth="1"/>
    <col min="12" max="12" width="12.6640625" bestFit="1" customWidth="1"/>
    <col min="13" max="14" width="10.44140625" bestFit="1" customWidth="1"/>
    <col min="15" max="15" width="13.77734375" bestFit="1" customWidth="1"/>
    <col min="16" max="19" width="10.44140625" bestFit="1" customWidth="1"/>
    <col min="20" max="20" width="12.6640625" bestFit="1" customWidth="1"/>
    <col min="21" max="22" width="10.44140625" bestFit="1" customWidth="1"/>
    <col min="23" max="23" width="13.77734375" bestFit="1" customWidth="1"/>
    <col min="24" max="27" width="10.44140625" bestFit="1" customWidth="1"/>
    <col min="28" max="28" width="12.6640625" bestFit="1" customWidth="1"/>
    <col min="29" max="30" width="10.44140625" bestFit="1" customWidth="1"/>
    <col min="31" max="31" width="12.6640625" bestFit="1" customWidth="1"/>
    <col min="32" max="35" width="10.44140625" bestFit="1" customWidth="1"/>
    <col min="36" max="36" width="12.6640625" bestFit="1" customWidth="1"/>
    <col min="37" max="38" width="10.44140625" bestFit="1" customWidth="1"/>
    <col min="39" max="39" width="13.77734375" bestFit="1" customWidth="1"/>
    <col min="40" max="43" width="10.44140625" bestFit="1" customWidth="1"/>
  </cols>
  <sheetData>
    <row r="1" spans="1:43" x14ac:dyDescent="0.3">
      <c r="A1" t="s">
        <v>27</v>
      </c>
    </row>
    <row r="2" spans="1:43" x14ac:dyDescent="0.3">
      <c r="A2">
        <v>100</v>
      </c>
      <c r="B2" t="s">
        <v>28</v>
      </c>
      <c r="C2" s="2"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row>
    <row r="3" spans="1:43"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 t="s">
        <v>11</v>
      </c>
      <c r="T3" s="2"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row>
    <row r="4" spans="1:43" x14ac:dyDescent="0.3">
      <c r="C4" s="2" t="s">
        <v>25</v>
      </c>
      <c r="D4" s="45">
        <v>1000</v>
      </c>
      <c r="E4" s="45">
        <f>AVERAGE(E11:E13)</f>
        <v>5.6089333333333338</v>
      </c>
      <c r="F4" s="45">
        <f>_xlfn.STDEV.S(E11:E13)</f>
        <v>0.37669734978273117</v>
      </c>
      <c r="G4" s="45">
        <f>D4*E4</f>
        <v>5608.9333333333334</v>
      </c>
      <c r="H4" s="45"/>
      <c r="I4" s="45"/>
      <c r="J4" s="45">
        <f>AVERAGE(J11:J13)</f>
        <v>0.63512854341478564</v>
      </c>
      <c r="K4" s="45">
        <f>_xlfn.STDEV.S(J11:J13)</f>
        <v>2.742449581074165E-3</v>
      </c>
      <c r="L4" s="45">
        <v>609</v>
      </c>
      <c r="M4" s="45">
        <f>AVERAGE(M11:M13)</f>
        <v>6.0903333333333336</v>
      </c>
      <c r="N4" s="45">
        <f>_xlfn.STDEV.S(M11:M13)</f>
        <v>0.34827146500012462</v>
      </c>
      <c r="O4" s="45">
        <f>L4*M4</f>
        <v>3709.0130000000004</v>
      </c>
      <c r="P4" s="45">
        <f>AVERAGE(P11:P13)</f>
        <v>0.66205926919807212</v>
      </c>
      <c r="Q4" s="45">
        <f>_xlfn.STDEV.S(P11:P13)</f>
        <v>3.3506408001154869E-2</v>
      </c>
      <c r="R4" s="45">
        <f>AVERAGE(R11:R13)</f>
        <v>0.65511858053131644</v>
      </c>
      <c r="S4" s="45">
        <f>_xlfn.STDEV.S(R11:R13)</f>
        <v>4.556873530996027E-3</v>
      </c>
      <c r="T4" s="45">
        <v>345</v>
      </c>
      <c r="U4" s="45">
        <f>AVERAGE(U11:U13)</f>
        <v>9.5561333333333334</v>
      </c>
      <c r="V4" s="45">
        <f>_xlfn.STDEV.S(U11:U13)</f>
        <v>0.41820886328882645</v>
      </c>
      <c r="W4" s="45">
        <f>T4*U4</f>
        <v>3296.866</v>
      </c>
      <c r="X4" s="45">
        <f>AVERAGE(X11:X13)</f>
        <v>0.89137419687445074</v>
      </c>
      <c r="Y4" s="45">
        <f>_xlfn.STDEV.S(X11:X13)</f>
        <v>7.4011444163036816E-2</v>
      </c>
      <c r="Z4" s="45">
        <f>AVERAGE(Z11:Z13)</f>
        <v>0.73386317671399226</v>
      </c>
      <c r="AA4" s="45">
        <f>_xlfn.STDEV.S(Z11:Z13)</f>
        <v>1.9545338619203776E-3</v>
      </c>
      <c r="AB4" s="45">
        <v>420</v>
      </c>
      <c r="AC4" s="45">
        <f>AVERAGE(AC11:AC13)</f>
        <v>4.6039999999999998E-2</v>
      </c>
      <c r="AD4" s="45">
        <f>_xlfn.STDEV.S(AC11:AC13)</f>
        <v>4.2833631646172609E-3</v>
      </c>
      <c r="AE4" s="45">
        <f>AB4*AC4</f>
        <v>19.3368</v>
      </c>
      <c r="AF4" s="45">
        <f>AVERAGE(AF11:AF13)</f>
        <v>5.2371294082500615E-3</v>
      </c>
      <c r="AG4" s="45">
        <f>_xlfn.STDEV.S(AF11:AF13)</f>
        <v>7.2894956613985516E-4</v>
      </c>
      <c r="AH4" s="45">
        <f>AVERAGE(AH11:AH13)</f>
        <v>0.15316275764036957</v>
      </c>
      <c r="AI4" s="45">
        <f>_xlfn.STDEV.S(AH11:AH13)</f>
        <v>1.4902923770746998E-2</v>
      </c>
      <c r="AJ4" s="45">
        <v>350</v>
      </c>
      <c r="AK4" s="45">
        <f>AVERAGE(AK11:AK13)</f>
        <v>7.869133333333334</v>
      </c>
      <c r="AL4" s="45">
        <f>_xlfn.STDEV.S(AK11:AK13)</f>
        <v>0.11234987019722499</v>
      </c>
      <c r="AM4" s="45">
        <f>AJ4*AK4</f>
        <v>2754.1966666666667</v>
      </c>
      <c r="AN4" s="45">
        <f>AVERAGE(AN11:AN13)</f>
        <v>0.8363325900531452</v>
      </c>
      <c r="AO4" s="45">
        <f>_xlfn.STDEV.S(AN11:AN13)</f>
        <v>3.3944267760238289E-2</v>
      </c>
      <c r="AP4" s="45">
        <f>AVERAGE(AP11:AP13)</f>
        <v>0.73623372175773616</v>
      </c>
      <c r="AQ4" s="45">
        <f>_xlfn.STDEV.S(AP11:AP13)</f>
        <v>3.0151612649117121E-3</v>
      </c>
    </row>
    <row r="5" spans="1:43" x14ac:dyDescent="0.3">
      <c r="C5" s="2" t="s">
        <v>24</v>
      </c>
      <c r="D5" s="45">
        <v>1000</v>
      </c>
      <c r="E5" s="45">
        <f>AVERAGE(E14:E16)</f>
        <v>5.4365333333333332</v>
      </c>
      <c r="F5" s="45">
        <f>_xlfn.STDEV.S(E14:E16)</f>
        <v>0.14223703221500816</v>
      </c>
      <c r="G5" s="45">
        <f>D5*E5</f>
        <v>5436.5333333333328</v>
      </c>
      <c r="H5" s="45"/>
      <c r="I5" s="45"/>
      <c r="J5" s="45">
        <f>AVERAGE(J14:J16)</f>
        <v>0.63170361533147668</v>
      </c>
      <c r="K5" s="45">
        <f>_xlfn.STDEV.S(J14:J16)</f>
        <v>3.3523877658448047E-3</v>
      </c>
      <c r="L5" s="45">
        <v>584</v>
      </c>
      <c r="M5" s="45">
        <f>AVERAGE(M14:M16)</f>
        <v>6.0872666666666673</v>
      </c>
      <c r="N5" s="45">
        <f>_xlfn.STDEV.S(M14:M16)</f>
        <v>0.26983775372125623</v>
      </c>
      <c r="O5" s="45">
        <f>L5*M5</f>
        <v>3554.9637333333335</v>
      </c>
      <c r="P5" s="45">
        <f>AVERAGE(P14:P16)</f>
        <v>0.65468151933077823</v>
      </c>
      <c r="Q5" s="45">
        <f>_xlfn.STDEV.S(P14:P16)</f>
        <v>4.5213504603929408E-2</v>
      </c>
      <c r="R5" s="45">
        <f>AVERAGE(R14:R16)</f>
        <v>0.64141344288256119</v>
      </c>
      <c r="S5" s="45">
        <f>_xlfn.STDEV.S(R14:R16)</f>
        <v>1.6605993069279807E-2</v>
      </c>
      <c r="T5" s="45">
        <v>350</v>
      </c>
      <c r="U5" s="45">
        <f>AVERAGE(U14:U16)</f>
        <v>8.0370666666666679</v>
      </c>
      <c r="V5" s="45">
        <f>_xlfn.STDEV.S(U14:U16)</f>
        <v>1.2230635033935515</v>
      </c>
      <c r="W5" s="45">
        <f>T5*U5</f>
        <v>2812.9733333333338</v>
      </c>
      <c r="X5" s="45">
        <f>AVERAGE(X14:X16)</f>
        <v>0.7958981656223244</v>
      </c>
      <c r="Y5" s="45">
        <f>_xlfn.STDEV.S(X14:X16)</f>
        <v>0.15852599117126706</v>
      </c>
      <c r="Z5" s="45">
        <f>AVERAGE(Z14:Z16)</f>
        <v>0.72705186453046655</v>
      </c>
      <c r="AA5" s="45">
        <f>_xlfn.STDEV.S(Z14:Z16)</f>
        <v>1.866004395257596E-2</v>
      </c>
      <c r="AB5" s="45">
        <v>380</v>
      </c>
      <c r="AC5" s="45">
        <f>AVERAGE(AC14:AC16)</f>
        <v>0.51980000000000004</v>
      </c>
      <c r="AD5" s="45">
        <f>_xlfn.STDEV.S(AC14:AC16)</f>
        <v>0.18639334752077399</v>
      </c>
      <c r="AE5" s="45">
        <f>AB5*AC5</f>
        <v>197.524</v>
      </c>
      <c r="AF5" s="45">
        <f>AVERAGE(AF14:AF16)</f>
        <v>3.7497941558823668E-2</v>
      </c>
      <c r="AG5" s="45">
        <f>_xlfn.STDEV.S(AF14:AF16)</f>
        <v>3.4849091488854483E-2</v>
      </c>
      <c r="AH5" s="45">
        <f>AVERAGE(AH14:AH16)</f>
        <v>0.28655563438172132</v>
      </c>
      <c r="AI5" s="45">
        <f>_xlfn.STDEV.S(AH14:AH16)</f>
        <v>0.2211607661434726</v>
      </c>
      <c r="AJ5" s="45">
        <v>360</v>
      </c>
      <c r="AK5" s="45">
        <f>AVERAGE(AK14:AK16)</f>
        <v>7.5413333333333341</v>
      </c>
      <c r="AL5" s="45">
        <f>_xlfn.STDEV.S(AK14:AK16)</f>
        <v>0.31776534319106342</v>
      </c>
      <c r="AM5" s="45">
        <f>AJ5*AK5</f>
        <v>2714.88</v>
      </c>
      <c r="AN5" s="45">
        <f>AVERAGE(AN14:AN16)</f>
        <v>0.9824543657661472</v>
      </c>
      <c r="AO5" s="45">
        <f>_xlfn.STDEV.S(AN14:AN16)</f>
        <v>0.17149361308143035</v>
      </c>
      <c r="AP5" s="45">
        <f>AVERAGE(AP14:AP16)</f>
        <v>0.75763523176401748</v>
      </c>
      <c r="AQ5" s="45">
        <f>_xlfn.STDEV.S(AP14:AP16)</f>
        <v>1.0515844523776101E-2</v>
      </c>
    </row>
    <row r="6" spans="1:43" x14ac:dyDescent="0.3">
      <c r="C6" s="2" t="s">
        <v>23</v>
      </c>
      <c r="D6" s="45">
        <f t="shared" ref="D6:AQ6" si="0">AVERAGE(D4:D5)</f>
        <v>1000</v>
      </c>
      <c r="E6" s="45">
        <f t="shared" si="0"/>
        <v>5.5227333333333331</v>
      </c>
      <c r="F6" s="45">
        <f t="shared" si="0"/>
        <v>0.25946719099886967</v>
      </c>
      <c r="G6" s="45">
        <f t="shared" si="0"/>
        <v>5522.7333333333336</v>
      </c>
      <c r="H6" s="45" t="e">
        <f t="shared" si="0"/>
        <v>#DIV/0!</v>
      </c>
      <c r="I6" s="45" t="e">
        <f t="shared" si="0"/>
        <v>#DIV/0!</v>
      </c>
      <c r="J6" s="45">
        <f t="shared" si="0"/>
        <v>0.63341607937313116</v>
      </c>
      <c r="K6" s="45">
        <f t="shared" si="0"/>
        <v>3.0474186734594849E-3</v>
      </c>
      <c r="L6" s="45">
        <f t="shared" si="0"/>
        <v>596.5</v>
      </c>
      <c r="M6" s="45">
        <f t="shared" si="0"/>
        <v>6.0888000000000009</v>
      </c>
      <c r="N6" s="45">
        <f t="shared" si="0"/>
        <v>0.3090546093606904</v>
      </c>
      <c r="O6" s="45">
        <f t="shared" si="0"/>
        <v>3631.9883666666669</v>
      </c>
      <c r="P6" s="45">
        <f t="shared" si="0"/>
        <v>0.65837039426442523</v>
      </c>
      <c r="Q6" s="45">
        <f t="shared" si="0"/>
        <v>3.9359956302542139E-2</v>
      </c>
      <c r="R6" s="45">
        <f t="shared" si="0"/>
        <v>0.64826601170693876</v>
      </c>
      <c r="S6" s="45">
        <f t="shared" si="0"/>
        <v>1.0581433300137917E-2</v>
      </c>
      <c r="T6" s="45">
        <f t="shared" si="0"/>
        <v>347.5</v>
      </c>
      <c r="U6" s="45">
        <f t="shared" si="0"/>
        <v>8.7966000000000015</v>
      </c>
      <c r="V6" s="45">
        <f t="shared" si="0"/>
        <v>0.82063618334118904</v>
      </c>
      <c r="W6" s="45">
        <f t="shared" si="0"/>
        <v>3054.9196666666667</v>
      </c>
      <c r="X6" s="45">
        <f t="shared" si="0"/>
        <v>0.84363618124838757</v>
      </c>
      <c r="Y6" s="45">
        <f t="shared" si="0"/>
        <v>0.11626871766715194</v>
      </c>
      <c r="Z6" s="45">
        <f t="shared" si="0"/>
        <v>0.73045752062222946</v>
      </c>
      <c r="AA6" s="45">
        <f t="shared" si="0"/>
        <v>1.0307288907248168E-2</v>
      </c>
      <c r="AB6" s="45">
        <f t="shared" si="0"/>
        <v>400</v>
      </c>
      <c r="AC6" s="45">
        <f t="shared" si="0"/>
        <v>0.28292</v>
      </c>
      <c r="AD6" s="45">
        <f t="shared" si="0"/>
        <v>9.5338355342695622E-2</v>
      </c>
      <c r="AE6" s="45">
        <f t="shared" si="0"/>
        <v>108.43040000000001</v>
      </c>
      <c r="AF6" s="45">
        <f t="shared" si="0"/>
        <v>2.1367535483536863E-2</v>
      </c>
      <c r="AG6" s="45">
        <f t="shared" si="0"/>
        <v>1.778902052749717E-2</v>
      </c>
      <c r="AH6" s="45">
        <f t="shared" si="0"/>
        <v>0.21985919601104545</v>
      </c>
      <c r="AI6" s="45">
        <f t="shared" si="0"/>
        <v>0.1180318449571098</v>
      </c>
      <c r="AJ6" s="45">
        <f t="shared" si="0"/>
        <v>355</v>
      </c>
      <c r="AK6" s="45">
        <f t="shared" si="0"/>
        <v>7.705233333333334</v>
      </c>
      <c r="AL6" s="45">
        <f t="shared" si="0"/>
        <v>0.2150576066941442</v>
      </c>
      <c r="AM6" s="45">
        <f t="shared" si="0"/>
        <v>2734.5383333333334</v>
      </c>
      <c r="AN6" s="45">
        <f t="shared" si="0"/>
        <v>0.9093934779096462</v>
      </c>
      <c r="AO6" s="45">
        <f t="shared" si="0"/>
        <v>0.10271894042083432</v>
      </c>
      <c r="AP6" s="45">
        <f t="shared" si="0"/>
        <v>0.74693447676087676</v>
      </c>
      <c r="AQ6" s="45">
        <f t="shared" si="0"/>
        <v>6.7655028943439059E-3</v>
      </c>
    </row>
    <row r="7" spans="1:43" x14ac:dyDescent="0.3">
      <c r="C7" s="2" t="s">
        <v>11</v>
      </c>
      <c r="D7" s="45">
        <f t="shared" ref="D7:AQ7" si="1">_xlfn.STDEV.S(D4:D5)</f>
        <v>0</v>
      </c>
      <c r="E7" s="45">
        <f t="shared" si="1"/>
        <v>0.12190520907656119</v>
      </c>
      <c r="F7" s="45">
        <f t="shared" si="1"/>
        <v>0.16578848047128839</v>
      </c>
      <c r="G7" s="45">
        <f t="shared" si="1"/>
        <v>121.90520907656118</v>
      </c>
      <c r="H7" s="45" t="e">
        <f t="shared" si="1"/>
        <v>#DIV/0!</v>
      </c>
      <c r="I7" s="45" t="e">
        <f t="shared" si="1"/>
        <v>#DIV/0!</v>
      </c>
      <c r="J7" s="45">
        <f t="shared" si="1"/>
        <v>2.4217898727840136E-3</v>
      </c>
      <c r="K7" s="45">
        <f t="shared" si="1"/>
        <v>4.3129142655593276E-4</v>
      </c>
      <c r="L7" s="45">
        <f t="shared" si="1"/>
        <v>17.677669529663689</v>
      </c>
      <c r="M7" s="45">
        <f t="shared" si="1"/>
        <v>2.168460795638507E-3</v>
      </c>
      <c r="N7" s="45">
        <f t="shared" si="1"/>
        <v>5.5461009118915952E-2</v>
      </c>
      <c r="O7" s="45">
        <f t="shared" si="1"/>
        <v>108.92928109681492</v>
      </c>
      <c r="P7" s="45">
        <f t="shared" si="1"/>
        <v>5.2168569610616623E-3</v>
      </c>
      <c r="Q7" s="45">
        <f t="shared" si="1"/>
        <v>8.27816739582787E-3</v>
      </c>
      <c r="R7" s="45">
        <f t="shared" si="1"/>
        <v>9.6909957685298934E-3</v>
      </c>
      <c r="S7" s="45">
        <f t="shared" si="1"/>
        <v>8.5200141328477825E-3</v>
      </c>
      <c r="T7" s="45">
        <f t="shared" si="1"/>
        <v>3.5355339059327378</v>
      </c>
      <c r="U7" s="45">
        <f t="shared" si="1"/>
        <v>1.074142341074444</v>
      </c>
      <c r="V7" s="45">
        <f t="shared" si="1"/>
        <v>0.56911817388750918</v>
      </c>
      <c r="W7" s="45">
        <f t="shared" si="1"/>
        <v>342.16378596644131</v>
      </c>
      <c r="X7" s="45">
        <f t="shared" si="1"/>
        <v>6.7511749139157265E-2</v>
      </c>
      <c r="Y7" s="45">
        <f t="shared" si="1"/>
        <v>5.9760809298428842E-2</v>
      </c>
      <c r="Z7" s="45">
        <f t="shared" si="1"/>
        <v>4.8163250337495784E-3</v>
      </c>
      <c r="AA7" s="45">
        <f t="shared" si="1"/>
        <v>1.1812579468282859E-2</v>
      </c>
      <c r="AB7" s="45">
        <f t="shared" si="1"/>
        <v>28.284271247461902</v>
      </c>
      <c r="AC7" s="45">
        <f t="shared" si="1"/>
        <v>0.33499890865493875</v>
      </c>
      <c r="AD7" s="45">
        <f t="shared" si="1"/>
        <v>0.1287712048600145</v>
      </c>
      <c r="AE7" s="45">
        <f t="shared" si="1"/>
        <v>125.99737744064359</v>
      </c>
      <c r="AF7" s="45">
        <f t="shared" si="1"/>
        <v>2.2811839038255968E-2</v>
      </c>
      <c r="AG7" s="45">
        <f t="shared" si="1"/>
        <v>2.4126583728598917E-2</v>
      </c>
      <c r="AH7" s="45">
        <f t="shared" si="1"/>
        <v>9.4323007705791051E-2</v>
      </c>
      <c r="AI7" s="45">
        <f t="shared" si="1"/>
        <v>0.1458463190146603</v>
      </c>
      <c r="AJ7" s="45">
        <f t="shared" si="1"/>
        <v>7.0710678118654755</v>
      </c>
      <c r="AK7" s="45">
        <f t="shared" si="1"/>
        <v>0.2317896028729502</v>
      </c>
      <c r="AL7" s="45">
        <f t="shared" si="1"/>
        <v>0.14525067391458527</v>
      </c>
      <c r="AM7" s="45">
        <f t="shared" si="1"/>
        <v>27.80108161365105</v>
      </c>
      <c r="AN7" s="45">
        <f t="shared" si="1"/>
        <v>0.10332369848568349</v>
      </c>
      <c r="AO7" s="45">
        <f t="shared" si="1"/>
        <v>9.7262074824385022E-2</v>
      </c>
      <c r="AP7" s="45">
        <f t="shared" si="1"/>
        <v>1.5133152853073274E-2</v>
      </c>
      <c r="AQ7" s="45">
        <f t="shared" si="1"/>
        <v>5.3037839958754223E-3</v>
      </c>
    </row>
    <row r="9" spans="1:43" x14ac:dyDescent="0.3">
      <c r="C9" s="2" t="s">
        <v>22</v>
      </c>
      <c r="D9" s="105" t="s">
        <v>21</v>
      </c>
      <c r="E9" s="106"/>
      <c r="F9" s="106"/>
      <c r="G9" s="106"/>
      <c r="H9" s="106"/>
      <c r="I9" s="106"/>
      <c r="J9" s="106"/>
      <c r="K9" s="107"/>
      <c r="L9" s="108" t="s">
        <v>26</v>
      </c>
      <c r="M9" s="108"/>
      <c r="N9" s="108"/>
      <c r="O9" s="108"/>
      <c r="P9" s="108"/>
      <c r="Q9" s="108"/>
      <c r="R9" s="108"/>
      <c r="S9" s="108"/>
      <c r="T9" s="105" t="s">
        <v>20</v>
      </c>
      <c r="U9" s="106"/>
      <c r="V9" s="106"/>
      <c r="W9" s="106"/>
      <c r="X9" s="106"/>
      <c r="Y9" s="106"/>
      <c r="Z9" s="106"/>
      <c r="AA9" s="107"/>
      <c r="AB9" s="105" t="s">
        <v>19</v>
      </c>
      <c r="AC9" s="106"/>
      <c r="AD9" s="106"/>
      <c r="AE9" s="106"/>
      <c r="AF9" s="106"/>
      <c r="AG9" s="106"/>
      <c r="AH9" s="106"/>
      <c r="AI9" s="107"/>
      <c r="AJ9" s="105" t="s">
        <v>3</v>
      </c>
      <c r="AK9" s="106"/>
      <c r="AL9" s="106"/>
      <c r="AM9" s="106"/>
      <c r="AN9" s="106"/>
      <c r="AO9" s="106"/>
      <c r="AP9" s="106"/>
      <c r="AQ9" s="107"/>
    </row>
    <row r="10" spans="1:43" ht="15.75" customHeight="1" x14ac:dyDescent="0.3">
      <c r="C10" s="2" t="s">
        <v>17</v>
      </c>
      <c r="D10" s="2" t="s">
        <v>16</v>
      </c>
      <c r="E10" s="2" t="s">
        <v>15</v>
      </c>
      <c r="F10" s="2" t="s">
        <v>11</v>
      </c>
      <c r="G10" s="2" t="s">
        <v>14</v>
      </c>
      <c r="H10" s="2" t="s">
        <v>13</v>
      </c>
      <c r="I10" s="2" t="s">
        <v>11</v>
      </c>
      <c r="J10" s="2" t="s">
        <v>12</v>
      </c>
      <c r="K10" s="2" t="s">
        <v>11</v>
      </c>
      <c r="L10" s="2" t="s">
        <v>16</v>
      </c>
      <c r="M10" s="2" t="s">
        <v>15</v>
      </c>
      <c r="N10" s="2" t="s">
        <v>11</v>
      </c>
      <c r="O10" s="2" t="s">
        <v>14</v>
      </c>
      <c r="P10" s="2" t="s">
        <v>13</v>
      </c>
      <c r="Q10" s="2" t="s">
        <v>11</v>
      </c>
      <c r="R10" s="2" t="s">
        <v>12</v>
      </c>
      <c r="S10" s="2" t="s">
        <v>11</v>
      </c>
      <c r="T10" s="2" t="s">
        <v>16</v>
      </c>
      <c r="U10" s="2" t="s">
        <v>15</v>
      </c>
      <c r="V10" s="2" t="s">
        <v>11</v>
      </c>
      <c r="W10" s="2" t="s">
        <v>14</v>
      </c>
      <c r="X10" s="2" t="s">
        <v>13</v>
      </c>
      <c r="Y10" s="2" t="s">
        <v>11</v>
      </c>
      <c r="Z10" s="2" t="s">
        <v>12</v>
      </c>
      <c r="AA10" s="2" t="s">
        <v>11</v>
      </c>
      <c r="AB10" s="2" t="s">
        <v>16</v>
      </c>
      <c r="AC10" s="2" t="s">
        <v>15</v>
      </c>
      <c r="AD10" s="2" t="s">
        <v>11</v>
      </c>
      <c r="AE10" s="2" t="s">
        <v>14</v>
      </c>
      <c r="AF10" s="2" t="s">
        <v>13</v>
      </c>
      <c r="AG10" s="2" t="s">
        <v>11</v>
      </c>
      <c r="AH10" s="2" t="s">
        <v>12</v>
      </c>
      <c r="AI10" s="2" t="s">
        <v>11</v>
      </c>
      <c r="AJ10" s="2" t="s">
        <v>16</v>
      </c>
      <c r="AK10" s="2" t="s">
        <v>15</v>
      </c>
      <c r="AL10" s="2" t="s">
        <v>11</v>
      </c>
      <c r="AM10" s="2" t="s">
        <v>14</v>
      </c>
      <c r="AN10" s="2" t="s">
        <v>13</v>
      </c>
      <c r="AO10" s="2" t="s">
        <v>11</v>
      </c>
      <c r="AP10" s="2" t="s">
        <v>12</v>
      </c>
      <c r="AQ10" s="2" t="s">
        <v>11</v>
      </c>
    </row>
    <row r="11" spans="1:43" x14ac:dyDescent="0.3">
      <c r="C11" s="2" t="s">
        <v>10</v>
      </c>
      <c r="D11" s="45">
        <v>1000</v>
      </c>
      <c r="E11" s="45">
        <f>(0.162*C24-0.098*C28)*$A$2</f>
        <v>5.3676000000000013</v>
      </c>
      <c r="F11" s="45"/>
      <c r="G11" s="45">
        <f t="shared" ref="G11:G16" si="2">D11*E11</f>
        <v>5367.6000000000013</v>
      </c>
      <c r="H11" s="45"/>
      <c r="I11" s="45"/>
      <c r="J11" s="45">
        <f>C24/C20</f>
        <v>0.63724137931034486</v>
      </c>
      <c r="K11" s="45"/>
      <c r="L11" s="45">
        <v>609</v>
      </c>
      <c r="M11" s="45">
        <f>(0.162*D24-0.098*D28)*$A$2</f>
        <v>5.6938000000000004</v>
      </c>
      <c r="N11" s="45"/>
      <c r="O11" s="45">
        <f t="shared" ref="O11:O16" si="3">L11*M11</f>
        <v>3467.5242000000003</v>
      </c>
      <c r="P11" s="45">
        <f t="shared" ref="P11:P16" si="4">O11/G11</f>
        <v>0.64601017214397483</v>
      </c>
      <c r="Q11" s="45"/>
      <c r="R11" s="45">
        <f>D24/D20</f>
        <v>0.660377358490566</v>
      </c>
      <c r="S11" s="45"/>
      <c r="T11" s="45">
        <v>345</v>
      </c>
      <c r="U11" s="45">
        <f>(0.162*E24-0.098*E28)*$A$2</f>
        <v>9.641</v>
      </c>
      <c r="V11" s="45"/>
      <c r="W11" s="45">
        <f t="shared" ref="W11:W16" si="5">T11*U11</f>
        <v>3326.145</v>
      </c>
      <c r="X11" s="45">
        <f t="shared" ref="X11:X16" si="6">W11/O11</f>
        <v>0.95922762413597562</v>
      </c>
      <c r="Y11" s="45"/>
      <c r="Z11" s="45">
        <f>E24/E20</f>
        <v>0.73595004460303293</v>
      </c>
      <c r="AA11" s="45"/>
      <c r="AB11" s="45">
        <v>420</v>
      </c>
      <c r="AC11" s="45">
        <f>(0.162*F24-0.098*F28)*10</f>
        <v>4.9680000000000002E-2</v>
      </c>
      <c r="AD11" s="45"/>
      <c r="AE11" s="45">
        <f t="shared" ref="AE11:AE16" si="7">AB11*AC11</f>
        <v>20.865600000000001</v>
      </c>
      <c r="AF11" s="45">
        <f t="shared" ref="AF11:AF16" si="8">AE11/O11</f>
        <v>6.0174345719057991E-3</v>
      </c>
      <c r="AG11" s="45"/>
      <c r="AH11" s="45">
        <f>F24/F20</f>
        <v>0.16785714285714284</v>
      </c>
      <c r="AI11" s="45"/>
      <c r="AJ11" s="45">
        <v>350</v>
      </c>
      <c r="AK11" s="45">
        <f>(0.162*G24-0.098*G28)*$A$2</f>
        <v>7.7644000000000002</v>
      </c>
      <c r="AL11" s="45"/>
      <c r="AM11" s="45">
        <f t="shared" ref="AM11:AM16" si="9">AJ11*AK11</f>
        <v>2717.54</v>
      </c>
      <c r="AN11" s="45">
        <f t="shared" ref="AN11:AN16" si="10">AM11/W11</f>
        <v>0.81702391206637115</v>
      </c>
      <c r="AO11" s="45"/>
      <c r="AP11" s="45">
        <f>G24/G20</f>
        <v>0.73971078976640714</v>
      </c>
      <c r="AQ11" s="2"/>
    </row>
    <row r="12" spans="1:43" x14ac:dyDescent="0.3">
      <c r="C12" s="2" t="s">
        <v>9</v>
      </c>
      <c r="D12" s="45">
        <v>1000</v>
      </c>
      <c r="E12" s="45">
        <f>(0.162*C25-0.098*C29)*$A$2</f>
        <v>6.043000000000001</v>
      </c>
      <c r="F12" s="45"/>
      <c r="G12" s="45">
        <f t="shared" si="2"/>
        <v>6043.0000000000009</v>
      </c>
      <c r="H12" s="45"/>
      <c r="I12" s="45"/>
      <c r="J12" s="45">
        <f>C25/C21</f>
        <v>0.63202933985330079</v>
      </c>
      <c r="K12" s="45"/>
      <c r="L12" s="45">
        <v>609</v>
      </c>
      <c r="M12" s="45">
        <f>(0.162*D25-0.098*D29)*$A$2</f>
        <v>6.3465999999999996</v>
      </c>
      <c r="N12" s="45"/>
      <c r="O12" s="45">
        <f t="shared" si="3"/>
        <v>3865.0793999999996</v>
      </c>
      <c r="P12" s="45">
        <f t="shared" si="4"/>
        <v>0.63959612775111685</v>
      </c>
      <c r="Q12" s="45"/>
      <c r="R12" s="45">
        <f>D25/D21</f>
        <v>0.65264423076923084</v>
      </c>
      <c r="S12" s="45"/>
      <c r="T12" s="45">
        <v>345</v>
      </c>
      <c r="U12" s="45">
        <f>(0.162*E25-0.098*E29)*$A$2</f>
        <v>9.1020000000000021</v>
      </c>
      <c r="V12" s="45"/>
      <c r="W12" s="45">
        <f t="shared" si="5"/>
        <v>3140.1900000000005</v>
      </c>
      <c r="X12" s="45">
        <f t="shared" si="6"/>
        <v>0.81245161483616635</v>
      </c>
      <c r="Y12" s="45"/>
      <c r="Z12" s="45">
        <f>E25/E21</f>
        <v>0.73207547169811316</v>
      </c>
      <c r="AA12" s="45"/>
      <c r="AB12" s="45">
        <v>420</v>
      </c>
      <c r="AC12" s="45">
        <f>(0.162*F25-0.098*F29)*10</f>
        <v>4.7120000000000002E-2</v>
      </c>
      <c r="AD12" s="45"/>
      <c r="AE12" s="45">
        <f t="shared" si="7"/>
        <v>19.790400000000002</v>
      </c>
      <c r="AF12" s="45">
        <f t="shared" si="8"/>
        <v>5.1203087833072728E-3</v>
      </c>
      <c r="AG12" s="45"/>
      <c r="AH12" s="45">
        <f>F25/F21</f>
        <v>0.15357142857142855</v>
      </c>
      <c r="AI12" s="45"/>
      <c r="AJ12" s="45">
        <v>350</v>
      </c>
      <c r="AK12" s="45">
        <f>(0.162*G25-0.098*G29)*$A$2</f>
        <v>7.8552000000000008</v>
      </c>
      <c r="AL12" s="45"/>
      <c r="AM12" s="45">
        <f t="shared" si="9"/>
        <v>2749.32</v>
      </c>
      <c r="AN12" s="45">
        <f t="shared" si="10"/>
        <v>0.87552664010776404</v>
      </c>
      <c r="AO12" s="45"/>
      <c r="AP12" s="45">
        <f>G25/G21</f>
        <v>0.73464912280701755</v>
      </c>
      <c r="AQ12" s="2"/>
    </row>
    <row r="13" spans="1:43" x14ac:dyDescent="0.3">
      <c r="C13" s="2" t="s">
        <v>8</v>
      </c>
      <c r="D13" s="45">
        <v>1000</v>
      </c>
      <c r="E13" s="45">
        <f>(0.162*C26-0.098*C30)*$A$2</f>
        <v>5.4162000000000008</v>
      </c>
      <c r="F13" s="45"/>
      <c r="G13" s="45">
        <f t="shared" si="2"/>
        <v>5416.2000000000007</v>
      </c>
      <c r="H13" s="45"/>
      <c r="I13" s="45"/>
      <c r="J13" s="45">
        <f>C26/C22</f>
        <v>0.63611491108071139</v>
      </c>
      <c r="K13" s="45"/>
      <c r="L13" s="45">
        <v>609</v>
      </c>
      <c r="M13" s="45">
        <f>(0.162*D26-0.098*D30)*$A$2</f>
        <v>6.2305999999999999</v>
      </c>
      <c r="N13" s="45"/>
      <c r="O13" s="45">
        <f t="shared" si="3"/>
        <v>3794.4353999999998</v>
      </c>
      <c r="P13" s="45">
        <f t="shared" si="4"/>
        <v>0.70057150769912468</v>
      </c>
      <c r="Q13" s="45"/>
      <c r="R13" s="45">
        <f>D26/D22</f>
        <v>0.65233415233415237</v>
      </c>
      <c r="S13" s="45"/>
      <c r="T13" s="45">
        <v>345</v>
      </c>
      <c r="U13" s="45">
        <f>(0.162*E26-0.098*E30)*$A$2</f>
        <v>9.9253999999999998</v>
      </c>
      <c r="V13" s="45"/>
      <c r="W13" s="45">
        <f t="shared" si="5"/>
        <v>3424.2629999999999</v>
      </c>
      <c r="X13" s="45">
        <f t="shared" si="6"/>
        <v>0.90244335165121015</v>
      </c>
      <c r="Y13" s="45"/>
      <c r="Z13" s="45">
        <f>E26/E22</f>
        <v>0.73356401384083048</v>
      </c>
      <c r="AA13" s="45"/>
      <c r="AB13" s="45">
        <v>420</v>
      </c>
      <c r="AC13" s="45">
        <f>(0.162*F26-0.098*F30)*10</f>
        <v>4.1320000000000003E-2</v>
      </c>
      <c r="AD13" s="45"/>
      <c r="AE13" s="45">
        <f t="shared" si="7"/>
        <v>17.354400000000002</v>
      </c>
      <c r="AF13" s="45">
        <f t="shared" si="8"/>
        <v>4.5736448695371124E-3</v>
      </c>
      <c r="AG13" s="45"/>
      <c r="AH13" s="45">
        <f>F26/F22</f>
        <v>0.1380597014925373</v>
      </c>
      <c r="AI13" s="45"/>
      <c r="AJ13" s="45">
        <v>350</v>
      </c>
      <c r="AK13" s="45">
        <f>(0.162*G26-0.098*G30)*$A$2</f>
        <v>7.9878</v>
      </c>
      <c r="AL13" s="45"/>
      <c r="AM13" s="45">
        <f t="shared" si="9"/>
        <v>2795.73</v>
      </c>
      <c r="AN13" s="45">
        <f t="shared" si="10"/>
        <v>0.81644721798530084</v>
      </c>
      <c r="AO13" s="45"/>
      <c r="AP13" s="45">
        <f>G26/G22</f>
        <v>0.73434125269978401</v>
      </c>
      <c r="AQ13" s="2"/>
    </row>
    <row r="14" spans="1:43" x14ac:dyDescent="0.3">
      <c r="C14" s="2" t="s">
        <v>7</v>
      </c>
      <c r="D14" s="45">
        <v>1000</v>
      </c>
      <c r="E14" s="45">
        <f>(0.162*J24-0.098*J28)*$A$2</f>
        <v>5.3642000000000003</v>
      </c>
      <c r="F14" s="45"/>
      <c r="G14" s="45">
        <f t="shared" si="2"/>
        <v>5364.2000000000007</v>
      </c>
      <c r="H14" s="45"/>
      <c r="I14" s="45"/>
      <c r="J14" s="45">
        <f>J24/J20</f>
        <v>0.63511659807956111</v>
      </c>
      <c r="K14" s="45"/>
      <c r="L14" s="45">
        <v>584</v>
      </c>
      <c r="M14" s="45">
        <f>(0.162*K24-0.098*K28)*$A$2</f>
        <v>6.1543999999999999</v>
      </c>
      <c r="N14" s="45"/>
      <c r="O14" s="45">
        <f t="shared" si="3"/>
        <v>3594.1695999999997</v>
      </c>
      <c r="P14" s="45">
        <f t="shared" si="4"/>
        <v>0.67002900712128544</v>
      </c>
      <c r="Q14" s="45"/>
      <c r="R14" s="45">
        <f>K24/K20</f>
        <v>0.66053921568627461</v>
      </c>
      <c r="S14" s="45"/>
      <c r="T14" s="45">
        <v>350</v>
      </c>
      <c r="U14" s="45">
        <f>(0.162*L24-0.098*L28)*$A$2</f>
        <v>7.4644000000000013</v>
      </c>
      <c r="V14" s="45"/>
      <c r="W14" s="45">
        <f t="shared" si="5"/>
        <v>2612.5400000000004</v>
      </c>
      <c r="X14" s="45">
        <f t="shared" si="6"/>
        <v>0.72688278260436034</v>
      </c>
      <c r="Y14" s="45"/>
      <c r="Z14" s="45">
        <f>L24/L20</f>
        <v>0.74858437146092871</v>
      </c>
      <c r="AA14" s="45"/>
      <c r="AB14" s="45">
        <v>380</v>
      </c>
      <c r="AC14" s="45">
        <f>(0.162*M24-0.098*M28)*$A$2</f>
        <v>0.65160000000000007</v>
      </c>
      <c r="AD14" s="45"/>
      <c r="AE14" s="45">
        <f t="shared" si="7"/>
        <v>247.60800000000003</v>
      </c>
      <c r="AF14" s="45">
        <f t="shared" si="8"/>
        <v>6.8891573730966965E-2</v>
      </c>
      <c r="AG14" s="45"/>
      <c r="AH14" s="45">
        <f>M24/M20</f>
        <v>0.2167832167832168</v>
      </c>
      <c r="AI14" s="45"/>
      <c r="AJ14" s="45">
        <v>360</v>
      </c>
      <c r="AK14" s="45">
        <f>(0.162*N24-0.098*N28)*$A$2</f>
        <v>7.8296000000000019</v>
      </c>
      <c r="AL14" s="45"/>
      <c r="AM14" s="45">
        <f t="shared" si="9"/>
        <v>2818.6560000000009</v>
      </c>
      <c r="AN14" s="45">
        <f t="shared" si="10"/>
        <v>1.0788948685953135</v>
      </c>
      <c r="AO14" s="45"/>
      <c r="AP14" s="45">
        <f>N24/N20</f>
        <v>0.74831460674157302</v>
      </c>
      <c r="AQ14" s="2"/>
    </row>
    <row r="15" spans="1:43" x14ac:dyDescent="0.3">
      <c r="C15" s="2" t="s">
        <v>6</v>
      </c>
      <c r="D15" s="45">
        <v>1000</v>
      </c>
      <c r="E15" s="45">
        <f>(0.162*J25-0.098*J29)*$A$2</f>
        <v>5.3449999999999998</v>
      </c>
      <c r="F15" s="45"/>
      <c r="G15" s="45">
        <f t="shared" si="2"/>
        <v>5345</v>
      </c>
      <c r="H15" s="45"/>
      <c r="I15" s="45"/>
      <c r="J15" s="45">
        <f>J25/J21</f>
        <v>0.62841530054644812</v>
      </c>
      <c r="K15" s="45"/>
      <c r="L15" s="45">
        <v>584</v>
      </c>
      <c r="M15" s="45">
        <f>(0.162*K25-0.098*K29)*$A$2</f>
        <v>6.3172000000000006</v>
      </c>
      <c r="N15" s="45"/>
      <c r="O15" s="45">
        <f t="shared" si="3"/>
        <v>3689.2448000000004</v>
      </c>
      <c r="P15" s="45">
        <f t="shared" si="4"/>
        <v>0.69022353601496733</v>
      </c>
      <c r="Q15" s="45"/>
      <c r="R15" s="45">
        <f>K25/K21</f>
        <v>0.63066202090592338</v>
      </c>
      <c r="S15" s="45"/>
      <c r="T15" s="45">
        <v>350</v>
      </c>
      <c r="U15" s="45">
        <f>(0.162*L25-0.098*L29)*$A$2</f>
        <v>7.2054000000000009</v>
      </c>
      <c r="V15" s="45"/>
      <c r="W15" s="45">
        <f t="shared" si="5"/>
        <v>2521.8900000000003</v>
      </c>
      <c r="X15" s="45">
        <f t="shared" si="6"/>
        <v>0.68357892650550056</v>
      </c>
      <c r="Y15" s="45"/>
      <c r="Z15" s="45">
        <f>L25/L21</f>
        <v>0.715606936416185</v>
      </c>
      <c r="AA15" s="45"/>
      <c r="AB15" s="45">
        <v>380</v>
      </c>
      <c r="AC15" s="45"/>
      <c r="AD15" s="45"/>
      <c r="AE15" s="45">
        <f t="shared" si="7"/>
        <v>0</v>
      </c>
      <c r="AF15" s="45">
        <f t="shared" si="8"/>
        <v>0</v>
      </c>
      <c r="AG15" s="45"/>
      <c r="AH15" s="45">
        <f>M25/M21</f>
        <v>0.53418803418803418</v>
      </c>
      <c r="AI15" s="45"/>
      <c r="AJ15" s="45">
        <v>360</v>
      </c>
      <c r="AK15" s="45">
        <f>(0.162*N25-0.098*N29)*$A$2</f>
        <v>7.5938000000000008</v>
      </c>
      <c r="AL15" s="45"/>
      <c r="AM15" s="45">
        <f t="shared" si="9"/>
        <v>2733.7680000000005</v>
      </c>
      <c r="AN15" s="45">
        <f t="shared" si="10"/>
        <v>1.0840155597587524</v>
      </c>
      <c r="AO15" s="45"/>
      <c r="AP15" s="45">
        <f>N25/N21</f>
        <v>0.75555555555555565</v>
      </c>
      <c r="AQ15" s="2"/>
    </row>
    <row r="16" spans="1:43" x14ac:dyDescent="0.3">
      <c r="C16" s="2" t="s">
        <v>5</v>
      </c>
      <c r="D16" s="45">
        <v>1000</v>
      </c>
      <c r="E16" s="45">
        <f>(0.162*J26-0.098*J30)*$A$2</f>
        <v>5.6003999999999996</v>
      </c>
      <c r="F16" s="45"/>
      <c r="G16" s="45">
        <f t="shared" si="2"/>
        <v>5600.4</v>
      </c>
      <c r="H16" s="45"/>
      <c r="I16" s="45"/>
      <c r="J16" s="45">
        <f>J26/J22</f>
        <v>0.63157894736842102</v>
      </c>
      <c r="K16" s="45"/>
      <c r="L16" s="45">
        <v>584</v>
      </c>
      <c r="M16" s="45">
        <f>(0.162*K26-0.098*K30)*$A$2</f>
        <v>5.7902000000000005</v>
      </c>
      <c r="N16" s="45"/>
      <c r="O16" s="45">
        <f t="shared" si="3"/>
        <v>3381.4768000000004</v>
      </c>
      <c r="P16" s="45">
        <f t="shared" si="4"/>
        <v>0.6037920148560818</v>
      </c>
      <c r="Q16" s="45"/>
      <c r="R16" s="45">
        <f>K26/K22</f>
        <v>0.63303909205548548</v>
      </c>
      <c r="S16" s="45"/>
      <c r="T16" s="45">
        <v>350</v>
      </c>
      <c r="U16" s="45">
        <f>(0.162*L26-0.098*L30)*$A$2</f>
        <v>9.4413999999999998</v>
      </c>
      <c r="V16" s="45"/>
      <c r="W16" s="45">
        <f t="shared" si="5"/>
        <v>3304.49</v>
      </c>
      <c r="X16" s="45">
        <f t="shared" si="6"/>
        <v>0.97723278775711231</v>
      </c>
      <c r="Y16" s="45"/>
      <c r="Z16" s="45">
        <f>L26/L22</f>
        <v>0.71696428571428572</v>
      </c>
      <c r="AA16" s="45"/>
      <c r="AB16" s="45">
        <v>380</v>
      </c>
      <c r="AC16" s="45">
        <f>(0.162*M26-0.098*M30)*$A$2</f>
        <v>0.38799999999999996</v>
      </c>
      <c r="AD16" s="45"/>
      <c r="AE16" s="45">
        <f t="shared" si="7"/>
        <v>147.43999999999997</v>
      </c>
      <c r="AF16" s="45">
        <f t="shared" si="8"/>
        <v>4.3602250945504031E-2</v>
      </c>
      <c r="AG16" s="45"/>
      <c r="AH16" s="45">
        <f>M26/M22</f>
        <v>0.10869565217391303</v>
      </c>
      <c r="AI16" s="45"/>
      <c r="AJ16" s="45">
        <v>360</v>
      </c>
      <c r="AK16" s="45">
        <f>(0.162*N26-0.098*N30)*$A$2</f>
        <v>7.2005999999999988</v>
      </c>
      <c r="AL16" s="45"/>
      <c r="AM16" s="45">
        <f t="shared" si="9"/>
        <v>2592.2159999999994</v>
      </c>
      <c r="AN16" s="45">
        <f t="shared" si="10"/>
        <v>0.7844526689443756</v>
      </c>
      <c r="AO16" s="45"/>
      <c r="AP16" s="45">
        <f>N26/N22</f>
        <v>0.76903553299492378</v>
      </c>
      <c r="AQ16" s="2"/>
    </row>
    <row r="18" spans="2:19" x14ac:dyDescent="0.3">
      <c r="B18" s="108" t="s">
        <v>78</v>
      </c>
      <c r="C18" s="108"/>
      <c r="D18" s="108"/>
      <c r="E18" s="108"/>
      <c r="F18" s="108"/>
      <c r="G18" s="108"/>
      <c r="I18" s="108" t="s">
        <v>79</v>
      </c>
      <c r="J18" s="108"/>
      <c r="K18" s="108"/>
      <c r="L18" s="108"/>
      <c r="M18" s="108"/>
      <c r="N18" s="108"/>
    </row>
    <row r="19" spans="2:19" x14ac:dyDescent="0.3">
      <c r="B19" s="2" t="s">
        <v>45</v>
      </c>
      <c r="C19" s="2" t="s">
        <v>0</v>
      </c>
      <c r="D19" s="2" t="s">
        <v>1</v>
      </c>
      <c r="E19" s="2" t="s">
        <v>2</v>
      </c>
      <c r="F19" s="2" t="s">
        <v>4</v>
      </c>
      <c r="G19" s="2" t="s">
        <v>3</v>
      </c>
      <c r="I19" s="2" t="s">
        <v>45</v>
      </c>
      <c r="J19" s="2" t="s">
        <v>0</v>
      </c>
      <c r="K19" s="2" t="s">
        <v>1</v>
      </c>
      <c r="L19" s="2" t="s">
        <v>2</v>
      </c>
      <c r="M19" s="2" t="s">
        <v>4</v>
      </c>
      <c r="N19" s="2" t="s">
        <v>3</v>
      </c>
    </row>
    <row r="20" spans="2:19" x14ac:dyDescent="0.3">
      <c r="B20" s="2">
        <v>280</v>
      </c>
      <c r="C20" s="13">
        <v>0.72499999999999998</v>
      </c>
      <c r="D20" s="13">
        <v>0.74199999999999999</v>
      </c>
      <c r="E20" s="13">
        <v>1.121</v>
      </c>
      <c r="F20" s="13">
        <v>0.28000000000000003</v>
      </c>
      <c r="G20" s="13">
        <v>0.89900000000000002</v>
      </c>
      <c r="I20" s="2">
        <v>280</v>
      </c>
      <c r="J20" s="13">
        <v>0.72899999999999998</v>
      </c>
      <c r="K20" s="13">
        <v>0.81599999999999995</v>
      </c>
      <c r="L20" s="13">
        <v>0.88300000000000001</v>
      </c>
      <c r="M20" s="13">
        <v>0.28599999999999998</v>
      </c>
      <c r="N20" s="13">
        <v>0.89</v>
      </c>
      <c r="Q20" s="19"/>
      <c r="R20" s="19"/>
      <c r="S20" s="19"/>
    </row>
    <row r="21" spans="2:19" x14ac:dyDescent="0.3">
      <c r="B21" s="2">
        <v>280</v>
      </c>
      <c r="C21" s="13">
        <v>0.81799999999999995</v>
      </c>
      <c r="D21" s="13">
        <v>0.83199999999999996</v>
      </c>
      <c r="E21" s="13">
        <v>1.06</v>
      </c>
      <c r="F21" s="13">
        <v>0.28000000000000003</v>
      </c>
      <c r="G21" s="13">
        <v>0.91200000000000003</v>
      </c>
      <c r="I21" s="2">
        <v>280</v>
      </c>
      <c r="J21" s="13">
        <v>0.73199999999999998</v>
      </c>
      <c r="K21" s="13">
        <v>0.86099999999999999</v>
      </c>
      <c r="L21" s="13">
        <v>0.86499999999999999</v>
      </c>
      <c r="M21" s="13">
        <v>0.46800000000000003</v>
      </c>
      <c r="N21" s="13">
        <v>0.85499999999999998</v>
      </c>
      <c r="Q21" s="19"/>
      <c r="R21" s="19"/>
      <c r="S21" s="19"/>
    </row>
    <row r="22" spans="2:19" x14ac:dyDescent="0.3">
      <c r="B22" s="2">
        <v>280</v>
      </c>
      <c r="C22" s="13">
        <v>0.73099999999999998</v>
      </c>
      <c r="D22" s="13">
        <v>0.81399999999999995</v>
      </c>
      <c r="E22" s="13">
        <v>1.1559999999999999</v>
      </c>
      <c r="F22" s="13">
        <v>0.26800000000000002</v>
      </c>
      <c r="G22" s="13">
        <v>0.92600000000000005</v>
      </c>
      <c r="I22" s="2">
        <v>280</v>
      </c>
      <c r="J22" s="13">
        <v>0.76</v>
      </c>
      <c r="K22" s="13">
        <v>0.79300000000000004</v>
      </c>
      <c r="L22" s="13">
        <v>1.1200000000000001</v>
      </c>
      <c r="M22" s="13">
        <v>0.27600000000000002</v>
      </c>
      <c r="N22" s="13">
        <v>0.78800000000000003</v>
      </c>
      <c r="Q22" s="19"/>
      <c r="R22" s="19"/>
      <c r="S22" s="19"/>
    </row>
    <row r="23" spans="2:19" x14ac:dyDescent="0.3">
      <c r="B23" s="2"/>
      <c r="C23" s="2"/>
      <c r="D23" s="2"/>
      <c r="E23" s="2"/>
      <c r="F23" s="2"/>
      <c r="G23" s="2"/>
      <c r="I23" s="2"/>
      <c r="J23" s="2"/>
      <c r="K23" s="2"/>
      <c r="L23" s="2"/>
      <c r="M23" s="2"/>
      <c r="N23" s="2"/>
    </row>
    <row r="24" spans="2:19" x14ac:dyDescent="0.3">
      <c r="B24" s="2">
        <v>620</v>
      </c>
      <c r="C24" s="13">
        <v>0.46200000000000002</v>
      </c>
      <c r="D24" s="13">
        <v>0.49</v>
      </c>
      <c r="E24" s="13">
        <v>0.82499999999999996</v>
      </c>
      <c r="F24" s="13">
        <v>4.7E-2</v>
      </c>
      <c r="G24" s="13">
        <v>0.66500000000000004</v>
      </c>
      <c r="I24" s="2">
        <v>620</v>
      </c>
      <c r="J24" s="13">
        <v>0.46300000000000002</v>
      </c>
      <c r="K24" s="13">
        <v>0.53900000000000003</v>
      </c>
      <c r="L24" s="13">
        <v>0.66100000000000003</v>
      </c>
      <c r="M24" s="13">
        <v>6.2E-2</v>
      </c>
      <c r="N24" s="13">
        <v>0.66600000000000004</v>
      </c>
      <c r="Q24" s="19"/>
      <c r="R24" s="19"/>
      <c r="S24" s="19"/>
    </row>
    <row r="25" spans="2:19" x14ac:dyDescent="0.3">
      <c r="B25" s="2">
        <v>620</v>
      </c>
      <c r="C25" s="13">
        <v>0.51700000000000002</v>
      </c>
      <c r="D25" s="13">
        <v>0.54300000000000004</v>
      </c>
      <c r="E25" s="13">
        <v>0.77600000000000002</v>
      </c>
      <c r="F25" s="13">
        <v>4.2999999999999997E-2</v>
      </c>
      <c r="G25" s="13">
        <v>0.67</v>
      </c>
      <c r="I25" s="2">
        <v>620</v>
      </c>
      <c r="J25" s="13">
        <v>0.46</v>
      </c>
      <c r="K25" s="13">
        <v>0.54300000000000004</v>
      </c>
      <c r="L25" s="13">
        <v>0.61899999999999999</v>
      </c>
      <c r="M25" s="13">
        <v>0.25</v>
      </c>
      <c r="N25" s="13">
        <v>0.64600000000000002</v>
      </c>
      <c r="Q25" s="19"/>
      <c r="R25" s="19"/>
      <c r="S25" s="19"/>
    </row>
    <row r="26" spans="2:19" x14ac:dyDescent="0.3">
      <c r="B26" s="2">
        <v>620</v>
      </c>
      <c r="C26" s="13">
        <v>0.46500000000000002</v>
      </c>
      <c r="D26" s="13">
        <v>0.53100000000000003</v>
      </c>
      <c r="E26" s="13">
        <v>0.84799999999999998</v>
      </c>
      <c r="F26" s="13">
        <v>3.6999999999999998E-2</v>
      </c>
      <c r="G26" s="13">
        <v>0.68</v>
      </c>
      <c r="I26" s="2">
        <v>620</v>
      </c>
      <c r="J26" s="13">
        <v>0.48</v>
      </c>
      <c r="K26" s="13">
        <v>0.502</v>
      </c>
      <c r="L26" s="13">
        <v>0.80300000000000005</v>
      </c>
      <c r="M26" s="13">
        <v>0.03</v>
      </c>
      <c r="N26" s="13">
        <v>0.60599999999999998</v>
      </c>
      <c r="Q26" s="19"/>
      <c r="R26" s="19"/>
      <c r="S26" s="19"/>
    </row>
    <row r="27" spans="2:19" x14ac:dyDescent="0.3">
      <c r="B27" s="2"/>
      <c r="C27" s="13"/>
      <c r="D27" s="13"/>
      <c r="E27" s="13"/>
      <c r="F27" s="13"/>
      <c r="G27" s="13"/>
      <c r="I27" s="2"/>
      <c r="J27" s="13"/>
      <c r="K27" s="13"/>
      <c r="L27" s="13"/>
      <c r="M27" s="13"/>
      <c r="N27" s="13"/>
    </row>
    <row r="28" spans="2:19" x14ac:dyDescent="0.3">
      <c r="B28" s="2">
        <v>650</v>
      </c>
      <c r="C28" s="13">
        <v>0.216</v>
      </c>
      <c r="D28" s="13">
        <v>0.22900000000000001</v>
      </c>
      <c r="E28" s="13">
        <v>0.38</v>
      </c>
      <c r="F28" s="13">
        <v>2.7E-2</v>
      </c>
      <c r="G28" s="13">
        <v>0.307</v>
      </c>
      <c r="I28" s="2">
        <v>650</v>
      </c>
      <c r="J28" s="13">
        <v>0.218</v>
      </c>
      <c r="K28" s="13">
        <v>0.26300000000000001</v>
      </c>
      <c r="L28" s="13">
        <v>0.33100000000000002</v>
      </c>
      <c r="M28" s="13">
        <v>3.5999999999999997E-2</v>
      </c>
      <c r="N28" s="13">
        <v>0.30199999999999999</v>
      </c>
      <c r="Q28" s="19"/>
      <c r="R28" s="19"/>
      <c r="S28" s="19"/>
    </row>
    <row r="29" spans="2:19" x14ac:dyDescent="0.3">
      <c r="B29" s="2">
        <v>650</v>
      </c>
      <c r="C29" s="13">
        <v>0.23799999999999999</v>
      </c>
      <c r="D29" s="13">
        <v>0.25</v>
      </c>
      <c r="E29" s="13">
        <v>0.35399999999999998</v>
      </c>
      <c r="F29" s="13">
        <v>2.3E-2</v>
      </c>
      <c r="G29" s="13">
        <v>0.30599999999999999</v>
      </c>
      <c r="I29" s="2">
        <v>650</v>
      </c>
      <c r="J29" s="13">
        <v>0.215</v>
      </c>
      <c r="K29" s="13">
        <v>0.253</v>
      </c>
      <c r="L29" s="13">
        <v>0.28799999999999998</v>
      </c>
      <c r="M29" s="13">
        <v>0.12</v>
      </c>
      <c r="N29" s="13">
        <v>0.29299999999999998</v>
      </c>
      <c r="Q29" s="19"/>
      <c r="R29" s="19"/>
      <c r="S29" s="19"/>
    </row>
    <row r="30" spans="2:19" x14ac:dyDescent="0.3">
      <c r="B30" s="2">
        <v>650</v>
      </c>
      <c r="C30" s="13">
        <v>0.216</v>
      </c>
      <c r="D30" s="13">
        <v>0.24199999999999999</v>
      </c>
      <c r="E30" s="13">
        <v>0.38900000000000001</v>
      </c>
      <c r="F30" s="13">
        <v>1.9E-2</v>
      </c>
      <c r="G30" s="13">
        <v>0.309</v>
      </c>
      <c r="I30" s="2">
        <v>650</v>
      </c>
      <c r="J30" s="13">
        <v>0.222</v>
      </c>
      <c r="K30" s="13">
        <v>0.23899999999999999</v>
      </c>
      <c r="L30" s="13">
        <v>0.36399999999999999</v>
      </c>
      <c r="M30" s="13">
        <v>0.01</v>
      </c>
      <c r="N30" s="13">
        <v>0.26700000000000002</v>
      </c>
      <c r="Q30" s="19"/>
      <c r="R30" s="19"/>
      <c r="S30" s="19"/>
    </row>
    <row r="31" spans="2:19" x14ac:dyDescent="0.3">
      <c r="K31" s="19"/>
      <c r="L31" s="19"/>
      <c r="S31" s="19"/>
    </row>
  </sheetData>
  <mergeCells count="12">
    <mergeCell ref="AB2:AI2"/>
    <mergeCell ref="AJ2:AQ2"/>
    <mergeCell ref="B18:G18"/>
    <mergeCell ref="I18:N18"/>
    <mergeCell ref="D9:K9"/>
    <mergeCell ref="T9:AA9"/>
    <mergeCell ref="AB9:AI9"/>
    <mergeCell ref="AJ9:AQ9"/>
    <mergeCell ref="L9:S9"/>
    <mergeCell ref="D2:K2"/>
    <mergeCell ref="L2:S2"/>
    <mergeCell ref="T2:AA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B3BFC-48A4-4F0F-9306-9C1BE58F556C}">
  <dimension ref="A1:BE39"/>
  <sheetViews>
    <sheetView zoomScale="55" zoomScaleNormal="55" workbookViewId="0">
      <selection activeCell="L35" sqref="L35"/>
    </sheetView>
  </sheetViews>
  <sheetFormatPr defaultColWidth="9.109375" defaultRowHeight="14.4" x14ac:dyDescent="0.3"/>
  <cols>
    <col min="1" max="1" width="9.109375" style="3"/>
    <col min="2" max="2" width="28.21875" style="3" customWidth="1"/>
    <col min="3" max="3" width="23.33203125" style="3" bestFit="1" customWidth="1"/>
    <col min="4" max="4" width="18.109375" style="3" bestFit="1" customWidth="1"/>
    <col min="5" max="5" width="19.88671875" style="3" bestFit="1" customWidth="1"/>
    <col min="6" max="7" width="13.88671875" style="3" bestFit="1" customWidth="1"/>
    <col min="8" max="8" width="16.6640625" style="3" customWidth="1"/>
    <col min="9" max="10" width="9.109375" style="3"/>
    <col min="11" max="11" width="11" style="3" bestFit="1" customWidth="1"/>
    <col min="12" max="12" width="12.44140625" style="3" customWidth="1"/>
    <col min="13" max="13" width="11.77734375" style="3" customWidth="1"/>
    <col min="14" max="14" width="17.77734375" style="3" customWidth="1"/>
    <col min="15" max="15" width="19.21875" style="3" customWidth="1"/>
    <col min="16" max="16" width="14.33203125" style="3" bestFit="1" customWidth="1"/>
    <col min="17" max="17" width="17.33203125" style="3" bestFit="1" customWidth="1"/>
    <col min="18" max="18" width="14.33203125" style="3" bestFit="1" customWidth="1"/>
    <col min="19" max="19" width="7.44140625" style="3" customWidth="1"/>
    <col min="20" max="20" width="7.6640625" style="3" customWidth="1"/>
    <col min="21" max="16384" width="9.109375" style="3"/>
  </cols>
  <sheetData>
    <row r="1" spans="1:57" ht="15" thickBot="1" x14ac:dyDescent="0.35">
      <c r="A1" s="62"/>
      <c r="B1" s="63"/>
      <c r="C1" s="63"/>
      <c r="D1" s="63"/>
      <c r="E1" s="63"/>
      <c r="F1" s="63"/>
      <c r="G1" s="63"/>
      <c r="H1" s="63"/>
      <c r="I1" s="64"/>
      <c r="J1" s="62"/>
      <c r="K1" s="63"/>
      <c r="L1" s="63"/>
      <c r="M1" s="63"/>
      <c r="N1" s="63"/>
      <c r="O1" s="63"/>
      <c r="P1" s="63"/>
      <c r="Q1" s="63"/>
      <c r="R1" s="64"/>
    </row>
    <row r="2" spans="1:57" ht="32.4" customHeight="1" x14ac:dyDescent="0.3">
      <c r="A2" s="65"/>
      <c r="B2" s="99" t="s">
        <v>83</v>
      </c>
      <c r="C2" s="88" t="s">
        <v>32</v>
      </c>
      <c r="D2" s="90"/>
      <c r="E2" s="88" t="s">
        <v>13</v>
      </c>
      <c r="F2" s="90"/>
      <c r="G2" s="88" t="s">
        <v>31</v>
      </c>
      <c r="H2" s="89"/>
      <c r="I2" s="77"/>
      <c r="J2" s="65"/>
      <c r="K2" s="17" t="s">
        <v>46</v>
      </c>
      <c r="L2" s="83" t="s">
        <v>13</v>
      </c>
      <c r="M2" s="83" t="s">
        <v>84</v>
      </c>
      <c r="N2" s="83" t="s">
        <v>44</v>
      </c>
      <c r="O2" s="83" t="s">
        <v>84</v>
      </c>
      <c r="P2" s="83" t="s">
        <v>35</v>
      </c>
      <c r="Q2" s="83" t="s">
        <v>84</v>
      </c>
      <c r="R2" s="66"/>
      <c r="T2" s="4"/>
      <c r="U2" s="4"/>
      <c r="V2" s="4"/>
      <c r="W2" s="4"/>
      <c r="X2" s="4"/>
      <c r="Y2" s="4"/>
      <c r="AA2" s="4"/>
      <c r="AB2" s="4"/>
      <c r="AC2" s="4"/>
      <c r="AD2" s="4"/>
      <c r="AE2" s="4"/>
      <c r="AF2" s="4"/>
      <c r="AG2" s="4"/>
      <c r="AX2" s="98" t="s">
        <v>18</v>
      </c>
      <c r="AY2" s="98"/>
      <c r="AZ2" s="98"/>
      <c r="BA2" s="98"/>
      <c r="BB2" s="98"/>
      <c r="BC2" s="98"/>
      <c r="BD2" s="98"/>
      <c r="BE2" s="98"/>
    </row>
    <row r="3" spans="1:57" ht="17.399999999999999" customHeight="1" x14ac:dyDescent="0.3">
      <c r="A3" s="65"/>
      <c r="B3" s="100"/>
      <c r="C3" s="17" t="s">
        <v>23</v>
      </c>
      <c r="D3" s="73" t="s">
        <v>33</v>
      </c>
      <c r="E3" s="17" t="s">
        <v>23</v>
      </c>
      <c r="F3" s="73" t="s">
        <v>33</v>
      </c>
      <c r="G3" s="17" t="s">
        <v>23</v>
      </c>
      <c r="H3" s="74" t="s">
        <v>33</v>
      </c>
      <c r="I3" s="66"/>
      <c r="J3" s="65"/>
      <c r="K3" s="17">
        <v>6000</v>
      </c>
      <c r="L3" s="16">
        <f>E32</f>
        <v>0.84363618124838757</v>
      </c>
      <c r="M3" s="16">
        <f>F32</f>
        <v>0.11626871766715194</v>
      </c>
      <c r="N3" s="16">
        <f>C32/C31</f>
        <v>1.4447181710681909</v>
      </c>
      <c r="O3" s="16">
        <f>N3*SQRT((D5/C5)^2+(D6/C6)^2)</f>
        <v>8.14076601324598E-2</v>
      </c>
      <c r="P3" s="16">
        <f>D37</f>
        <v>1.1267867008774277</v>
      </c>
      <c r="Q3" s="16">
        <f>D38</f>
        <v>2.4312033960503725E-2</v>
      </c>
      <c r="R3" s="66"/>
    </row>
    <row r="4" spans="1:57" x14ac:dyDescent="0.3">
      <c r="A4" s="65"/>
      <c r="B4" s="7" t="s">
        <v>0</v>
      </c>
      <c r="C4" s="16">
        <f>'Data (PEG 20000)'!E6</f>
        <v>5.000633333333333</v>
      </c>
      <c r="D4" s="16">
        <f>'Data (PEG 20000)'!F6</f>
        <v>0.28012685247060065</v>
      </c>
      <c r="E4" s="16" t="s">
        <v>82</v>
      </c>
      <c r="F4" s="16" t="s">
        <v>82</v>
      </c>
      <c r="G4" s="16">
        <f>'Data (PEG 20000)'!J6</f>
        <v>0.54903394650352377</v>
      </c>
      <c r="H4" s="23">
        <f>'Data (PEG 20000)'!K6</f>
        <v>6.7272789366924126E-3</v>
      </c>
      <c r="I4" s="66"/>
      <c r="J4" s="65"/>
      <c r="K4" s="17">
        <v>10000</v>
      </c>
      <c r="L4" s="16">
        <f>E19</f>
        <v>0.95075643849620795</v>
      </c>
      <c r="M4" s="16">
        <f>F19</f>
        <v>7.7557351308828265E-2</v>
      </c>
      <c r="N4" s="16">
        <f>C19/C18</f>
        <v>1.645801607507188</v>
      </c>
      <c r="O4" s="16">
        <f>N4*SQRT((D18/C18)^2+(D19/C19)^2)</f>
        <v>0.10084485559070532</v>
      </c>
      <c r="P4" s="16">
        <f>D24</f>
        <v>1.2087896135584595</v>
      </c>
      <c r="Q4" s="16">
        <f>D25</f>
        <v>1.2527083950112535E-2</v>
      </c>
      <c r="R4" s="66"/>
    </row>
    <row r="5" spans="1:57" x14ac:dyDescent="0.3">
      <c r="A5" s="65"/>
      <c r="B5" s="7" t="s">
        <v>26</v>
      </c>
      <c r="C5" s="16">
        <f>'Data (PEG 20000)'!M6</f>
        <v>5.2019000000000002</v>
      </c>
      <c r="D5" s="16">
        <f>'Data (PEG 20000)'!N6</f>
        <v>0.17958013805111153</v>
      </c>
      <c r="E5" s="16">
        <f>'Data (PEG 20000)'!P6</f>
        <v>0.68253288214185659</v>
      </c>
      <c r="F5" s="16">
        <f>'Data (PEG 20000)'!Q6</f>
        <v>3.146583408483395E-2</v>
      </c>
      <c r="G5" s="16">
        <f>'Data (PEG 20000)'!R6</f>
        <v>0.55396901009798638</v>
      </c>
      <c r="H5" s="23">
        <f>'Data (PEG 20000)'!S6</f>
        <v>4.33413472318811E-3</v>
      </c>
      <c r="I5" s="66"/>
      <c r="J5" s="65"/>
      <c r="K5" s="17">
        <v>20000</v>
      </c>
      <c r="L5" s="16">
        <f>E6</f>
        <v>0.93572356127942369</v>
      </c>
      <c r="M5" s="16">
        <f>F6</f>
        <v>6.6793122471804314E-2</v>
      </c>
      <c r="N5" s="16">
        <f>C6/C5</f>
        <v>1.5018294597486814</v>
      </c>
      <c r="O5" s="16">
        <f>N5*SQRT((D31/C31)^2+(D32/C32)^2)</f>
        <v>0.15950118968126789</v>
      </c>
      <c r="P5" s="16">
        <f>D11</f>
        <v>1.1720303498130686</v>
      </c>
      <c r="Q5" s="16">
        <f>D12</f>
        <v>9.6234444589676504E-3</v>
      </c>
      <c r="R5" s="66"/>
    </row>
    <row r="6" spans="1:57" x14ac:dyDescent="0.3">
      <c r="A6" s="65"/>
      <c r="B6" s="7" t="s">
        <v>20</v>
      </c>
      <c r="C6" s="16">
        <f>'Data (PEG 20000)'!U6</f>
        <v>7.8123666666666658</v>
      </c>
      <c r="D6" s="16">
        <f>'Data (PEG 20000)'!V6</f>
        <v>0.34792493770082922</v>
      </c>
      <c r="E6" s="16">
        <f>'Data (PEG 20000)'!X6</f>
        <v>0.93572356127942369</v>
      </c>
      <c r="F6" s="16">
        <f>'Data (PEG 20000)'!Y6</f>
        <v>6.6793122471804314E-2</v>
      </c>
      <c r="G6" s="16">
        <f>'Data (PEG 20000)'!Z6</f>
        <v>0.64926849269074238</v>
      </c>
      <c r="H6" s="23">
        <f>'Data (PEG 20000)'!AA6</f>
        <v>1.6176489665568287E-3</v>
      </c>
      <c r="I6" s="66"/>
      <c r="J6" s="65"/>
      <c r="R6" s="66"/>
    </row>
    <row r="7" spans="1:57" x14ac:dyDescent="0.3">
      <c r="A7" s="65"/>
      <c r="B7" s="7" t="s">
        <v>19</v>
      </c>
      <c r="C7" s="16">
        <f>'Data (PEG 20000)'!AC6</f>
        <v>4.9463333333333345E-2</v>
      </c>
      <c r="D7" s="16">
        <f>'Data (PEG 20000)'!AD6</f>
        <v>2.0563912963874973E-2</v>
      </c>
      <c r="E7" s="16">
        <f>'Data (PEG 20000)'!AF6</f>
        <v>5.7109896829718428E-3</v>
      </c>
      <c r="F7" s="16">
        <f>'Data (PEG 20000)'!AG6</f>
        <v>2.211779350543635E-3</v>
      </c>
      <c r="G7" s="16">
        <f>'Data (PEG 20000)'!AH6</f>
        <v>2.9004669671713418E-2</v>
      </c>
      <c r="H7" s="23">
        <f>'Data (PEG 20000)'!AI6</f>
        <v>2.0496093965063855E-2</v>
      </c>
      <c r="I7" s="66"/>
      <c r="J7" s="78"/>
      <c r="R7" s="66"/>
    </row>
    <row r="8" spans="1:57" x14ac:dyDescent="0.3">
      <c r="A8" s="65"/>
      <c r="B8" s="7" t="s">
        <v>3</v>
      </c>
      <c r="C8" s="24">
        <f>'Data (PEG 20000)'!AK6</f>
        <v>5.8278999999999996</v>
      </c>
      <c r="D8" s="24">
        <f>'Data (PEG 20000)'!AL6</f>
        <v>0.38243520186473329</v>
      </c>
      <c r="E8" s="24">
        <f>'Data (PEG 20000)'!AN6</f>
        <v>0.71200226148023638</v>
      </c>
      <c r="F8" s="24">
        <f>'Data (PEG 20000)'!AO6</f>
        <v>7.5530317651760326E-2</v>
      </c>
      <c r="G8" s="24">
        <f>'Data (PEG 20000)'!AP6</f>
        <v>0.64521136808510515</v>
      </c>
      <c r="H8" s="25">
        <f>'Data (PEG 20000)'!AQ6</f>
        <v>8.4545488667898561E-3</v>
      </c>
      <c r="I8" s="66"/>
      <c r="J8" s="65"/>
      <c r="R8" s="66"/>
    </row>
    <row r="9" spans="1:57" ht="15" thickBot="1" x14ac:dyDescent="0.35">
      <c r="A9" s="65"/>
      <c r="I9" s="66"/>
      <c r="J9" s="65"/>
      <c r="R9" s="66"/>
    </row>
    <row r="10" spans="1:57" ht="31.2" customHeight="1" thickBot="1" x14ac:dyDescent="0.35">
      <c r="A10" s="65"/>
      <c r="B10" s="22" t="s">
        <v>40</v>
      </c>
      <c r="C10" s="72" t="s">
        <v>34</v>
      </c>
      <c r="D10" s="72" t="s">
        <v>35</v>
      </c>
      <c r="E10" s="72" t="s">
        <v>36</v>
      </c>
      <c r="F10" s="72" t="s">
        <v>38</v>
      </c>
      <c r="G10" s="72" t="s">
        <v>37</v>
      </c>
      <c r="I10" s="66"/>
      <c r="J10" s="65"/>
      <c r="R10" s="66"/>
    </row>
    <row r="11" spans="1:57" ht="15" thickBot="1" x14ac:dyDescent="0.35">
      <c r="A11" s="65"/>
      <c r="B11" s="70" t="s">
        <v>23</v>
      </c>
      <c r="C11" s="28">
        <f>'Data (PEG 20000)'!AB6/'Data (PEG 20000)'!T6</f>
        <v>0.98159509202453987</v>
      </c>
      <c r="D11" s="28">
        <f>G6/G5</f>
        <v>1.1720303498130686</v>
      </c>
      <c r="E11" s="29">
        <f>C7/C6</f>
        <v>6.3314147228112714E-3</v>
      </c>
      <c r="F11" s="30">
        <f>1/E11</f>
        <v>157.94258373205736</v>
      </c>
      <c r="G11" s="31">
        <f>AVERAGE('Data (PEG 20000)'!F22:F24)/AVERAGE('Data (PEG 20000)'!E22:E24)</f>
        <v>0.26319197151181611</v>
      </c>
      <c r="I11" s="66"/>
      <c r="J11" s="65"/>
      <c r="R11" s="66"/>
    </row>
    <row r="12" spans="1:57" ht="23.25" customHeight="1" thickBot="1" x14ac:dyDescent="0.35">
      <c r="A12" s="65"/>
      <c r="B12" s="71" t="s">
        <v>41</v>
      </c>
      <c r="C12" s="32">
        <f>C11*SQRT(('Data (PEG 20000)'!T7/'Data (PEG 20000)'!T6)^2+('Data (PEG 20000)'!AB7/'Data (PEG 20000)'!AB6)^2)</f>
        <v>8.5164729564415377E-3</v>
      </c>
      <c r="D12" s="32">
        <f>D11*SQRT((H5/G5)^2+(H6/G6)^2)</f>
        <v>9.6234444589676504E-3</v>
      </c>
      <c r="E12" s="33">
        <f>E11*SQRT((D6/C6)^2+(D7/C7)^2)</f>
        <v>2.6472853914732658E-3</v>
      </c>
      <c r="F12" s="34">
        <f>F11*SQRT((D6/C6)^2+(D7/C7)^2)</f>
        <v>66.038810109688328</v>
      </c>
      <c r="G12" s="35">
        <f>G11*SQRT((_xlfn.STDEV.S('Data (PEG 20000)'!E22:E24)/AVERAGE('Data (PEG 20000)'!F22:F24))^2+(_xlfn.STDEV.S('Data (PEG 20000)'!F22:F24)/AVERAGE('Data (PEG 20000)'!E22:E24))^2)</f>
        <v>4.9454694614079711E-2</v>
      </c>
      <c r="I12" s="66"/>
      <c r="J12" s="65"/>
      <c r="R12" s="66"/>
    </row>
    <row r="13" spans="1:57" ht="23.25" customHeight="1" thickBot="1" x14ac:dyDescent="0.35">
      <c r="A13" s="67"/>
      <c r="B13" s="68"/>
      <c r="C13" s="75"/>
      <c r="D13" s="75"/>
      <c r="E13" s="68"/>
      <c r="F13" s="76"/>
      <c r="G13" s="68"/>
      <c r="H13" s="68"/>
      <c r="I13" s="69"/>
      <c r="J13" s="65"/>
      <c r="R13" s="66"/>
      <c r="T13" s="10"/>
    </row>
    <row r="14" spans="1:57" ht="23.25" customHeight="1" x14ac:dyDescent="0.3">
      <c r="A14" s="62"/>
      <c r="B14" s="63"/>
      <c r="C14" s="63"/>
      <c r="D14" s="63"/>
      <c r="E14" s="63"/>
      <c r="F14" s="63"/>
      <c r="G14" s="63"/>
      <c r="H14" s="63"/>
      <c r="I14" s="64"/>
      <c r="J14" s="65"/>
      <c r="R14" s="66"/>
      <c r="T14" s="10"/>
    </row>
    <row r="15" spans="1:57" x14ac:dyDescent="0.3">
      <c r="A15" s="65"/>
      <c r="B15" s="101" t="s">
        <v>86</v>
      </c>
      <c r="C15" s="103" t="s">
        <v>32</v>
      </c>
      <c r="D15" s="104"/>
      <c r="E15" s="103" t="s">
        <v>13</v>
      </c>
      <c r="F15" s="104"/>
      <c r="G15" s="103" t="s">
        <v>31</v>
      </c>
      <c r="H15" s="104"/>
      <c r="I15" s="66"/>
      <c r="J15" s="65"/>
      <c r="R15" s="66"/>
      <c r="T15" s="10"/>
    </row>
    <row r="16" spans="1:57" x14ac:dyDescent="0.3">
      <c r="A16" s="65"/>
      <c r="B16" s="102"/>
      <c r="C16" s="17" t="s">
        <v>23</v>
      </c>
      <c r="D16" s="17" t="s">
        <v>33</v>
      </c>
      <c r="E16" s="17" t="s">
        <v>23</v>
      </c>
      <c r="F16" s="17" t="s">
        <v>33</v>
      </c>
      <c r="G16" s="17" t="s">
        <v>23</v>
      </c>
      <c r="H16" s="17" t="s">
        <v>33</v>
      </c>
      <c r="I16" s="66"/>
      <c r="J16" s="65"/>
      <c r="R16" s="66"/>
      <c r="T16" s="10"/>
    </row>
    <row r="17" spans="1:20" ht="23.25" customHeight="1" x14ac:dyDescent="0.3">
      <c r="A17" s="65"/>
      <c r="B17" s="17" t="s">
        <v>0</v>
      </c>
      <c r="C17" s="16">
        <v>5.3741000000000003</v>
      </c>
      <c r="D17" s="16">
        <v>0.11442563772434325</v>
      </c>
      <c r="E17" s="16" t="s">
        <v>82</v>
      </c>
      <c r="F17" s="16" t="s">
        <v>82</v>
      </c>
      <c r="G17" s="16">
        <v>0.58546440564802271</v>
      </c>
      <c r="H17" s="16">
        <v>7.2493630487680876E-3</v>
      </c>
      <c r="I17" s="66"/>
      <c r="J17" s="65"/>
      <c r="R17" s="66"/>
      <c r="T17" s="10"/>
    </row>
    <row r="18" spans="1:20" x14ac:dyDescent="0.3">
      <c r="A18" s="65"/>
      <c r="B18" s="17" t="s">
        <v>26</v>
      </c>
      <c r="C18" s="16">
        <v>5.6692333333333336</v>
      </c>
      <c r="D18" s="16">
        <v>0.24539861863216814</v>
      </c>
      <c r="E18" s="16">
        <v>0.66310868668921974</v>
      </c>
      <c r="F18" s="16">
        <v>2.8989137549479318E-2</v>
      </c>
      <c r="G18" s="16">
        <v>0.59418079236968269</v>
      </c>
      <c r="H18" s="16">
        <v>1.5225651014806572E-3</v>
      </c>
      <c r="I18" s="66"/>
      <c r="J18" s="65"/>
      <c r="R18" s="66"/>
    </row>
    <row r="19" spans="1:20" x14ac:dyDescent="0.3">
      <c r="A19" s="65"/>
      <c r="B19" s="17" t="s">
        <v>20</v>
      </c>
      <c r="C19" s="16">
        <v>9.3304333333333336</v>
      </c>
      <c r="D19" s="16">
        <v>0.40464649537740011</v>
      </c>
      <c r="E19" s="16">
        <v>0.95075643849620795</v>
      </c>
      <c r="F19" s="16">
        <v>7.7557351308828265E-2</v>
      </c>
      <c r="G19" s="16">
        <v>0.71823957039240804</v>
      </c>
      <c r="H19" s="16">
        <v>7.2122259171847041E-3</v>
      </c>
      <c r="I19" s="66"/>
      <c r="J19" s="65"/>
      <c r="R19" s="66"/>
    </row>
    <row r="20" spans="1:20" x14ac:dyDescent="0.3">
      <c r="A20" s="65"/>
      <c r="B20" s="17" t="s">
        <v>19</v>
      </c>
      <c r="C20" s="16">
        <v>8.6717777233333335E-2</v>
      </c>
      <c r="D20" s="16">
        <v>1.0294979025174743E-2</v>
      </c>
      <c r="E20" s="16">
        <v>9.9976966058555605E-3</v>
      </c>
      <c r="F20" s="16">
        <v>1.544616707139795E-3</v>
      </c>
      <c r="G20" s="16">
        <v>5.5031652357453366E-2</v>
      </c>
      <c r="H20" s="16">
        <v>1.0351554907487071E-2</v>
      </c>
      <c r="I20" s="66"/>
      <c r="J20" s="65"/>
      <c r="R20" s="66"/>
    </row>
    <row r="21" spans="1:20" x14ac:dyDescent="0.3">
      <c r="A21" s="65"/>
      <c r="B21" s="17" t="s">
        <v>3</v>
      </c>
      <c r="C21" s="16">
        <v>7.6745999999999999</v>
      </c>
      <c r="D21" s="16">
        <v>0.14106930108650181</v>
      </c>
      <c r="E21" s="16">
        <v>0.83769579959520768</v>
      </c>
      <c r="F21" s="16">
        <v>3.0294704248376957E-2</v>
      </c>
      <c r="G21" s="16">
        <v>0.71696558342161909</v>
      </c>
      <c r="H21" s="16">
        <v>3.6761540304282091E-3</v>
      </c>
      <c r="I21" s="66"/>
      <c r="J21" s="65"/>
      <c r="R21" s="66"/>
    </row>
    <row r="22" spans="1:20" ht="15" thickBot="1" x14ac:dyDescent="0.35">
      <c r="A22" s="65"/>
      <c r="B22" s="84"/>
      <c r="I22" s="66"/>
      <c r="J22" s="65"/>
      <c r="R22" s="66"/>
    </row>
    <row r="23" spans="1:20" ht="34.200000000000003" customHeight="1" x14ac:dyDescent="0.3">
      <c r="A23" s="65"/>
      <c r="B23" s="5" t="s">
        <v>43</v>
      </c>
      <c r="C23" s="79" t="s">
        <v>34</v>
      </c>
      <c r="D23" s="79" t="s">
        <v>35</v>
      </c>
      <c r="E23" s="80" t="s">
        <v>36</v>
      </c>
      <c r="F23" s="81" t="s">
        <v>38</v>
      </c>
      <c r="G23" s="82" t="s">
        <v>37</v>
      </c>
      <c r="I23" s="66"/>
      <c r="J23" s="65"/>
      <c r="R23" s="66"/>
    </row>
    <row r="24" spans="1:20" x14ac:dyDescent="0.3">
      <c r="A24" s="65"/>
      <c r="B24" s="6" t="s">
        <v>23</v>
      </c>
      <c r="C24" s="36">
        <v>1.193103448275862</v>
      </c>
      <c r="D24" s="36">
        <v>1.2087896135584595</v>
      </c>
      <c r="E24" s="16">
        <v>9.2940782207328702E-3</v>
      </c>
      <c r="F24" s="37">
        <v>107.59539313637781</v>
      </c>
      <c r="G24" s="23">
        <v>0.2509863429438543</v>
      </c>
      <c r="I24" s="66"/>
      <c r="J24" s="65"/>
      <c r="R24" s="66"/>
    </row>
    <row r="25" spans="1:20" ht="15" thickBot="1" x14ac:dyDescent="0.35">
      <c r="A25" s="65"/>
      <c r="B25" s="8" t="s">
        <v>41</v>
      </c>
      <c r="C25" s="38">
        <v>0.12204651886243771</v>
      </c>
      <c r="D25" s="38">
        <v>1.2527083950112535E-2</v>
      </c>
      <c r="E25" s="26">
        <v>1.1746933860991716E-3</v>
      </c>
      <c r="F25" s="39">
        <v>13.599153535214899</v>
      </c>
      <c r="G25" s="27">
        <v>8.2205300073427329E-2</v>
      </c>
      <c r="I25" s="66"/>
      <c r="J25" s="67"/>
      <c r="K25" s="68"/>
      <c r="L25" s="68"/>
      <c r="M25" s="68"/>
      <c r="N25" s="68"/>
      <c r="O25" s="68"/>
      <c r="P25" s="68"/>
      <c r="Q25" s="68"/>
      <c r="R25" s="69"/>
    </row>
    <row r="26" spans="1:20" ht="15" thickBot="1" x14ac:dyDescent="0.35">
      <c r="A26" s="67"/>
      <c r="B26" s="85"/>
      <c r="C26" s="75"/>
      <c r="D26" s="75"/>
      <c r="E26" s="68"/>
      <c r="F26" s="76"/>
      <c r="G26" s="68"/>
      <c r="H26" s="68"/>
      <c r="I26" s="69"/>
    </row>
    <row r="27" spans="1:20" x14ac:dyDescent="0.3">
      <c r="A27" s="62"/>
      <c r="B27" s="86"/>
      <c r="C27" s="63"/>
      <c r="D27" s="63"/>
      <c r="E27" s="63"/>
      <c r="F27" s="63"/>
      <c r="G27" s="63"/>
      <c r="H27" s="63"/>
      <c r="I27" s="64"/>
    </row>
    <row r="28" spans="1:20" x14ac:dyDescent="0.3">
      <c r="A28" s="65"/>
      <c r="B28" s="101" t="s">
        <v>85</v>
      </c>
      <c r="C28" s="103" t="s">
        <v>32</v>
      </c>
      <c r="D28" s="104"/>
      <c r="E28" s="103" t="s">
        <v>13</v>
      </c>
      <c r="F28" s="104"/>
      <c r="G28" s="103" t="s">
        <v>31</v>
      </c>
      <c r="H28" s="104"/>
      <c r="I28" s="66"/>
    </row>
    <row r="29" spans="1:20" x14ac:dyDescent="0.3">
      <c r="A29" s="65"/>
      <c r="B29" s="102"/>
      <c r="C29" s="17" t="s">
        <v>23</v>
      </c>
      <c r="D29" s="17" t="s">
        <v>33</v>
      </c>
      <c r="E29" s="17" t="s">
        <v>23</v>
      </c>
      <c r="F29" s="17" t="s">
        <v>33</v>
      </c>
      <c r="G29" s="17" t="s">
        <v>23</v>
      </c>
      <c r="H29" s="17" t="s">
        <v>33</v>
      </c>
      <c r="I29" s="66"/>
    </row>
    <row r="30" spans="1:20" x14ac:dyDescent="0.3">
      <c r="A30" s="65"/>
      <c r="B30" s="17" t="s">
        <v>0</v>
      </c>
      <c r="C30" s="16">
        <v>5.5227333333333331</v>
      </c>
      <c r="D30" s="16">
        <v>0.25946719099886967</v>
      </c>
      <c r="E30" s="16" t="s">
        <v>82</v>
      </c>
      <c r="F30" s="16" t="s">
        <v>82</v>
      </c>
      <c r="G30" s="16">
        <v>0.63341607937313116</v>
      </c>
      <c r="H30" s="16">
        <v>3.0474186734594849E-3</v>
      </c>
      <c r="I30" s="66"/>
    </row>
    <row r="31" spans="1:20" x14ac:dyDescent="0.3">
      <c r="A31" s="65"/>
      <c r="B31" s="17" t="s">
        <v>26</v>
      </c>
      <c r="C31" s="16">
        <v>6.0888000000000009</v>
      </c>
      <c r="D31" s="16">
        <v>0.3090546093606904</v>
      </c>
      <c r="E31" s="16">
        <v>0.65837039426442523</v>
      </c>
      <c r="F31" s="16">
        <v>3.9359956302542139E-2</v>
      </c>
      <c r="G31" s="16">
        <v>0.64826601170693876</v>
      </c>
      <c r="H31" s="16">
        <v>1.0581433300137917E-2</v>
      </c>
      <c r="I31" s="66"/>
    </row>
    <row r="32" spans="1:20" x14ac:dyDescent="0.3">
      <c r="A32" s="65"/>
      <c r="B32" s="17" t="s">
        <v>20</v>
      </c>
      <c r="C32" s="16">
        <v>8.7966000000000015</v>
      </c>
      <c r="D32" s="16">
        <v>0.82063618334118904</v>
      </c>
      <c r="E32" s="16">
        <v>0.84363618124838757</v>
      </c>
      <c r="F32" s="16">
        <v>0.11626871766715194</v>
      </c>
      <c r="G32" s="16">
        <v>0.73045752062222946</v>
      </c>
      <c r="H32" s="16">
        <v>1.0307288907248168E-2</v>
      </c>
      <c r="I32" s="66"/>
    </row>
    <row r="33" spans="1:9" x14ac:dyDescent="0.3">
      <c r="A33" s="65"/>
      <c r="B33" s="17" t="s">
        <v>19</v>
      </c>
      <c r="C33" s="16">
        <v>0.28292</v>
      </c>
      <c r="D33" s="16">
        <v>9.5338355342695622E-2</v>
      </c>
      <c r="E33" s="16">
        <v>2.1367535483536863E-2</v>
      </c>
      <c r="F33" s="16">
        <v>1.778902052749717E-2</v>
      </c>
      <c r="G33" s="16">
        <v>0.21985919601104545</v>
      </c>
      <c r="H33" s="16">
        <v>0.1180318449571098</v>
      </c>
      <c r="I33" s="66"/>
    </row>
    <row r="34" spans="1:9" x14ac:dyDescent="0.3">
      <c r="A34" s="65"/>
      <c r="B34" s="17" t="s">
        <v>3</v>
      </c>
      <c r="C34" s="16">
        <v>7.705233333333334</v>
      </c>
      <c r="D34" s="16">
        <v>0.2150576066941442</v>
      </c>
      <c r="E34" s="16">
        <v>0.9093934779096462</v>
      </c>
      <c r="F34" s="16">
        <v>0.10271894042083432</v>
      </c>
      <c r="G34" s="16">
        <v>0.74693447676087676</v>
      </c>
      <c r="H34" s="16">
        <v>6.7655028943439059E-3</v>
      </c>
      <c r="I34" s="66"/>
    </row>
    <row r="35" spans="1:9" ht="15" thickBot="1" x14ac:dyDescent="0.35">
      <c r="A35" s="65"/>
      <c r="B35" s="84"/>
      <c r="I35" s="66"/>
    </row>
    <row r="36" spans="1:9" ht="35.4" customHeight="1" x14ac:dyDescent="0.3">
      <c r="A36" s="65"/>
      <c r="B36" s="5" t="s">
        <v>42</v>
      </c>
      <c r="C36" s="79" t="s">
        <v>34</v>
      </c>
      <c r="D36" s="79" t="s">
        <v>35</v>
      </c>
      <c r="E36" s="80" t="s">
        <v>36</v>
      </c>
      <c r="F36" s="81" t="s">
        <v>38</v>
      </c>
      <c r="G36" s="82" t="s">
        <v>37</v>
      </c>
      <c r="I36" s="66"/>
    </row>
    <row r="37" spans="1:9" x14ac:dyDescent="0.3">
      <c r="A37" s="65"/>
      <c r="B37" s="6" t="s">
        <v>39</v>
      </c>
      <c r="C37" s="36">
        <v>1.1510791366906474</v>
      </c>
      <c r="D37" s="36">
        <v>1.1267867008774277</v>
      </c>
      <c r="E37" s="16">
        <v>3.2162426392015095E-2</v>
      </c>
      <c r="F37" s="37">
        <v>31.092181535416373</v>
      </c>
      <c r="G37" s="23">
        <v>0.24812706023374295</v>
      </c>
      <c r="I37" s="66"/>
    </row>
    <row r="38" spans="1:9" ht="15" thickBot="1" x14ac:dyDescent="0.35">
      <c r="A38" s="65"/>
      <c r="B38" s="8" t="s">
        <v>41</v>
      </c>
      <c r="C38" s="38">
        <v>8.2231810239597955E-2</v>
      </c>
      <c r="D38" s="38">
        <v>2.4312033960503725E-2</v>
      </c>
      <c r="E38" s="26">
        <v>1.1245748231636923E-2</v>
      </c>
      <c r="F38" s="39">
        <v>10.871531931634705</v>
      </c>
      <c r="G38" s="27">
        <v>6.1501710248148163E-2</v>
      </c>
      <c r="I38" s="66"/>
    </row>
    <row r="39" spans="1:9" ht="15" thickBot="1" x14ac:dyDescent="0.35">
      <c r="A39" s="67"/>
      <c r="B39" s="68"/>
      <c r="C39" s="68"/>
      <c r="D39" s="68"/>
      <c r="E39" s="68"/>
      <c r="F39" s="68"/>
      <c r="G39" s="68"/>
      <c r="H39" s="68"/>
      <c r="I39" s="69"/>
    </row>
  </sheetData>
  <mergeCells count="13">
    <mergeCell ref="B15:B16"/>
    <mergeCell ref="B28:B29"/>
    <mergeCell ref="C15:D15"/>
    <mergeCell ref="E15:F15"/>
    <mergeCell ref="G15:H15"/>
    <mergeCell ref="C28:D28"/>
    <mergeCell ref="E28:F28"/>
    <mergeCell ref="G28:H28"/>
    <mergeCell ref="G2:H2"/>
    <mergeCell ref="C2:D2"/>
    <mergeCell ref="E2:F2"/>
    <mergeCell ref="AX2:BE2"/>
    <mergeCell ref="B2:B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712C4-0725-4FFC-A4B8-4484A2CA3769}">
  <dimension ref="A1"/>
  <sheetViews>
    <sheetView tabSelected="1" zoomScale="55" zoomScaleNormal="55" workbookViewId="0">
      <selection activeCell="B67" sqref="B67"/>
    </sheetView>
  </sheetViews>
  <sheetFormatPr defaultRowHeight="14.4" x14ac:dyDescent="0.3"/>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FA23D-3C6C-4939-9789-9B1D39940739}">
  <dimension ref="A1:AQ42"/>
  <sheetViews>
    <sheetView topLeftCell="A4" zoomScale="55" zoomScaleNormal="55" workbookViewId="0">
      <selection activeCell="W24" sqref="W24:Y26"/>
    </sheetView>
  </sheetViews>
  <sheetFormatPr defaultRowHeight="14.4" x14ac:dyDescent="0.3"/>
  <cols>
    <col min="4" max="4" width="10.44140625" bestFit="1" customWidth="1"/>
    <col min="5" max="6" width="9" bestFit="1" customWidth="1"/>
    <col min="7" max="7" width="16.88671875" bestFit="1" customWidth="1"/>
    <col min="8" max="11" width="9" bestFit="1" customWidth="1"/>
    <col min="12" max="12" width="9.33203125" bestFit="1" customWidth="1"/>
    <col min="13" max="13" width="9" bestFit="1" customWidth="1"/>
    <col min="14" max="14" width="16.88671875" bestFit="1" customWidth="1"/>
    <col min="15" max="15" width="10.44140625" bestFit="1" customWidth="1"/>
    <col min="16" max="19" width="9" bestFit="1" customWidth="1"/>
    <col min="20" max="20" width="9.33203125" bestFit="1" customWidth="1"/>
    <col min="21" max="21" width="17.21875" bestFit="1" customWidth="1"/>
    <col min="22" max="22" width="9" bestFit="1" customWidth="1"/>
    <col min="23" max="23" width="10.44140625" bestFit="1" customWidth="1"/>
    <col min="24" max="27" width="9" bestFit="1" customWidth="1"/>
    <col min="28" max="28" width="9.33203125" bestFit="1" customWidth="1"/>
    <col min="29" max="35" width="9" bestFit="1" customWidth="1"/>
    <col min="36" max="36" width="9.33203125" bestFit="1" customWidth="1"/>
    <col min="37" max="38" width="9" bestFit="1" customWidth="1"/>
    <col min="39" max="39" width="10.44140625" bestFit="1" customWidth="1"/>
    <col min="40" max="43" width="9" bestFit="1" customWidth="1"/>
  </cols>
  <sheetData>
    <row r="1" spans="1:43" x14ac:dyDescent="0.3">
      <c r="A1" t="s">
        <v>27</v>
      </c>
    </row>
    <row r="2" spans="1:43" x14ac:dyDescent="0.3">
      <c r="A2">
        <v>100</v>
      </c>
      <c r="B2" t="s">
        <v>28</v>
      </c>
      <c r="C2" s="2"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row>
    <row r="3" spans="1:43"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 t="s">
        <v>11</v>
      </c>
      <c r="T3" s="2"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row>
    <row r="4" spans="1:43" x14ac:dyDescent="0.3">
      <c r="C4" s="2" t="s">
        <v>25</v>
      </c>
      <c r="D4" s="45">
        <f>AVERAGE(D12:D14)</f>
        <v>1000</v>
      </c>
      <c r="E4" s="45">
        <f>AVERAGE(E12:E14)</f>
        <v>4.1741333333333337</v>
      </c>
      <c r="F4" s="45">
        <f>_xlfn.STDEV.S(E12:E14)</f>
        <v>0.1735922041260303</v>
      </c>
      <c r="G4" s="45">
        <f>D4*E4</f>
        <v>4174.1333333333341</v>
      </c>
      <c r="H4" s="45"/>
      <c r="I4" s="45"/>
      <c r="J4" s="45">
        <f>AVERAGE(J12:J14)</f>
        <v>0.60253363976458807</v>
      </c>
      <c r="K4" s="45">
        <f>_xlfn.STDEV.S(J12:J14)</f>
        <v>1.6587070790229832E-2</v>
      </c>
      <c r="L4" s="45">
        <v>600</v>
      </c>
      <c r="M4" s="45">
        <f>AVERAGE(M12:M14)</f>
        <v>5.1137999999999995</v>
      </c>
      <c r="N4" s="45">
        <f>_xlfn.STDEV.S(M12:M14)</f>
        <v>0.17188240165880941</v>
      </c>
      <c r="O4" s="45">
        <f>L4*M4</f>
        <v>3068.2799999999997</v>
      </c>
      <c r="P4" s="45">
        <f>AVERAGE(P12:P14)</f>
        <v>0.7365553844624132</v>
      </c>
      <c r="Q4" s="45">
        <f>_xlfn.STDEV.S(P12:P14)</f>
        <v>5.3781019016230926E-2</v>
      </c>
      <c r="R4" s="45">
        <f>AVERAGE(R12:R14)</f>
        <v>0.61541093172543659</v>
      </c>
      <c r="S4" s="45">
        <f>_xlfn.STDEV.S(R12:R14)</f>
        <v>3.7453221046610213E-3</v>
      </c>
      <c r="T4" s="45">
        <f>AVERAGE(T12:T14)</f>
        <v>600</v>
      </c>
      <c r="U4" s="45">
        <f>AVERAGE(U12:U14)</f>
        <v>4.5849333333333337</v>
      </c>
      <c r="V4" s="45">
        <f>_xlfn.STDEV.S(U12:U14)</f>
        <v>0.66943308353660647</v>
      </c>
      <c r="W4" s="45">
        <f>T4*U4</f>
        <v>2750.96</v>
      </c>
      <c r="X4" s="45">
        <f>AVERAGE(X12:X14)</f>
        <v>0.89446593031534161</v>
      </c>
      <c r="Y4" s="45">
        <f>_xlfn.STDEV.S(X12:X14)</f>
        <v>0.10508553581198998</v>
      </c>
      <c r="Z4" s="45">
        <f>AVERAGE(Z12:Z14)</f>
        <v>0.60841873130008717</v>
      </c>
      <c r="AA4" s="45">
        <f>_xlfn.STDEV.S(Z12:Z14)</f>
        <v>1.0364881872637392E-2</v>
      </c>
      <c r="AB4" s="45">
        <f>AVERAGE(AB12:AB14)</f>
        <v>125</v>
      </c>
      <c r="AC4" s="45">
        <f>AVERAGE(AC12:AC14)</f>
        <v>0.18888000000000002</v>
      </c>
      <c r="AD4" s="45">
        <f>_xlfn.STDEV.S(AC12:AC14)</f>
        <v>8.3847242053629902E-3</v>
      </c>
      <c r="AE4" s="45">
        <f>AB4*AC4</f>
        <v>23.610000000000003</v>
      </c>
      <c r="AF4" s="45">
        <f>AVERAGE(AF12:AF14)</f>
        <v>7.7050471480508836E-3</v>
      </c>
      <c r="AG4" s="45">
        <f>_xlfn.STDEV.S(AF12:AF14)</f>
        <v>5.3639058334108538E-4</v>
      </c>
      <c r="AH4" s="45">
        <f>AVERAGE(AH12:AH14)</f>
        <v>6.677397961638111E-2</v>
      </c>
      <c r="AI4" s="45">
        <f>_xlfn.STDEV.S(AH12:AH14)</f>
        <v>3.4054244925806067E-3</v>
      </c>
      <c r="AJ4" s="45">
        <f>AVERAGE(AJ12:AJ14)</f>
        <v>750</v>
      </c>
      <c r="AK4" s="45">
        <f>AVERAGE(AK12:AK14)</f>
        <v>2.9879333333333338</v>
      </c>
      <c r="AL4" s="45">
        <f>_xlfn.STDEV.S(AK12:AK14)</f>
        <v>0.26852972523229757</v>
      </c>
      <c r="AM4" s="45">
        <f>AJ4*AK4</f>
        <v>2240.9500000000003</v>
      </c>
      <c r="AN4" s="45">
        <f>AVERAGE(AN12:AN14)</f>
        <v>0.82622538041090177</v>
      </c>
      <c r="AO4" s="45">
        <f>_xlfn.STDEV.S(AN12:AN14)</f>
        <v>0.14045355090014167</v>
      </c>
      <c r="AP4" s="45">
        <f>AVERAGE(AP12:AP14)</f>
        <v>0.55497706879751652</v>
      </c>
      <c r="AQ4" s="45">
        <f>_xlfn.STDEV.S(AP12:AP14)</f>
        <v>2.7217766321133891E-2</v>
      </c>
    </row>
    <row r="5" spans="1:43" x14ac:dyDescent="0.3">
      <c r="C5" s="2" t="s">
        <v>24</v>
      </c>
      <c r="D5" s="45">
        <f>AVERAGE(D15:D17)</f>
        <v>1050</v>
      </c>
      <c r="E5" s="45">
        <f>AVERAGE(E15:E17)</f>
        <v>4.2499333333333338</v>
      </c>
      <c r="F5" s="45">
        <f>_xlfn.STDEV.S(E15:E17)</f>
        <v>8.8502278690062275E-2</v>
      </c>
      <c r="G5" s="45">
        <f>D5*E5</f>
        <v>4462.43</v>
      </c>
      <c r="H5" s="45"/>
      <c r="I5" s="45"/>
      <c r="J5" s="45">
        <f>AVERAGE(J15:J17)</f>
        <v>0.56706910673827027</v>
      </c>
      <c r="K5" s="45">
        <f>_xlfn.STDEV.S(J15:J17)</f>
        <v>2.4938505435204853E-3</v>
      </c>
      <c r="L5" s="45">
        <v>600</v>
      </c>
      <c r="M5" s="45">
        <f>AVERAGE(M15:M17)</f>
        <v>4.986066666666666</v>
      </c>
      <c r="N5" s="45">
        <f>_xlfn.STDEV.S(M15:M17)</f>
        <v>0.18003403381953484</v>
      </c>
      <c r="O5" s="45">
        <f>L5*M5</f>
        <v>2991.6399999999994</v>
      </c>
      <c r="P5" s="45">
        <f>AVERAGE(P15:P17)</f>
        <v>0.670894382183847</v>
      </c>
      <c r="Q5" s="45">
        <f>_xlfn.STDEV.S(P15:P17)</f>
        <v>3.7353075915495706E-2</v>
      </c>
      <c r="R5" s="45">
        <f>AVERAGE(R15:R17)</f>
        <v>0.59092239376910249</v>
      </c>
      <c r="S5" s="45">
        <f>_xlfn.STDEV.S(R15:R17)</f>
        <v>5.6942780378389894E-3</v>
      </c>
      <c r="T5" s="45">
        <f>AVERAGE(T15:T17)</f>
        <v>630</v>
      </c>
      <c r="U5" s="45">
        <f>AVERAGE(U15:U17)</f>
        <v>2.9321999999999999</v>
      </c>
      <c r="V5" s="45">
        <f>_xlfn.STDEV.S(U15:U17)</f>
        <v>0.15612085062540482</v>
      </c>
      <c r="W5" s="45">
        <f>T5*U5</f>
        <v>1847.2860000000001</v>
      </c>
      <c r="X5" s="45">
        <f>AVERAGE(X15:X17)</f>
        <v>0.61878335098354331</v>
      </c>
      <c r="Y5" s="45">
        <f>_xlfn.STDEV.S(X15:X17)</f>
        <v>5.4114926565049966E-2</v>
      </c>
      <c r="Z5" s="45">
        <f>AVERAGE(Z15:Z17)</f>
        <v>0.51470903273011803</v>
      </c>
      <c r="AA5" s="45">
        <f>_xlfn.STDEV.S(Z15:Z17)</f>
        <v>3.2010136401967489E-3</v>
      </c>
      <c r="AB5" s="45">
        <f>AVERAGE(AB15:AB17)</f>
        <v>125</v>
      </c>
      <c r="AC5" s="45">
        <f>AVERAGE(AC15:AC17)</f>
        <v>0.13108</v>
      </c>
      <c r="AD5" s="45">
        <f>_xlfn.STDEV.S(AC15:AC17)</f>
        <v>2.0866317355968687E-2</v>
      </c>
      <c r="AE5" s="45">
        <f>AB5*AC5</f>
        <v>16.385000000000002</v>
      </c>
      <c r="AF5" s="45">
        <f>AVERAGE(AF15:AF17)</f>
        <v>5.4741970554626615E-3</v>
      </c>
      <c r="AG5" s="45">
        <f>_xlfn.STDEV.S(AF15:AF17)</f>
        <v>8.3151725337728404E-4</v>
      </c>
      <c r="AH5" s="45">
        <f>AVERAGE(AH15:AH17)</f>
        <v>3.8850394878757445E-2</v>
      </c>
      <c r="AI5" s="45">
        <f>_xlfn.STDEV.S(AH15:AH17)</f>
        <v>7.3763565746088203E-3</v>
      </c>
      <c r="AJ5" s="45">
        <f>AVERAGE(AJ15:AJ17)</f>
        <v>720</v>
      </c>
      <c r="AK5" s="45">
        <f>AVERAGE(AK15:AK17)</f>
        <v>3.535200000000001</v>
      </c>
      <c r="AL5" s="45">
        <f>_xlfn.STDEV.S(AK15:AK17)</f>
        <v>0.31037596556434638</v>
      </c>
      <c r="AM5" s="45">
        <f>AJ5*AK5</f>
        <v>2545.3440000000005</v>
      </c>
      <c r="AN5" s="45">
        <f>AVERAGE(AN15:AN17)</f>
        <v>1.3810980678868905</v>
      </c>
      <c r="AO5" s="45">
        <f>_xlfn.STDEV.S(AN15:AN17)</f>
        <v>0.14819327147540137</v>
      </c>
      <c r="AP5" s="45">
        <f>AVERAGE(AP15:AP17)</f>
        <v>0.51591039809308537</v>
      </c>
      <c r="AQ5" s="45">
        <f>_xlfn.STDEV.S(AP15:AP17)</f>
        <v>2.6047954347729638E-3</v>
      </c>
    </row>
    <row r="6" spans="1:43" x14ac:dyDescent="0.3">
      <c r="C6" s="2" t="s">
        <v>53</v>
      </c>
      <c r="D6" s="45">
        <f>AVERAGE(D18:D20)</f>
        <v>1000</v>
      </c>
      <c r="E6" s="45">
        <f>AVERAGE(E18:E20)</f>
        <v>4.9833333333333343</v>
      </c>
      <c r="F6" s="45">
        <f>_xlfn.STDEV.S(E18:E20)</f>
        <v>0.2609291346962489</v>
      </c>
      <c r="G6" s="45">
        <f>D6*E6</f>
        <v>4983.3333333333339</v>
      </c>
      <c r="H6" s="45"/>
      <c r="I6" s="45"/>
      <c r="J6" s="45">
        <f>AVERAGE(J18:J20)</f>
        <v>0.55106016316764428</v>
      </c>
      <c r="K6" s="45">
        <f>_xlfn.STDEV.S(J18:J20)</f>
        <v>1.9122415327013228E-3</v>
      </c>
      <c r="L6" s="45">
        <v>600</v>
      </c>
      <c r="M6" s="45">
        <f>AVERAGE(M18:M20)</f>
        <v>5.985266666666667</v>
      </c>
      <c r="N6" s="45">
        <f>_xlfn.STDEV.S(M18:M20)</f>
        <v>0.30888640846326287</v>
      </c>
      <c r="O6" s="45">
        <f>L6*M6</f>
        <v>3591.1600000000003</v>
      </c>
      <c r="P6" s="45">
        <f>AVERAGE(P18:P20)</f>
        <v>0.72065339665618511</v>
      </c>
      <c r="Q6" s="45">
        <f>_xlfn.STDEV.S(P18:P20)</f>
        <v>9.6103024901208643E-4</v>
      </c>
      <c r="R6" s="45">
        <f>AVERAGE(R18:R20)</f>
        <v>0.56927301962681465</v>
      </c>
      <c r="S6" s="45">
        <f>_xlfn.STDEV.S(R18:R20)</f>
        <v>1.8495753345976783E-3</v>
      </c>
      <c r="T6" s="45">
        <f>AVERAGE(T18:T20)</f>
        <v>690</v>
      </c>
      <c r="U6" s="45">
        <f>AVERAGE(U18:U20)</f>
        <v>5.3302666666666676</v>
      </c>
      <c r="V6" s="45">
        <f>_xlfn.STDEV.S(U18:U20)</f>
        <v>0.49872526839266196</v>
      </c>
      <c r="W6" s="45">
        <f>T6*U6</f>
        <v>3677.8840000000005</v>
      </c>
      <c r="X6" s="45">
        <f>AVERAGE(X18:X20)</f>
        <v>1.0286358104196927</v>
      </c>
      <c r="Y6" s="45">
        <f>_xlfn.STDEV.S(X18:X20)</f>
        <v>0.14206924271869517</v>
      </c>
      <c r="Z6" s="45">
        <f>AVERAGE(Z18:Z20)</f>
        <v>0.60154532626329893</v>
      </c>
      <c r="AA6" s="45">
        <f>_xlfn.STDEV.S(Z18:Z20)</f>
        <v>5.0117635073940172E-3</v>
      </c>
      <c r="AB6" s="45">
        <f>AVERAGE(AB18:AB20)</f>
        <v>125</v>
      </c>
      <c r="AC6" s="45">
        <f>AVERAGE(AC18:AC20)</f>
        <v>0.11299333333333333</v>
      </c>
      <c r="AD6" s="45">
        <f>_xlfn.STDEV.S(AC18:AC20)</f>
        <v>4.4198834072103489E-2</v>
      </c>
      <c r="AE6" s="45">
        <f>AB6*AC6</f>
        <v>14.124166666666667</v>
      </c>
      <c r="AF6" s="45">
        <f>AVERAGE(AF18:AF20)</f>
        <v>3.907841646915931E-3</v>
      </c>
      <c r="AG6" s="45">
        <f>_xlfn.STDEV.S(AF18:AF20)</f>
        <v>1.3900443353495366E-3</v>
      </c>
      <c r="AH6" s="45">
        <f>AVERAGE(AH18:AH20)</f>
        <v>1.0743544093861553E-2</v>
      </c>
      <c r="AI6" s="45">
        <f>_xlfn.STDEV.S(AH18:AH20)</f>
        <v>2.5117499761120286E-2</v>
      </c>
      <c r="AJ6" s="45">
        <f>AVERAGE(AJ18:AJ20)</f>
        <v>720</v>
      </c>
      <c r="AK6" s="45">
        <f>AVERAGE(AK18:AK20)</f>
        <v>3.4123333333333341</v>
      </c>
      <c r="AL6" s="45">
        <f>_xlfn.STDEV.S(AK18:AK20)</f>
        <v>0.36390495096018338</v>
      </c>
      <c r="AM6" s="45">
        <f>AJ6*AK6</f>
        <v>2456.8800000000006</v>
      </c>
      <c r="AN6" s="45">
        <f>AVERAGE(AN18:AN20)</f>
        <v>0.66989724433510267</v>
      </c>
      <c r="AO6" s="45">
        <f>_xlfn.STDEV.S(AN18:AN20)</f>
        <v>6.7047883696395874E-2</v>
      </c>
      <c r="AP6" s="45">
        <f>AVERAGE(AP18:AP20)</f>
        <v>0.54080988455988455</v>
      </c>
      <c r="AQ6" s="45">
        <f>_xlfn.STDEV.S(AP18:AP20)</f>
        <v>1.5818283716995979E-2</v>
      </c>
    </row>
    <row r="7" spans="1:43" x14ac:dyDescent="0.3">
      <c r="C7" s="2" t="s">
        <v>23</v>
      </c>
      <c r="D7" s="45">
        <f t="shared" ref="D7:AM7" si="0">AVERAGE(D4:D6)</f>
        <v>1016.6666666666666</v>
      </c>
      <c r="E7" s="45">
        <f t="shared" si="0"/>
        <v>4.4691333333333345</v>
      </c>
      <c r="F7" s="45">
        <f t="shared" si="0"/>
        <v>0.17434120583744717</v>
      </c>
      <c r="G7" s="45">
        <f t="shared" si="0"/>
        <v>4539.9655555555564</v>
      </c>
      <c r="H7" s="45" t="e">
        <f t="shared" si="0"/>
        <v>#DIV/0!</v>
      </c>
      <c r="I7" s="45" t="e">
        <f t="shared" si="0"/>
        <v>#DIV/0!</v>
      </c>
      <c r="J7" s="45">
        <f t="shared" si="0"/>
        <v>0.57355430322350098</v>
      </c>
      <c r="K7" s="45">
        <f t="shared" si="0"/>
        <v>6.9977209554838793E-3</v>
      </c>
      <c r="L7" s="45">
        <f t="shared" si="0"/>
        <v>600</v>
      </c>
      <c r="M7" s="45">
        <f t="shared" si="0"/>
        <v>5.3617111111111102</v>
      </c>
      <c r="N7" s="45">
        <f t="shared" si="0"/>
        <v>0.22026761464720238</v>
      </c>
      <c r="O7" s="45">
        <f t="shared" si="0"/>
        <v>3217.0266666666666</v>
      </c>
      <c r="P7" s="45">
        <f t="shared" si="0"/>
        <v>0.70936772110081503</v>
      </c>
      <c r="Q7" s="45">
        <f t="shared" si="0"/>
        <v>3.0698375060246242E-2</v>
      </c>
      <c r="R7" s="45">
        <f t="shared" si="0"/>
        <v>0.59186878170711799</v>
      </c>
      <c r="S7" s="45">
        <f t="shared" si="0"/>
        <v>3.7630584923658964E-3</v>
      </c>
      <c r="T7" s="45">
        <f t="shared" si="0"/>
        <v>640</v>
      </c>
      <c r="U7" s="45">
        <f t="shared" si="0"/>
        <v>4.2824666666666671</v>
      </c>
      <c r="V7" s="45">
        <f t="shared" si="0"/>
        <v>0.44142640085155777</v>
      </c>
      <c r="W7" s="45">
        <f t="shared" si="0"/>
        <v>2758.7100000000005</v>
      </c>
      <c r="X7" s="45">
        <f t="shared" si="0"/>
        <v>0.84729503057285915</v>
      </c>
      <c r="Y7" s="45">
        <f t="shared" si="0"/>
        <v>0.10042323503191171</v>
      </c>
      <c r="Z7" s="45">
        <f t="shared" si="0"/>
        <v>0.5748910300978346</v>
      </c>
      <c r="AA7" s="45">
        <f t="shared" si="0"/>
        <v>6.19255300674272E-3</v>
      </c>
      <c r="AB7" s="45">
        <f t="shared" si="0"/>
        <v>125</v>
      </c>
      <c r="AC7" s="45">
        <f t="shared" si="0"/>
        <v>0.14431777777777779</v>
      </c>
      <c r="AD7" s="45">
        <f t="shared" si="0"/>
        <v>2.448329187781172E-2</v>
      </c>
      <c r="AE7" s="45">
        <f t="shared" si="0"/>
        <v>18.039722222222224</v>
      </c>
      <c r="AF7" s="45">
        <f t="shared" si="0"/>
        <v>5.6956952834764929E-3</v>
      </c>
      <c r="AG7" s="45">
        <f t="shared" si="0"/>
        <v>9.1931739068930199E-4</v>
      </c>
      <c r="AH7" s="45">
        <f t="shared" si="0"/>
        <v>3.8789306196333369E-2</v>
      </c>
      <c r="AI7" s="45">
        <f t="shared" si="0"/>
        <v>1.1966426942769904E-2</v>
      </c>
      <c r="AJ7" s="45">
        <f t="shared" si="0"/>
        <v>730</v>
      </c>
      <c r="AK7" s="45">
        <f t="shared" si="0"/>
        <v>3.3118222222222227</v>
      </c>
      <c r="AL7" s="45">
        <f t="shared" si="0"/>
        <v>0.31427021391894244</v>
      </c>
      <c r="AM7" s="45">
        <f t="shared" si="0"/>
        <v>2414.3913333333335</v>
      </c>
      <c r="AN7" s="45">
        <f>AVERAGE(AN4,AN6)</f>
        <v>0.74806131237300222</v>
      </c>
      <c r="AO7" s="45">
        <f>AVERAGE(AO4:AO6)</f>
        <v>0.11856490202397964</v>
      </c>
      <c r="AP7" s="45">
        <f>AVERAGE(AP4:AP6)</f>
        <v>0.53723245048349544</v>
      </c>
      <c r="AQ7" s="45">
        <f>AVERAGE(AQ4:AQ6)</f>
        <v>1.5213615157634279E-2</v>
      </c>
    </row>
    <row r="8" spans="1:43" x14ac:dyDescent="0.3">
      <c r="C8" s="12" t="s">
        <v>72</v>
      </c>
      <c r="D8" s="45">
        <f>_xlfn.STDEV.S(D4:D6)</f>
        <v>28.867513459481287</v>
      </c>
      <c r="E8" s="45">
        <f t="shared" ref="E8:S8" si="1">_xlfn.STDEV.S(E4:E6)</f>
        <v>0.44692017184280269</v>
      </c>
      <c r="F8" s="45">
        <f t="shared" si="1"/>
        <v>8.6215868149183125E-2</v>
      </c>
      <c r="G8" s="45">
        <f t="shared" si="1"/>
        <v>410.1341021927845</v>
      </c>
      <c r="H8" s="45" t="e">
        <f t="shared" si="1"/>
        <v>#DIV/0!</v>
      </c>
      <c r="I8" s="45" t="e">
        <f t="shared" si="1"/>
        <v>#DIV/0!</v>
      </c>
      <c r="J8" s="45">
        <f t="shared" si="1"/>
        <v>2.6342418801869077E-2</v>
      </c>
      <c r="K8" s="45">
        <f t="shared" si="1"/>
        <v>8.3097105816161351E-3</v>
      </c>
      <c r="L8" s="45">
        <f t="shared" si="1"/>
        <v>0</v>
      </c>
      <c r="M8" s="45">
        <f t="shared" si="1"/>
        <v>0.54377853879981308</v>
      </c>
      <c r="N8" s="45">
        <f t="shared" si="1"/>
        <v>7.6854279254840605E-2</v>
      </c>
      <c r="O8" s="45">
        <f t="shared" si="1"/>
        <v>326.26712327988798</v>
      </c>
      <c r="P8" s="45">
        <f t="shared" si="1"/>
        <v>3.4254439998521007E-2</v>
      </c>
      <c r="Q8" s="45">
        <f t="shared" si="1"/>
        <v>2.7031492484635846E-2</v>
      </c>
      <c r="R8" s="45">
        <f t="shared" si="1"/>
        <v>2.3083510798878864E-2</v>
      </c>
      <c r="S8" s="45">
        <f t="shared" si="1"/>
        <v>1.9224127167870001E-3</v>
      </c>
      <c r="T8" s="45">
        <f t="shared" ref="T8:AQ8" si="2">_xlfn.STDEV.S(T4:T6)</f>
        <v>45.825756949558397</v>
      </c>
      <c r="U8" s="45">
        <f t="shared" si="2"/>
        <v>1.2273123065372487</v>
      </c>
      <c r="V8" s="45">
        <f t="shared" si="2"/>
        <v>0.26140912815009104</v>
      </c>
      <c r="W8" s="45">
        <f t="shared" si="2"/>
        <v>915.32360740669048</v>
      </c>
      <c r="X8" s="45">
        <f t="shared" si="2"/>
        <v>0.20895832111536453</v>
      </c>
      <c r="Y8" s="45">
        <f t="shared" si="2"/>
        <v>4.4162124257521654E-2</v>
      </c>
      <c r="Z8" s="45">
        <f t="shared" si="2"/>
        <v>5.223232265155197E-2</v>
      </c>
      <c r="AA8" s="45">
        <f t="shared" si="2"/>
        <v>3.7250436097141428E-3</v>
      </c>
      <c r="AB8" s="45">
        <f t="shared" si="2"/>
        <v>0</v>
      </c>
      <c r="AC8" s="45">
        <f t="shared" si="2"/>
        <v>3.96374269449319E-2</v>
      </c>
      <c r="AD8" s="45">
        <f t="shared" si="2"/>
        <v>1.8178957475759885E-2</v>
      </c>
      <c r="AE8" s="45">
        <f t="shared" si="2"/>
        <v>4.9546783681164932</v>
      </c>
      <c r="AF8" s="45">
        <f t="shared" si="2"/>
        <v>1.9082684568011747E-3</v>
      </c>
      <c r="AG8" s="45">
        <f t="shared" si="2"/>
        <v>4.3354680273706723E-4</v>
      </c>
      <c r="AH8" s="45">
        <f t="shared" si="2"/>
        <v>2.8015267713893895E-2</v>
      </c>
      <c r="AI8" s="45">
        <f t="shared" si="2"/>
        <v>1.1560930438558395E-2</v>
      </c>
      <c r="AJ8" s="45">
        <f t="shared" si="2"/>
        <v>17.320508075688775</v>
      </c>
      <c r="AK8" s="45">
        <f t="shared" si="2"/>
        <v>0.28714467382088749</v>
      </c>
      <c r="AL8" s="45">
        <f t="shared" si="2"/>
        <v>4.780671812984804E-2</v>
      </c>
      <c r="AM8" s="45">
        <f t="shared" si="2"/>
        <v>156.5819015893388</v>
      </c>
      <c r="AN8" s="45">
        <f t="shared" si="2"/>
        <v>0.37374875626470899</v>
      </c>
      <c r="AO8" s="45">
        <f t="shared" si="2"/>
        <v>4.4782565822753258E-2</v>
      </c>
      <c r="AP8" s="45">
        <f t="shared" si="2"/>
        <v>1.9777505300474504E-2</v>
      </c>
      <c r="AQ8" s="45">
        <f t="shared" si="2"/>
        <v>1.2317621605375896E-2</v>
      </c>
    </row>
    <row r="10" spans="1:43" x14ac:dyDescent="0.3">
      <c r="C10" s="2" t="s">
        <v>22</v>
      </c>
      <c r="D10" s="105" t="s">
        <v>21</v>
      </c>
      <c r="E10" s="106"/>
      <c r="F10" s="106"/>
      <c r="G10" s="106"/>
      <c r="H10" s="106"/>
      <c r="I10" s="106"/>
      <c r="J10" s="106"/>
      <c r="K10" s="107"/>
      <c r="L10" s="108" t="s">
        <v>26</v>
      </c>
      <c r="M10" s="108"/>
      <c r="N10" s="108"/>
      <c r="O10" s="108"/>
      <c r="P10" s="108"/>
      <c r="Q10" s="108"/>
      <c r="R10" s="108"/>
      <c r="S10" s="108"/>
      <c r="T10" s="105" t="s">
        <v>20</v>
      </c>
      <c r="U10" s="106"/>
      <c r="V10" s="106"/>
      <c r="W10" s="106"/>
      <c r="X10" s="106"/>
      <c r="Y10" s="106"/>
      <c r="Z10" s="106"/>
      <c r="AA10" s="107"/>
      <c r="AB10" s="105" t="s">
        <v>19</v>
      </c>
      <c r="AC10" s="106"/>
      <c r="AD10" s="106"/>
      <c r="AE10" s="106"/>
      <c r="AF10" s="106"/>
      <c r="AG10" s="106"/>
      <c r="AH10" s="106"/>
      <c r="AI10" s="107"/>
      <c r="AJ10" s="105" t="s">
        <v>3</v>
      </c>
      <c r="AK10" s="106"/>
      <c r="AL10" s="106"/>
      <c r="AM10" s="106"/>
      <c r="AN10" s="106"/>
      <c r="AO10" s="106"/>
      <c r="AP10" s="106"/>
      <c r="AQ10" s="107"/>
    </row>
    <row r="11" spans="1:43" ht="15.75" customHeight="1" x14ac:dyDescent="0.3">
      <c r="C11" s="2" t="s">
        <v>17</v>
      </c>
      <c r="D11" s="2" t="s">
        <v>16</v>
      </c>
      <c r="E11" s="2" t="s">
        <v>15</v>
      </c>
      <c r="F11" s="2" t="s">
        <v>11</v>
      </c>
      <c r="G11" s="2" t="s">
        <v>14</v>
      </c>
      <c r="H11" s="2" t="s">
        <v>13</v>
      </c>
      <c r="I11" s="2" t="s">
        <v>11</v>
      </c>
      <c r="J11" s="2" t="s">
        <v>12</v>
      </c>
      <c r="K11" s="2" t="s">
        <v>11</v>
      </c>
      <c r="L11" s="2" t="s">
        <v>16</v>
      </c>
      <c r="M11" s="2" t="s">
        <v>15</v>
      </c>
      <c r="N11" s="2" t="s">
        <v>11</v>
      </c>
      <c r="O11" s="2" t="s">
        <v>14</v>
      </c>
      <c r="P11" s="2" t="s">
        <v>13</v>
      </c>
      <c r="Q11" s="2" t="s">
        <v>11</v>
      </c>
      <c r="R11" s="2" t="s">
        <v>12</v>
      </c>
      <c r="S11" s="2" t="s">
        <v>11</v>
      </c>
      <c r="T11" s="2" t="s">
        <v>16</v>
      </c>
      <c r="U11" s="2" t="s">
        <v>15</v>
      </c>
      <c r="V11" s="2" t="s">
        <v>11</v>
      </c>
      <c r="W11" s="2" t="s">
        <v>14</v>
      </c>
      <c r="X11" s="2" t="s">
        <v>13</v>
      </c>
      <c r="Y11" s="2" t="s">
        <v>11</v>
      </c>
      <c r="Z11" s="2" t="s">
        <v>12</v>
      </c>
      <c r="AA11" s="2" t="s">
        <v>11</v>
      </c>
      <c r="AB11" s="2" t="s">
        <v>16</v>
      </c>
      <c r="AC11" s="2" t="s">
        <v>15</v>
      </c>
      <c r="AD11" s="2" t="s">
        <v>11</v>
      </c>
      <c r="AE11" s="2" t="s">
        <v>14</v>
      </c>
      <c r="AF11" s="2" t="s">
        <v>13</v>
      </c>
      <c r="AG11" s="2" t="s">
        <v>11</v>
      </c>
      <c r="AH11" s="2" t="s">
        <v>12</v>
      </c>
      <c r="AI11" s="2" t="s">
        <v>11</v>
      </c>
      <c r="AJ11" s="2" t="s">
        <v>16</v>
      </c>
      <c r="AK11" s="2" t="s">
        <v>15</v>
      </c>
      <c r="AL11" s="2" t="s">
        <v>11</v>
      </c>
      <c r="AM11" s="2" t="s">
        <v>14</v>
      </c>
      <c r="AN11" s="2" t="s">
        <v>13</v>
      </c>
      <c r="AO11" s="2" t="s">
        <v>11</v>
      </c>
      <c r="AP11" s="2" t="s">
        <v>12</v>
      </c>
      <c r="AQ11" s="2" t="s">
        <v>11</v>
      </c>
    </row>
    <row r="12" spans="1:43" x14ac:dyDescent="0.3">
      <c r="C12" s="2" t="s">
        <v>10</v>
      </c>
      <c r="D12" s="45">
        <v>1000</v>
      </c>
      <c r="E12" s="45">
        <f>(0.162*C29-0.098*C33)*$A$2</f>
        <v>4.3740000000000006</v>
      </c>
      <c r="F12" s="45"/>
      <c r="G12" s="45">
        <f t="shared" ref="G12:G20" si="3">D12*E12</f>
        <v>4374.0000000000009</v>
      </c>
      <c r="H12" s="45"/>
      <c r="I12" s="45"/>
      <c r="J12" s="45">
        <f>C29/C25</f>
        <v>0.6216216216216216</v>
      </c>
      <c r="K12" s="45"/>
      <c r="L12" s="45">
        <v>600</v>
      </c>
      <c r="M12" s="45">
        <f>(0.162*D29-0.098*D33)*$A$2</f>
        <v>4.9167999999999985</v>
      </c>
      <c r="N12" s="45"/>
      <c r="O12" s="45">
        <f t="shared" ref="O12:O20" si="4">L12*M12</f>
        <v>2950.079999999999</v>
      </c>
      <c r="P12" s="45">
        <f t="shared" ref="P12:P20" si="5">O12/G12</f>
        <v>0.67445816186556895</v>
      </c>
      <c r="Q12" s="45"/>
      <c r="R12" s="45">
        <f>D29/D25</f>
        <v>0.61185185185185176</v>
      </c>
      <c r="S12" s="45"/>
      <c r="T12" s="45">
        <v>600</v>
      </c>
      <c r="U12" s="45">
        <f>(0.162*E29-0.098*E33)*$A$2</f>
        <v>3.8342000000000001</v>
      </c>
      <c r="V12" s="45"/>
      <c r="W12" s="45">
        <f t="shared" ref="W12:W20" si="6">T12*U12</f>
        <v>2300.52</v>
      </c>
      <c r="X12" s="45">
        <f t="shared" ref="X12:X20" si="7">W12/O12</f>
        <v>0.77981614057923876</v>
      </c>
      <c r="Y12" s="45"/>
      <c r="Z12" s="45">
        <f>E29/E25</f>
        <v>0.61205273069679844</v>
      </c>
      <c r="AA12" s="45"/>
      <c r="AB12" s="45">
        <v>125</v>
      </c>
      <c r="AC12" s="45">
        <f>(0.162*F29-0.098*F33)*10</f>
        <v>0.19508</v>
      </c>
      <c r="AD12" s="45"/>
      <c r="AE12" s="45">
        <f t="shared" ref="AE12:AE20" si="8">AB12*AC12</f>
        <v>24.385000000000002</v>
      </c>
      <c r="AF12" s="45">
        <f t="shared" ref="AF12:AF20" si="9">AE12/O12</f>
        <v>8.2658775355244629E-3</v>
      </c>
      <c r="AG12" s="45"/>
      <c r="AH12" s="45">
        <f>F29/F25</f>
        <v>7.0583262890955206E-2</v>
      </c>
      <c r="AI12" s="45"/>
      <c r="AJ12" s="45">
        <v>750</v>
      </c>
      <c r="AK12" s="45">
        <f>(0.162*G29-0.098*G33)*$A$2</f>
        <v>3.0074000000000005</v>
      </c>
      <c r="AL12" s="45"/>
      <c r="AM12" s="45">
        <f t="shared" ref="AM12:AM20" si="10">AJ12*AK12</f>
        <v>2255.5500000000002</v>
      </c>
      <c r="AN12" s="45">
        <f t="shared" ref="AN12:AN20" si="11">AM12/W12</f>
        <v>0.98045224557926047</v>
      </c>
      <c r="AO12" s="45"/>
      <c r="AP12" s="45">
        <f>G29/G25</f>
        <v>0.54389721627408993</v>
      </c>
      <c r="AQ12" s="45"/>
    </row>
    <row r="13" spans="1:43" x14ac:dyDescent="0.3">
      <c r="C13" s="2" t="s">
        <v>9</v>
      </c>
      <c r="D13" s="45">
        <v>1000</v>
      </c>
      <c r="E13" s="45">
        <f>(0.162*C30-0.098*C34)*$A$2</f>
        <v>4.0873999999999997</v>
      </c>
      <c r="F13" s="45"/>
      <c r="G13" s="45">
        <f t="shared" si="3"/>
        <v>4087.3999999999996</v>
      </c>
      <c r="H13" s="45"/>
      <c r="I13" s="45"/>
      <c r="J13" s="45">
        <f>C30/C26</f>
        <v>0.59435626102292782</v>
      </c>
      <c r="K13" s="45"/>
      <c r="L13" s="45">
        <v>600</v>
      </c>
      <c r="M13" s="45">
        <f>(0.162*D30-0.098*D34)*$A$2</f>
        <v>5.2332000000000001</v>
      </c>
      <c r="N13" s="45"/>
      <c r="O13" s="45">
        <f t="shared" si="4"/>
        <v>3139.92</v>
      </c>
      <c r="P13" s="45">
        <f t="shared" si="5"/>
        <v>0.76819494054900439</v>
      </c>
      <c r="Q13" s="45"/>
      <c r="R13" s="45">
        <f>D30/D26</f>
        <v>0.61506276150627615</v>
      </c>
      <c r="S13" s="45"/>
      <c r="T13" s="45">
        <v>600</v>
      </c>
      <c r="U13" s="45">
        <f>(0.162*E30-0.098*E34)*$A$2</f>
        <v>4.8008000000000006</v>
      </c>
      <c r="V13" s="45"/>
      <c r="W13" s="45">
        <f t="shared" si="6"/>
        <v>2880.4800000000005</v>
      </c>
      <c r="X13" s="45">
        <f t="shared" si="7"/>
        <v>0.91737369104945365</v>
      </c>
      <c r="Y13" s="45"/>
      <c r="Z13" s="45">
        <f>E30/E26</f>
        <v>0.59672619047619047</v>
      </c>
      <c r="AA13" s="45"/>
      <c r="AB13" s="45">
        <v>125</v>
      </c>
      <c r="AC13" s="45">
        <f>(0.162*F30-0.098*F34)*10</f>
        <v>0.19222</v>
      </c>
      <c r="AD13" s="45"/>
      <c r="AE13" s="45">
        <f t="shared" si="8"/>
        <v>24.0275</v>
      </c>
      <c r="AF13" s="45">
        <f t="shared" si="9"/>
        <v>7.6522650258605308E-3</v>
      </c>
      <c r="AG13" s="45"/>
      <c r="AH13" s="45">
        <f>F30/F26</f>
        <v>6.5714285714285711E-2</v>
      </c>
      <c r="AI13" s="45"/>
      <c r="AJ13" s="45">
        <v>750</v>
      </c>
      <c r="AK13" s="45">
        <f>(0.162*G30-0.098*G34)*$A$2</f>
        <v>2.7102000000000008</v>
      </c>
      <c r="AL13" s="45"/>
      <c r="AM13" s="45">
        <f t="shared" si="10"/>
        <v>2032.6500000000005</v>
      </c>
      <c r="AN13" s="45">
        <f t="shared" si="11"/>
        <v>0.70566363939343446</v>
      </c>
      <c r="AO13" s="45"/>
      <c r="AP13" s="45">
        <f>G30/G26</f>
        <v>0.5350467289719627</v>
      </c>
      <c r="AQ13" s="45"/>
    </row>
    <row r="14" spans="1:43" x14ac:dyDescent="0.3">
      <c r="C14" s="2" t="s">
        <v>8</v>
      </c>
      <c r="D14" s="45">
        <v>1000</v>
      </c>
      <c r="E14" s="45">
        <f>(0.162*C31-0.098*C35)*$A$2</f>
        <v>4.0610000000000008</v>
      </c>
      <c r="F14" s="45"/>
      <c r="G14" s="45">
        <f t="shared" si="3"/>
        <v>4061.0000000000009</v>
      </c>
      <c r="H14" s="45"/>
      <c r="I14" s="45"/>
      <c r="J14" s="45">
        <f>C31/C27</f>
        <v>0.59162303664921478</v>
      </c>
      <c r="K14" s="45"/>
      <c r="L14" s="45">
        <v>600</v>
      </c>
      <c r="M14" s="45">
        <f>(0.162*D31-0.098*D35)*$A$2</f>
        <v>5.1913999999999998</v>
      </c>
      <c r="N14" s="45"/>
      <c r="O14" s="45">
        <f t="shared" si="4"/>
        <v>3114.8399999999997</v>
      </c>
      <c r="P14" s="45">
        <f t="shared" si="5"/>
        <v>0.76701305097266659</v>
      </c>
      <c r="Q14" s="45"/>
      <c r="R14" s="45">
        <f>D31/D27</f>
        <v>0.61931818181818188</v>
      </c>
      <c r="S14" s="45"/>
      <c r="T14" s="45">
        <v>600</v>
      </c>
      <c r="U14" s="45">
        <f>(0.162*E31-0.098*E35)*$A$2</f>
        <v>5.1197999999999997</v>
      </c>
      <c r="V14" s="45"/>
      <c r="W14" s="45">
        <f t="shared" si="6"/>
        <v>3071.8799999999997</v>
      </c>
      <c r="X14" s="45">
        <f t="shared" si="7"/>
        <v>0.98620795931733252</v>
      </c>
      <c r="Y14" s="45"/>
      <c r="Z14" s="45">
        <f>E31/E27</f>
        <v>0.61647727272727271</v>
      </c>
      <c r="AA14" s="45"/>
      <c r="AB14" s="45">
        <v>125</v>
      </c>
      <c r="AC14" s="45">
        <f>(0.162*F31-0.098*F35)*10</f>
        <v>0.17934</v>
      </c>
      <c r="AD14" s="45"/>
      <c r="AE14" s="45">
        <f t="shared" si="8"/>
        <v>22.4175</v>
      </c>
      <c r="AF14" s="45">
        <f t="shared" si="9"/>
        <v>7.1969988827676554E-3</v>
      </c>
      <c r="AG14" s="45"/>
      <c r="AH14" s="45">
        <f>F31/F27</f>
        <v>6.402439024390244E-2</v>
      </c>
      <c r="AI14" s="45"/>
      <c r="AJ14" s="45">
        <v>750</v>
      </c>
      <c r="AK14" s="45">
        <f>(0.162*G31-0.098*G35)*$A$2</f>
        <v>3.2462000000000004</v>
      </c>
      <c r="AL14" s="45"/>
      <c r="AM14" s="45">
        <f t="shared" si="10"/>
        <v>2434.65</v>
      </c>
      <c r="AN14" s="45">
        <f t="shared" si="11"/>
        <v>0.79256025626001025</v>
      </c>
      <c r="AO14" s="45"/>
      <c r="AP14" s="45">
        <f>G31/G27</f>
        <v>0.58598726114649691</v>
      </c>
      <c r="AQ14" s="45"/>
    </row>
    <row r="15" spans="1:43" x14ac:dyDescent="0.3">
      <c r="C15" s="2" t="s">
        <v>7</v>
      </c>
      <c r="D15" s="45">
        <v>1050</v>
      </c>
      <c r="E15" s="45">
        <f>(0.162*J29-0.098*J33)*$A$2</f>
        <v>4.3284000000000002</v>
      </c>
      <c r="F15" s="45"/>
      <c r="G15" s="45">
        <f t="shared" si="3"/>
        <v>4544.8200000000006</v>
      </c>
      <c r="H15" s="45"/>
      <c r="I15" s="45"/>
      <c r="J15" s="45">
        <f>J29/J25</f>
        <v>0.56635802469135799</v>
      </c>
      <c r="K15" s="45"/>
      <c r="L15" s="45">
        <v>600</v>
      </c>
      <c r="M15" s="45">
        <f>(0.162*K29-0.098*K33)*$A$2</f>
        <v>4.9159999999999995</v>
      </c>
      <c r="N15" s="45"/>
      <c r="O15" s="45">
        <f t="shared" si="4"/>
        <v>2949.6</v>
      </c>
      <c r="P15" s="45">
        <f t="shared" si="5"/>
        <v>0.64900260076306637</v>
      </c>
      <c r="Q15" s="45"/>
      <c r="R15" s="45">
        <f>K29/K25</f>
        <v>0.59348441926345608</v>
      </c>
      <c r="S15" s="45"/>
      <c r="T15" s="45">
        <v>630</v>
      </c>
      <c r="U15" s="45">
        <f>(0.162*L29-0.098*L33)*$A$2</f>
        <v>3.0108000000000001</v>
      </c>
      <c r="V15" s="45"/>
      <c r="W15" s="45">
        <f t="shared" si="6"/>
        <v>1896.8040000000001</v>
      </c>
      <c r="X15" s="45">
        <f t="shared" si="7"/>
        <v>0.64307160292921084</v>
      </c>
      <c r="Y15" s="45"/>
      <c r="Z15" s="45">
        <f>L29/L25</f>
        <v>0.51632653061224487</v>
      </c>
      <c r="AA15" s="45"/>
      <c r="AB15" s="45">
        <v>125</v>
      </c>
      <c r="AC15" s="45">
        <f>(0.162*M29-0.098*M33)*$A$2</f>
        <v>0.10700000000000003</v>
      </c>
      <c r="AD15" s="45"/>
      <c r="AE15" s="45">
        <f t="shared" si="8"/>
        <v>13.375000000000004</v>
      </c>
      <c r="AF15" s="45">
        <f t="shared" si="9"/>
        <v>4.5345131543260116E-3</v>
      </c>
      <c r="AG15" s="45"/>
      <c r="AH15" s="45">
        <f>M29/M25</f>
        <v>3.0612244897959183E-2</v>
      </c>
      <c r="AI15" s="45"/>
      <c r="AJ15" s="45">
        <v>720</v>
      </c>
      <c r="AK15" s="45">
        <f>(0.162*N29-0.098*N33)*$A$2</f>
        <v>3.1972</v>
      </c>
      <c r="AL15" s="45"/>
      <c r="AM15" s="45">
        <f t="shared" si="10"/>
        <v>2301.9839999999999</v>
      </c>
      <c r="AN15" s="45">
        <f t="shared" si="11"/>
        <v>1.2136119493632447</v>
      </c>
      <c r="AO15" s="45"/>
      <c r="AP15" s="45">
        <f>N29/N25</f>
        <v>0.51301115241635686</v>
      </c>
      <c r="AQ15" s="45"/>
    </row>
    <row r="16" spans="1:43" x14ac:dyDescent="0.3">
      <c r="C16" s="2" t="s">
        <v>6</v>
      </c>
      <c r="D16" s="45">
        <v>1050</v>
      </c>
      <c r="E16" s="45">
        <f>(0.162*J30-0.098*J34)*$A$2</f>
        <v>4.2674000000000003</v>
      </c>
      <c r="F16" s="45"/>
      <c r="G16" s="45">
        <f t="shared" si="3"/>
        <v>4480.7700000000004</v>
      </c>
      <c r="H16" s="45"/>
      <c r="I16" s="45"/>
      <c r="J16" s="45">
        <f>J30/J26</f>
        <v>0.56984126984126982</v>
      </c>
      <c r="K16" s="45"/>
      <c r="L16" s="45">
        <v>600</v>
      </c>
      <c r="M16" s="45">
        <f>(0.162*K30-0.098*K34)*$A$2</f>
        <v>4.8515999999999995</v>
      </c>
      <c r="N16" s="45"/>
      <c r="O16" s="45">
        <f t="shared" si="4"/>
        <v>2910.9599999999996</v>
      </c>
      <c r="P16" s="45">
        <f t="shared" si="5"/>
        <v>0.64965619748391445</v>
      </c>
      <c r="Q16" s="45"/>
      <c r="R16" s="45">
        <f>K30/K26</f>
        <v>0.58439716312056733</v>
      </c>
      <c r="S16" s="45"/>
      <c r="T16" s="45">
        <v>630</v>
      </c>
      <c r="U16" s="45">
        <f>(0.162*L30-0.098*L34)*$A$2</f>
        <v>3.0333999999999999</v>
      </c>
      <c r="V16" s="45"/>
      <c r="W16" s="45">
        <f t="shared" si="6"/>
        <v>1911.0419999999999</v>
      </c>
      <c r="X16" s="45">
        <f t="shared" si="7"/>
        <v>0.65649888696512493</v>
      </c>
      <c r="Y16" s="45"/>
      <c r="Z16" s="45">
        <f>L30/L26</f>
        <v>0.51102204408817631</v>
      </c>
      <c r="AA16" s="45"/>
      <c r="AB16" s="45">
        <v>125</v>
      </c>
      <c r="AC16" s="45">
        <f>(0.162*M30-0.098*M34)*$A$2</f>
        <v>0.14240000000000003</v>
      </c>
      <c r="AD16" s="45"/>
      <c r="AE16" s="45">
        <f t="shared" si="8"/>
        <v>17.800000000000004</v>
      </c>
      <c r="AF16" s="45">
        <f t="shared" si="9"/>
        <v>6.1148212273614225E-3</v>
      </c>
      <c r="AG16" s="45"/>
      <c r="AH16" s="45">
        <f>M30/M26</f>
        <v>4.4843049327354258E-2</v>
      </c>
      <c r="AI16" s="45"/>
      <c r="AJ16" s="45">
        <v>720</v>
      </c>
      <c r="AK16" s="45">
        <f>(0.162*N30-0.098*N34)*$A$2</f>
        <v>3.8074000000000012</v>
      </c>
      <c r="AL16" s="45"/>
      <c r="AM16" s="45">
        <f t="shared" si="10"/>
        <v>2741.3280000000009</v>
      </c>
      <c r="AN16" s="45">
        <f t="shared" si="11"/>
        <v>1.4344676883082637</v>
      </c>
      <c r="AO16" s="45"/>
      <c r="AP16" s="45">
        <f>N30/N26</f>
        <v>0.5180533751962324</v>
      </c>
      <c r="AQ16" s="45"/>
    </row>
    <row r="17" spans="2:43" x14ac:dyDescent="0.3">
      <c r="C17" s="2" t="s">
        <v>5</v>
      </c>
      <c r="D17" s="45">
        <v>1050</v>
      </c>
      <c r="E17" s="45">
        <f>(0.162*J31-0.098*J35)*$A$2</f>
        <v>4.153999999999999</v>
      </c>
      <c r="F17" s="45"/>
      <c r="G17" s="45">
        <f t="shared" si="3"/>
        <v>4361.6999999999989</v>
      </c>
      <c r="H17" s="45"/>
      <c r="I17" s="45"/>
      <c r="J17" s="45">
        <f>J31/J27</f>
        <v>0.565008025682183</v>
      </c>
      <c r="K17" s="45"/>
      <c r="L17" s="45">
        <v>600</v>
      </c>
      <c r="M17" s="45">
        <f>(0.162*K31-0.098*K35)*$A$2</f>
        <v>5.1905999999999999</v>
      </c>
      <c r="N17" s="45"/>
      <c r="O17" s="45">
        <f t="shared" si="4"/>
        <v>3114.36</v>
      </c>
      <c r="P17" s="45">
        <f t="shared" si="5"/>
        <v>0.71402434830456041</v>
      </c>
      <c r="Q17" s="45"/>
      <c r="R17" s="45">
        <f>K31/K27</f>
        <v>0.59488559892328396</v>
      </c>
      <c r="S17" s="45"/>
      <c r="T17" s="45">
        <v>630</v>
      </c>
      <c r="U17" s="45">
        <f>(0.162*L31-0.098*L35)*$A$2</f>
        <v>2.7524000000000002</v>
      </c>
      <c r="V17" s="45"/>
      <c r="W17" s="45">
        <f t="shared" si="6"/>
        <v>1734.0120000000002</v>
      </c>
      <c r="X17" s="45">
        <f t="shared" si="7"/>
        <v>0.55677956305629406</v>
      </c>
      <c r="Y17" s="45"/>
      <c r="Z17" s="45">
        <f>L31/L27</f>
        <v>0.51677852348993292</v>
      </c>
      <c r="AA17" s="45"/>
      <c r="AB17" s="45">
        <v>125</v>
      </c>
      <c r="AC17" s="45">
        <f>(0.162*M31-0.098*M35)*$A$2</f>
        <v>0.14384</v>
      </c>
      <c r="AD17" s="45"/>
      <c r="AE17" s="45">
        <f t="shared" si="8"/>
        <v>17.98</v>
      </c>
      <c r="AF17" s="45">
        <f t="shared" si="9"/>
        <v>5.7732567847005485E-3</v>
      </c>
      <c r="AG17" s="45"/>
      <c r="AH17" s="45">
        <f>M31/M27</f>
        <v>4.1095890410958902E-2</v>
      </c>
      <c r="AI17" s="45"/>
      <c r="AJ17" s="45">
        <v>720</v>
      </c>
      <c r="AK17" s="45">
        <f>(0.162*N31-0.098*N35)*$A$2</f>
        <v>3.601</v>
      </c>
      <c r="AL17" s="45"/>
      <c r="AM17" s="45">
        <f t="shared" si="10"/>
        <v>2592.7199999999998</v>
      </c>
      <c r="AN17" s="45">
        <f t="shared" si="11"/>
        <v>1.4952145659891625</v>
      </c>
      <c r="AO17" s="45"/>
      <c r="AP17" s="45">
        <f>N31/N27</f>
        <v>0.51666666666666672</v>
      </c>
      <c r="AQ17" s="45"/>
    </row>
    <row r="18" spans="2:43" x14ac:dyDescent="0.3">
      <c r="C18" s="2" t="s">
        <v>51</v>
      </c>
      <c r="D18" s="45">
        <v>1000</v>
      </c>
      <c r="E18" s="45">
        <f>(0.162*Q29-0.098*Q33)*$A$2</f>
        <v>5.1834000000000007</v>
      </c>
      <c r="F18" s="45"/>
      <c r="G18" s="45">
        <f t="shared" si="3"/>
        <v>5183.4000000000005</v>
      </c>
      <c r="H18" s="45"/>
      <c r="I18" s="45"/>
      <c r="J18" s="45">
        <f>Q29/Q25</f>
        <v>0.55321782178217815</v>
      </c>
      <c r="K18" s="45"/>
      <c r="L18" s="45">
        <v>600</v>
      </c>
      <c r="M18" s="45">
        <f>(0.162*R29-0.098*R33)*$A$2</f>
        <v>6.2162000000000006</v>
      </c>
      <c r="N18" s="45"/>
      <c r="O18" s="45">
        <f t="shared" si="4"/>
        <v>3729.7200000000003</v>
      </c>
      <c r="P18" s="45">
        <f t="shared" si="5"/>
        <v>0.71955087394374351</v>
      </c>
      <c r="Q18" s="45"/>
      <c r="R18" s="45">
        <f>R29/R25</f>
        <v>0.57127771911298841</v>
      </c>
      <c r="S18" s="45"/>
      <c r="T18" s="45">
        <v>690</v>
      </c>
      <c r="U18" s="45">
        <f>(0.162*S29-0.098*S33)*$A$2</f>
        <v>4.7650000000000015</v>
      </c>
      <c r="V18" s="45"/>
      <c r="W18" s="45">
        <f t="shared" si="6"/>
        <v>3287.8500000000008</v>
      </c>
      <c r="X18" s="45">
        <f t="shared" si="7"/>
        <v>0.88152729963643395</v>
      </c>
      <c r="Y18" s="45"/>
      <c r="Z18" s="45">
        <f>S29/S25</f>
        <v>0.59880239520958078</v>
      </c>
      <c r="AA18" s="45"/>
      <c r="AB18" s="45">
        <v>125</v>
      </c>
      <c r="AC18" s="45">
        <f>(0.162*T29-0.098*T33)*$A$2</f>
        <v>0.16396000000000002</v>
      </c>
      <c r="AD18" s="45"/>
      <c r="AE18" s="45">
        <f t="shared" si="8"/>
        <v>20.495000000000005</v>
      </c>
      <c r="AF18" s="45">
        <f t="shared" si="9"/>
        <v>5.4950505667985807E-3</v>
      </c>
      <c r="AG18" s="45"/>
      <c r="AH18" s="45">
        <f>T29/T25</f>
        <v>3.937007874015748E-2</v>
      </c>
      <c r="AI18" s="45"/>
      <c r="AJ18" s="45">
        <v>720</v>
      </c>
      <c r="AK18" s="45">
        <f>(0.162*U29-0.098*U33)*$A$2</f>
        <v>3.2755999999999998</v>
      </c>
      <c r="AL18" s="45"/>
      <c r="AM18" s="45">
        <f t="shared" si="10"/>
        <v>2358.4319999999998</v>
      </c>
      <c r="AN18" s="45">
        <f t="shared" si="11"/>
        <v>0.71731739586659948</v>
      </c>
      <c r="AO18" s="45"/>
      <c r="AP18" s="45">
        <f>U29/U25</f>
        <v>0.52272727272727271</v>
      </c>
      <c r="AQ18" s="45"/>
    </row>
    <row r="19" spans="2:43" x14ac:dyDescent="0.3">
      <c r="C19" s="2" t="s">
        <v>50</v>
      </c>
      <c r="D19" s="45">
        <v>1000</v>
      </c>
      <c r="E19" s="45">
        <f>(0.162*Q30-0.098*Q34)*$A$2</f>
        <v>5.0784000000000002</v>
      </c>
      <c r="F19" s="45"/>
      <c r="G19" s="45">
        <f t="shared" si="3"/>
        <v>5078.4000000000005</v>
      </c>
      <c r="H19" s="45"/>
      <c r="I19" s="45"/>
      <c r="J19" s="45">
        <f>Q30/Q26</f>
        <v>0.55038759689922478</v>
      </c>
      <c r="K19" s="45"/>
      <c r="L19" s="45">
        <v>600</v>
      </c>
      <c r="M19" s="45">
        <f>(0.162*R30-0.098*R34)*$A$2</f>
        <v>6.1052</v>
      </c>
      <c r="N19" s="45"/>
      <c r="O19" s="45">
        <f t="shared" si="4"/>
        <v>3663.12</v>
      </c>
      <c r="P19" s="45">
        <f t="shared" si="5"/>
        <v>0.7213137996219281</v>
      </c>
      <c r="Q19" s="45"/>
      <c r="R19" s="45">
        <f>R30/R26</f>
        <v>0.56890848952590956</v>
      </c>
      <c r="S19" s="45"/>
      <c r="T19" s="45">
        <v>690</v>
      </c>
      <c r="U19" s="45">
        <f>(0.162*S30-0.098*S34)*$A$2</f>
        <v>5.5176000000000016</v>
      </c>
      <c r="V19" s="45"/>
      <c r="W19" s="45">
        <f t="shared" si="6"/>
        <v>3807.1440000000011</v>
      </c>
      <c r="X19" s="45">
        <f t="shared" si="7"/>
        <v>1.0393173032824481</v>
      </c>
      <c r="Y19" s="45"/>
      <c r="Z19" s="45">
        <f>S30/S26</f>
        <v>0.60732984293193715</v>
      </c>
      <c r="AA19" s="45"/>
      <c r="AB19" s="45">
        <v>125</v>
      </c>
      <c r="AC19" s="45">
        <f>(0.162*T30-0.098*T34)*$A$2</f>
        <v>8.5199999999999984E-2</v>
      </c>
      <c r="AD19" s="45"/>
      <c r="AE19" s="45">
        <f t="shared" si="8"/>
        <v>10.649999999999999</v>
      </c>
      <c r="AF19" s="45">
        <f t="shared" si="9"/>
        <v>2.9073576623206442E-3</v>
      </c>
      <c r="AG19" s="45"/>
      <c r="AH19" s="45">
        <f>T30/T26</f>
        <v>-7.6045627376425855E-3</v>
      </c>
      <c r="AI19" s="45"/>
      <c r="AJ19" s="45">
        <v>720</v>
      </c>
      <c r="AK19" s="45">
        <f>(0.162*U30-0.098*U34)*$A$2</f>
        <v>3.1366000000000005</v>
      </c>
      <c r="AL19" s="45"/>
      <c r="AM19" s="45">
        <f t="shared" si="10"/>
        <v>2258.3520000000003</v>
      </c>
      <c r="AN19" s="45">
        <f t="shared" si="11"/>
        <v>0.59318796452143641</v>
      </c>
      <c r="AO19" s="45"/>
      <c r="AP19" s="45">
        <f>U30/U26</f>
        <v>0.55208333333333337</v>
      </c>
      <c r="AQ19" s="45"/>
    </row>
    <row r="20" spans="2:43" x14ac:dyDescent="0.3">
      <c r="C20" s="2" t="s">
        <v>49</v>
      </c>
      <c r="D20" s="45">
        <v>1000</v>
      </c>
      <c r="E20" s="45">
        <f>(0.162*Q31-0.098*Q35)*$A$2</f>
        <v>4.688200000000001</v>
      </c>
      <c r="F20" s="45"/>
      <c r="G20" s="45">
        <f t="shared" si="3"/>
        <v>4688.2000000000007</v>
      </c>
      <c r="H20" s="45"/>
      <c r="I20" s="45"/>
      <c r="J20" s="45">
        <f>Q31/Q27</f>
        <v>0.54957507082152979</v>
      </c>
      <c r="K20" s="45"/>
      <c r="L20" s="45">
        <v>600</v>
      </c>
      <c r="M20" s="45">
        <f>(0.162*R31-0.098*R35)*$A$2</f>
        <v>5.6343999999999994</v>
      </c>
      <c r="N20" s="45"/>
      <c r="O20" s="45">
        <f t="shared" si="4"/>
        <v>3380.6399999999994</v>
      </c>
      <c r="P20" s="45">
        <f t="shared" si="5"/>
        <v>0.72109551640288361</v>
      </c>
      <c r="Q20" s="45"/>
      <c r="R20" s="45">
        <f>R31/R27</f>
        <v>0.56763285024154586</v>
      </c>
      <c r="S20" s="45"/>
      <c r="T20" s="45">
        <v>690</v>
      </c>
      <c r="U20" s="45">
        <f>(0.162*S31-0.098*S35)*$A$2</f>
        <v>5.7081999999999997</v>
      </c>
      <c r="V20" s="45"/>
      <c r="W20" s="45">
        <f t="shared" si="6"/>
        <v>3938.6579999999999</v>
      </c>
      <c r="X20" s="45">
        <f t="shared" si="7"/>
        <v>1.165062828340196</v>
      </c>
      <c r="Y20" s="45"/>
      <c r="Z20" s="45">
        <f>S31/S27</f>
        <v>0.59850374064837897</v>
      </c>
      <c r="AA20" s="45"/>
      <c r="AB20" s="45">
        <v>125</v>
      </c>
      <c r="AC20" s="45">
        <f>(0.162*T31-0.098*T35)*$A$2</f>
        <v>8.9819999999999997E-2</v>
      </c>
      <c r="AD20" s="45"/>
      <c r="AE20" s="45">
        <f t="shared" si="8"/>
        <v>11.227499999999999</v>
      </c>
      <c r="AF20" s="45">
        <f t="shared" si="9"/>
        <v>3.3211167116285675E-3</v>
      </c>
      <c r="AG20" s="45"/>
      <c r="AH20" s="45">
        <f>T31/T27</f>
        <v>4.6511627906976747E-4</v>
      </c>
      <c r="AI20" s="45"/>
      <c r="AJ20" s="45">
        <v>720</v>
      </c>
      <c r="AK20" s="45">
        <f>(0.162*U31-0.098*U35)*$A$2</f>
        <v>3.8248000000000006</v>
      </c>
      <c r="AL20" s="45"/>
      <c r="AM20" s="45">
        <f t="shared" si="10"/>
        <v>2753.8560000000007</v>
      </c>
      <c r="AN20" s="45">
        <f t="shared" si="11"/>
        <v>0.69918637261727234</v>
      </c>
      <c r="AO20" s="45"/>
      <c r="AP20" s="45">
        <f>U31/U27</f>
        <v>0.54761904761904767</v>
      </c>
      <c r="AQ20" s="45"/>
    </row>
    <row r="23" spans="2:43" x14ac:dyDescent="0.3">
      <c r="B23" s="108" t="s">
        <v>73</v>
      </c>
      <c r="C23" s="108"/>
      <c r="D23" s="108"/>
      <c r="E23" s="108"/>
      <c r="F23" s="108"/>
      <c r="G23" s="108"/>
      <c r="I23" s="108" t="s">
        <v>74</v>
      </c>
      <c r="J23" s="108"/>
      <c r="K23" s="108"/>
      <c r="L23" s="108"/>
      <c r="M23" s="108"/>
      <c r="N23" s="108"/>
      <c r="P23" s="108" t="s">
        <v>75</v>
      </c>
      <c r="Q23" s="108"/>
      <c r="R23" s="108"/>
      <c r="S23" s="108"/>
      <c r="T23" s="108"/>
      <c r="U23" s="108"/>
    </row>
    <row r="24" spans="2:43" x14ac:dyDescent="0.3">
      <c r="B24" s="2" t="s">
        <v>45</v>
      </c>
      <c r="C24" s="2" t="s">
        <v>0</v>
      </c>
      <c r="D24" s="2" t="s">
        <v>1</v>
      </c>
      <c r="E24" s="2" t="s">
        <v>2</v>
      </c>
      <c r="F24" s="2" t="s">
        <v>4</v>
      </c>
      <c r="G24" s="2" t="s">
        <v>3</v>
      </c>
      <c r="I24" s="2" t="s">
        <v>45</v>
      </c>
      <c r="J24" s="2" t="s">
        <v>0</v>
      </c>
      <c r="K24" s="2" t="s">
        <v>1</v>
      </c>
      <c r="L24" s="2" t="s">
        <v>2</v>
      </c>
      <c r="M24" s="2" t="s">
        <v>4</v>
      </c>
      <c r="N24" s="2" t="s">
        <v>3</v>
      </c>
      <c r="P24" s="2" t="s">
        <v>45</v>
      </c>
      <c r="Q24" s="2" t="s">
        <v>0</v>
      </c>
      <c r="R24" s="2" t="s">
        <v>1</v>
      </c>
      <c r="S24" s="2" t="s">
        <v>2</v>
      </c>
      <c r="T24" s="2" t="s">
        <v>4</v>
      </c>
      <c r="U24" s="2" t="s">
        <v>3</v>
      </c>
      <c r="W24" s="2" t="s">
        <v>80</v>
      </c>
      <c r="X24" s="2" t="s">
        <v>2</v>
      </c>
      <c r="Y24" s="2" t="s">
        <v>4</v>
      </c>
    </row>
    <row r="25" spans="2:43" x14ac:dyDescent="0.3">
      <c r="B25" s="2">
        <v>280</v>
      </c>
      <c r="C25" s="13">
        <v>0.59199999999999997</v>
      </c>
      <c r="D25" s="13">
        <v>0.67500000000000004</v>
      </c>
      <c r="E25" s="13">
        <v>0.53100000000000003</v>
      </c>
      <c r="F25" s="49">
        <v>2.3660000000000001</v>
      </c>
      <c r="G25" s="13">
        <v>0.46700000000000003</v>
      </c>
      <c r="I25" s="2">
        <v>280</v>
      </c>
      <c r="J25" s="13">
        <v>0.64800000000000002</v>
      </c>
      <c r="K25" s="13">
        <v>0.70599999999999996</v>
      </c>
      <c r="L25" s="13">
        <v>0.49</v>
      </c>
      <c r="M25" s="13">
        <v>0.19600000000000001</v>
      </c>
      <c r="N25" s="13">
        <v>0.53800000000000003</v>
      </c>
      <c r="P25" s="2">
        <v>280</v>
      </c>
      <c r="Q25" s="13">
        <v>0.80800000000000005</v>
      </c>
      <c r="R25" s="2">
        <v>0.94699999999999995</v>
      </c>
      <c r="S25" s="13">
        <v>0.66800000000000004</v>
      </c>
      <c r="T25" s="13">
        <v>0.254</v>
      </c>
      <c r="U25" s="13">
        <v>0.52800000000000002</v>
      </c>
      <c r="W25" s="2" t="s">
        <v>81</v>
      </c>
      <c r="X25" s="2">
        <f>AVERAGE(E25:E27,L25:L27,S25:S27)</f>
        <v>0.6196666666666667</v>
      </c>
      <c r="Y25" s="2">
        <f>AVERAGE(M25:M27,T25:T27)</f>
        <v>0.22833333333333336</v>
      </c>
    </row>
    <row r="26" spans="2:43" x14ac:dyDescent="0.3">
      <c r="B26" s="2">
        <v>280</v>
      </c>
      <c r="C26" s="13">
        <v>0.56699999999999995</v>
      </c>
      <c r="D26" s="13">
        <v>0.71699999999999997</v>
      </c>
      <c r="E26" s="13">
        <v>0.67200000000000004</v>
      </c>
      <c r="F26" s="49">
        <v>2.4500000000000002</v>
      </c>
      <c r="G26" s="13">
        <v>0.42799999999999999</v>
      </c>
      <c r="I26" s="2">
        <v>280</v>
      </c>
      <c r="J26" s="13">
        <v>0.63</v>
      </c>
      <c r="K26" s="13">
        <v>0.70499999999999996</v>
      </c>
      <c r="L26" s="13">
        <v>0.499</v>
      </c>
      <c r="M26" s="13">
        <v>0.223</v>
      </c>
      <c r="N26" s="13">
        <v>0.63700000000000001</v>
      </c>
      <c r="P26" s="2">
        <v>280</v>
      </c>
      <c r="Q26" s="13">
        <v>0.77400000000000002</v>
      </c>
      <c r="R26" s="2">
        <v>0.90700000000000003</v>
      </c>
      <c r="S26" s="13">
        <v>0.76400000000000001</v>
      </c>
      <c r="T26" s="13">
        <v>0.26300000000000001</v>
      </c>
      <c r="U26" s="13">
        <v>0.48</v>
      </c>
      <c r="W26" s="2" t="s">
        <v>72</v>
      </c>
      <c r="X26" s="2">
        <f>_xlfn.STDEV.S(E25:E27,L25:L27,S25:S27)</f>
        <v>0.13005479614377941</v>
      </c>
      <c r="Y26" s="2">
        <f>_xlfn.STDEV.S(M25:M27,T25:T27)</f>
        <v>2.5295585912697621E-2</v>
      </c>
    </row>
    <row r="27" spans="2:43" x14ac:dyDescent="0.3">
      <c r="B27" s="2">
        <v>280</v>
      </c>
      <c r="C27" s="13">
        <v>0.57299999999999995</v>
      </c>
      <c r="D27" s="13">
        <v>0.70399999999999996</v>
      </c>
      <c r="E27" s="13">
        <v>0.70399999999999996</v>
      </c>
      <c r="F27" s="49">
        <v>2.2959999999999998</v>
      </c>
      <c r="G27" s="13">
        <v>0.47099999999999997</v>
      </c>
      <c r="I27" s="2">
        <v>280</v>
      </c>
      <c r="J27" s="13">
        <v>0.623</v>
      </c>
      <c r="K27" s="13">
        <v>0.74299999999999999</v>
      </c>
      <c r="L27" s="13">
        <v>0.44700000000000001</v>
      </c>
      <c r="M27" s="13">
        <v>0.219</v>
      </c>
      <c r="N27" s="13">
        <v>0.6</v>
      </c>
      <c r="P27" s="2">
        <v>280</v>
      </c>
      <c r="Q27" s="13">
        <v>0.70599999999999996</v>
      </c>
      <c r="R27" s="2">
        <v>0.82799999999999996</v>
      </c>
      <c r="S27" s="13">
        <v>0.80200000000000005</v>
      </c>
      <c r="T27" s="13">
        <v>0.215</v>
      </c>
      <c r="U27" s="13">
        <v>0.58799999999999997</v>
      </c>
    </row>
    <row r="28" spans="2:43" x14ac:dyDescent="0.3">
      <c r="B28" s="2"/>
      <c r="C28" s="2"/>
      <c r="D28" s="2"/>
      <c r="E28" s="2"/>
      <c r="F28" s="2"/>
      <c r="G28" s="2"/>
      <c r="I28" s="2"/>
      <c r="J28" s="2"/>
      <c r="K28" s="2"/>
      <c r="L28" s="2"/>
      <c r="M28" s="2"/>
      <c r="N28" s="2"/>
      <c r="P28" s="2"/>
      <c r="Q28" s="2"/>
      <c r="R28" s="2"/>
      <c r="S28" s="2"/>
      <c r="T28" s="2"/>
      <c r="U28" s="2"/>
      <c r="Y28" s="3"/>
      <c r="Z28" s="3"/>
      <c r="AA28" s="3"/>
      <c r="AB28" s="3"/>
      <c r="AC28" s="3"/>
      <c r="AD28" s="3"/>
    </row>
    <row r="29" spans="2:43" x14ac:dyDescent="0.3">
      <c r="B29" s="2">
        <v>620</v>
      </c>
      <c r="C29" s="13">
        <v>0.36799999999999999</v>
      </c>
      <c r="D29" s="13">
        <v>0.41299999999999998</v>
      </c>
      <c r="E29" s="13">
        <v>0.32500000000000001</v>
      </c>
      <c r="F29" s="13">
        <v>0.16700000000000001</v>
      </c>
      <c r="G29" s="13">
        <v>0.254</v>
      </c>
      <c r="I29" s="2">
        <v>620</v>
      </c>
      <c r="J29" s="13">
        <v>0.36699999999999999</v>
      </c>
      <c r="K29" s="13">
        <v>0.41899999999999998</v>
      </c>
      <c r="L29" s="13">
        <v>0.253</v>
      </c>
      <c r="M29" s="13">
        <v>6.0000000000000001E-3</v>
      </c>
      <c r="N29" s="13">
        <v>0.27600000000000002</v>
      </c>
      <c r="P29" s="2">
        <v>620</v>
      </c>
      <c r="Q29" s="13">
        <v>0.44700000000000001</v>
      </c>
      <c r="R29" s="2">
        <v>0.54100000000000004</v>
      </c>
      <c r="S29" s="13">
        <v>0.4</v>
      </c>
      <c r="T29" s="13">
        <v>0.01</v>
      </c>
      <c r="U29" s="13">
        <v>0.27600000000000002</v>
      </c>
      <c r="Y29" s="98"/>
      <c r="Z29" s="98"/>
      <c r="AA29" s="98"/>
      <c r="AB29" s="98"/>
      <c r="AC29" s="98"/>
      <c r="AD29" s="98"/>
    </row>
    <row r="30" spans="2:43" x14ac:dyDescent="0.3">
      <c r="B30" s="2">
        <v>620</v>
      </c>
      <c r="C30" s="13">
        <v>0.33700000000000002</v>
      </c>
      <c r="D30" s="13">
        <v>0.441</v>
      </c>
      <c r="E30" s="13">
        <v>0.40100000000000002</v>
      </c>
      <c r="F30" s="13">
        <v>0.161</v>
      </c>
      <c r="G30" s="13">
        <v>0.22900000000000001</v>
      </c>
      <c r="I30" s="2">
        <v>620</v>
      </c>
      <c r="J30" s="13">
        <v>0.35899999999999999</v>
      </c>
      <c r="K30" s="13">
        <v>0.41199999999999998</v>
      </c>
      <c r="L30" s="13">
        <v>0.255</v>
      </c>
      <c r="M30" s="13">
        <v>0.01</v>
      </c>
      <c r="N30" s="13">
        <v>0.33</v>
      </c>
      <c r="P30" s="2">
        <v>620</v>
      </c>
      <c r="Q30" s="13">
        <v>0.42599999999999999</v>
      </c>
      <c r="R30" s="2">
        <v>0.51600000000000001</v>
      </c>
      <c r="S30" s="13">
        <v>0.46400000000000002</v>
      </c>
      <c r="T30" s="13">
        <v>-2E-3</v>
      </c>
      <c r="U30" s="13">
        <v>0.26500000000000001</v>
      </c>
      <c r="Y30" s="3"/>
      <c r="Z30" s="3"/>
      <c r="AA30" s="3"/>
      <c r="AB30" s="3"/>
      <c r="AC30" s="3"/>
      <c r="AD30" s="3"/>
    </row>
    <row r="31" spans="2:43" x14ac:dyDescent="0.3">
      <c r="B31" s="2">
        <v>620</v>
      </c>
      <c r="C31" s="13">
        <v>0.33900000000000002</v>
      </c>
      <c r="D31" s="13">
        <v>0.436</v>
      </c>
      <c r="E31" s="13">
        <v>0.434</v>
      </c>
      <c r="F31" s="13">
        <v>0.14699999999999999</v>
      </c>
      <c r="G31" s="13">
        <v>0.27600000000000002</v>
      </c>
      <c r="I31" s="2">
        <v>620</v>
      </c>
      <c r="J31" s="13">
        <v>0.35199999999999998</v>
      </c>
      <c r="K31" s="13">
        <v>0.442</v>
      </c>
      <c r="L31" s="13">
        <v>0.23100000000000001</v>
      </c>
      <c r="M31" s="13">
        <v>8.9999999999999993E-3</v>
      </c>
      <c r="N31" s="13">
        <v>0.31</v>
      </c>
      <c r="P31" s="2">
        <v>620</v>
      </c>
      <c r="Q31" s="13">
        <v>0.38800000000000001</v>
      </c>
      <c r="R31" s="2">
        <v>0.47</v>
      </c>
      <c r="S31" s="13">
        <v>0.48</v>
      </c>
      <c r="T31" s="40">
        <v>1E-4</v>
      </c>
      <c r="U31" s="13">
        <v>0.32200000000000001</v>
      </c>
      <c r="Y31" s="3"/>
      <c r="Z31" s="1"/>
      <c r="AA31" s="1"/>
      <c r="AB31" s="1"/>
      <c r="AC31" s="1"/>
      <c r="AD31" s="1"/>
    </row>
    <row r="32" spans="2:43" x14ac:dyDescent="0.3">
      <c r="B32" s="2"/>
      <c r="C32" s="2"/>
      <c r="D32" s="2"/>
      <c r="E32" s="2"/>
      <c r="F32" s="2"/>
      <c r="G32" s="2"/>
      <c r="I32" s="2"/>
      <c r="J32" s="2"/>
      <c r="K32" s="2"/>
      <c r="L32" s="2"/>
      <c r="M32" s="2"/>
      <c r="N32" s="2"/>
      <c r="P32" s="2"/>
      <c r="Q32" s="2"/>
      <c r="R32" s="2"/>
      <c r="S32" s="2"/>
      <c r="T32" s="2"/>
      <c r="U32" s="2"/>
      <c r="Y32" s="3"/>
      <c r="Z32" s="1"/>
      <c r="AA32" s="1"/>
      <c r="AB32" s="1"/>
      <c r="AC32" s="1"/>
      <c r="AD32" s="1"/>
    </row>
    <row r="33" spans="2:30" x14ac:dyDescent="0.3">
      <c r="B33" s="2">
        <v>650</v>
      </c>
      <c r="C33" s="13">
        <v>0.16200000000000001</v>
      </c>
      <c r="D33" s="13">
        <v>0.18099999999999999</v>
      </c>
      <c r="E33" s="13">
        <v>0.14599999999999999</v>
      </c>
      <c r="F33" s="13">
        <v>7.6999999999999999E-2</v>
      </c>
      <c r="G33" s="13">
        <v>0.113</v>
      </c>
      <c r="I33" s="2">
        <v>650</v>
      </c>
      <c r="J33" s="13">
        <v>0.16500000000000001</v>
      </c>
      <c r="K33" s="13">
        <v>0.191</v>
      </c>
      <c r="L33" s="13">
        <v>0.111</v>
      </c>
      <c r="M33" s="13">
        <v>-1E-3</v>
      </c>
      <c r="N33" s="13">
        <v>0.13</v>
      </c>
      <c r="P33" s="2">
        <v>650</v>
      </c>
      <c r="Q33" s="13">
        <v>0.21</v>
      </c>
      <c r="R33" s="2">
        <v>0.26</v>
      </c>
      <c r="S33" s="13">
        <v>0.17499999999999999</v>
      </c>
      <c r="T33" s="40">
        <v>-2.0000000000000001E-4</v>
      </c>
      <c r="U33" s="13">
        <v>0.122</v>
      </c>
      <c r="Y33" s="3"/>
      <c r="Z33" s="1"/>
      <c r="AA33" s="1"/>
      <c r="AB33" s="1"/>
      <c r="AC33" s="1"/>
      <c r="AD33" s="1"/>
    </row>
    <row r="34" spans="2:30" x14ac:dyDescent="0.3">
      <c r="B34" s="2">
        <v>650</v>
      </c>
      <c r="C34" s="13">
        <v>0.14000000000000001</v>
      </c>
      <c r="D34" s="13">
        <v>0.19500000000000001</v>
      </c>
      <c r="E34" s="13">
        <v>0.17299999999999999</v>
      </c>
      <c r="F34" s="13">
        <v>7.0000000000000007E-2</v>
      </c>
      <c r="G34" s="13">
        <v>0.10199999999999999</v>
      </c>
      <c r="I34" s="2">
        <v>650</v>
      </c>
      <c r="J34" s="13">
        <v>0.158</v>
      </c>
      <c r="K34" s="13">
        <v>0.186</v>
      </c>
      <c r="L34" s="13">
        <v>0.112</v>
      </c>
      <c r="M34" s="13">
        <v>2E-3</v>
      </c>
      <c r="N34" s="13">
        <v>0.157</v>
      </c>
      <c r="P34" s="2">
        <v>650</v>
      </c>
      <c r="Q34" s="13">
        <v>0.186</v>
      </c>
      <c r="R34" s="2">
        <v>0.23</v>
      </c>
      <c r="S34" s="13">
        <v>0.20399999999999999</v>
      </c>
      <c r="T34" s="13">
        <v>-1.2E-2</v>
      </c>
      <c r="U34" s="13">
        <v>0.11799999999999999</v>
      </c>
      <c r="Y34" s="3"/>
      <c r="Z34" s="3"/>
      <c r="AA34" s="3"/>
      <c r="AB34" s="3"/>
      <c r="AC34" s="3"/>
      <c r="AD34" s="3"/>
    </row>
    <row r="35" spans="2:30" x14ac:dyDescent="0.3">
      <c r="B35" s="2">
        <v>650</v>
      </c>
      <c r="C35" s="13">
        <v>0.14599999999999999</v>
      </c>
      <c r="D35" s="13">
        <v>0.191</v>
      </c>
      <c r="E35" s="13">
        <v>0.19500000000000001</v>
      </c>
      <c r="F35" s="13">
        <v>0.06</v>
      </c>
      <c r="G35" s="13">
        <v>0.125</v>
      </c>
      <c r="I35" s="2">
        <v>650</v>
      </c>
      <c r="J35" s="13">
        <v>0.158</v>
      </c>
      <c r="K35" s="13">
        <v>0.20100000000000001</v>
      </c>
      <c r="L35" s="13">
        <v>0.10100000000000001</v>
      </c>
      <c r="M35" s="40">
        <v>2.0000000000000001E-4</v>
      </c>
      <c r="N35" s="13">
        <v>0.14499999999999999</v>
      </c>
      <c r="P35" s="2">
        <v>650</v>
      </c>
      <c r="Q35" s="13">
        <v>0.16300000000000001</v>
      </c>
      <c r="R35" s="2">
        <v>0.20200000000000001</v>
      </c>
      <c r="S35" s="13">
        <v>0.21099999999999999</v>
      </c>
      <c r="T35" s="13">
        <v>-8.9999999999999993E-3</v>
      </c>
      <c r="U35" s="13">
        <v>0.14199999999999999</v>
      </c>
      <c r="Y35" s="3"/>
      <c r="Z35" s="1"/>
      <c r="AA35" s="1"/>
      <c r="AB35" s="1"/>
      <c r="AC35" s="1"/>
      <c r="AD35" s="1"/>
    </row>
    <row r="36" spans="2:30" x14ac:dyDescent="0.3">
      <c r="Y36" s="3"/>
      <c r="Z36" s="1"/>
      <c r="AA36" s="1"/>
      <c r="AB36" s="1"/>
      <c r="AC36" s="1"/>
      <c r="AD36" s="1"/>
    </row>
    <row r="37" spans="2:30" x14ac:dyDescent="0.3">
      <c r="Y37" s="3"/>
      <c r="Z37" s="1"/>
      <c r="AA37" s="1"/>
      <c r="AB37" s="1"/>
      <c r="AC37" s="1"/>
      <c r="AD37" s="1"/>
    </row>
    <row r="38" spans="2:30" x14ac:dyDescent="0.3">
      <c r="Y38" s="3"/>
      <c r="Z38" s="3"/>
      <c r="AA38" s="3"/>
      <c r="AB38" s="3"/>
      <c r="AC38" s="3"/>
      <c r="AD38" s="3"/>
    </row>
    <row r="39" spans="2:30" x14ac:dyDescent="0.3">
      <c r="K39" s="19"/>
      <c r="L39" s="19"/>
      <c r="S39" s="19"/>
      <c r="Y39" s="3"/>
      <c r="Z39" s="1"/>
      <c r="AA39" s="1"/>
      <c r="AB39" s="1"/>
      <c r="AC39" s="1"/>
      <c r="AD39" s="1"/>
    </row>
    <row r="40" spans="2:30" x14ac:dyDescent="0.3">
      <c r="Y40" s="3"/>
      <c r="Z40" s="1"/>
      <c r="AA40" s="1"/>
      <c r="AB40" s="1"/>
      <c r="AC40" s="1"/>
      <c r="AD40" s="1"/>
    </row>
    <row r="41" spans="2:30" x14ac:dyDescent="0.3">
      <c r="Y41" s="3"/>
      <c r="Z41" s="1"/>
      <c r="AA41" s="1"/>
      <c r="AB41" s="1"/>
      <c r="AC41" s="1"/>
      <c r="AD41" s="1"/>
    </row>
    <row r="42" spans="2:30" x14ac:dyDescent="0.3">
      <c r="Y42" s="3"/>
      <c r="Z42" s="3"/>
      <c r="AA42" s="3"/>
      <c r="AB42" s="3"/>
      <c r="AC42" s="3"/>
      <c r="AD42" s="3"/>
    </row>
  </sheetData>
  <mergeCells count="14">
    <mergeCell ref="L2:S2"/>
    <mergeCell ref="AB2:AI2"/>
    <mergeCell ref="AJ2:AQ2"/>
    <mergeCell ref="Y29:AD29"/>
    <mergeCell ref="B23:G23"/>
    <mergeCell ref="I23:N23"/>
    <mergeCell ref="P23:U23"/>
    <mergeCell ref="T2:AA2"/>
    <mergeCell ref="D10:K10"/>
    <mergeCell ref="T10:AA10"/>
    <mergeCell ref="AB10:AI10"/>
    <mergeCell ref="AJ10:AQ10"/>
    <mergeCell ref="L10:S10"/>
    <mergeCell ref="D2:K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54063-E338-4265-ABD2-FE600CF42E30}">
  <dimension ref="A1:AY36"/>
  <sheetViews>
    <sheetView zoomScale="70" zoomScaleNormal="70" workbookViewId="0">
      <selection activeCell="D4" activeCellId="2" sqref="G36 D11:XFD16 D4:XFD7"/>
    </sheetView>
  </sheetViews>
  <sheetFormatPr defaultRowHeight="14.4" x14ac:dyDescent="0.3"/>
  <cols>
    <col min="7" max="7" width="17.44140625" customWidth="1"/>
    <col min="14" max="14" width="17.109375" customWidth="1"/>
  </cols>
  <sheetData>
    <row r="1" spans="1:51" x14ac:dyDescent="0.3">
      <c r="A1" t="s">
        <v>27</v>
      </c>
    </row>
    <row r="2" spans="1:51" x14ac:dyDescent="0.3">
      <c r="A2">
        <v>100</v>
      </c>
      <c r="B2" t="s">
        <v>28</v>
      </c>
      <c r="C2" s="2"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c r="AR2" s="105" t="s">
        <v>18</v>
      </c>
      <c r="AS2" s="106"/>
      <c r="AT2" s="106"/>
      <c r="AU2" s="106"/>
      <c r="AV2" s="106"/>
      <c r="AW2" s="106"/>
      <c r="AX2" s="106"/>
      <c r="AY2" s="107"/>
    </row>
    <row r="3" spans="1:51"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1" t="s">
        <v>11</v>
      </c>
      <c r="T3" s="14"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c r="AR3" s="2" t="s">
        <v>16</v>
      </c>
      <c r="AS3" s="2" t="s">
        <v>15</v>
      </c>
      <c r="AT3" s="2" t="s">
        <v>11</v>
      </c>
      <c r="AU3" s="2" t="s">
        <v>14</v>
      </c>
      <c r="AV3" s="2" t="s">
        <v>13</v>
      </c>
      <c r="AW3" s="2" t="s">
        <v>11</v>
      </c>
      <c r="AX3" s="2" t="s">
        <v>12</v>
      </c>
      <c r="AY3" s="2" t="s">
        <v>11</v>
      </c>
    </row>
    <row r="4" spans="1:51" s="44" customFormat="1" x14ac:dyDescent="0.3">
      <c r="A4"/>
      <c r="B4"/>
      <c r="C4" s="2" t="s">
        <v>25</v>
      </c>
      <c r="D4" s="45">
        <v>1000</v>
      </c>
      <c r="E4" s="45">
        <f>AVERAGE(E11:E13)</f>
        <v>5.2571333333333339</v>
      </c>
      <c r="F4" s="45">
        <f>_xlfn.STDEV.S(E11:E13)</f>
        <v>0.11177483318409914</v>
      </c>
      <c r="G4" s="45">
        <f>D4*E4</f>
        <v>5257.1333333333341</v>
      </c>
      <c r="H4" s="45"/>
      <c r="I4" s="45"/>
      <c r="J4" s="45">
        <f>AVERAGE(J11:J13)</f>
        <v>0.55160729872011116</v>
      </c>
      <c r="K4" s="45">
        <f>_xlfn.STDEV.S(J11:J13)</f>
        <v>1.1297538273785591E-2</v>
      </c>
      <c r="L4" s="45">
        <v>652</v>
      </c>
      <c r="M4" s="45">
        <f>AVERAGE(M11:M13)</f>
        <v>5.389733333333333</v>
      </c>
      <c r="N4" s="45">
        <f>_xlfn.STDEV.S(M11:M13)</f>
        <v>0.27061827974719888</v>
      </c>
      <c r="O4" s="45">
        <f>L4*M4</f>
        <v>3514.1061333333332</v>
      </c>
      <c r="P4" s="45">
        <f>AVERAGE(P11:P13)</f>
        <v>0.66850836327623531</v>
      </c>
      <c r="Q4" s="45">
        <f>_xlfn.STDEV.S(P11:P13)</f>
        <v>3.2738324440336794E-2</v>
      </c>
      <c r="R4" s="45">
        <f>AVERAGE(R11:R13)</f>
        <v>0.56289594467616511</v>
      </c>
      <c r="S4" s="47">
        <f>_xlfn.STDEV.S(R11:R13)</f>
        <v>5.043878771675038E-4</v>
      </c>
      <c r="T4" s="48">
        <v>375</v>
      </c>
      <c r="U4" s="45">
        <f>AVERAGE(U11:U13)</f>
        <v>8.9928666666666661</v>
      </c>
      <c r="V4" s="45">
        <f>_xlfn.STDEV.S(U11:U13)</f>
        <v>0.73501217223480964</v>
      </c>
      <c r="W4" s="45">
        <f>T4*U4</f>
        <v>3372.3249999999998</v>
      </c>
      <c r="X4" s="45">
        <f>AVERAGE(X11:X13)</f>
        <v>0.9636811529753565</v>
      </c>
      <c r="Y4" s="45">
        <f>_xlfn.STDEV.S(X11:X13)</f>
        <v>0.12571445532032297</v>
      </c>
      <c r="Z4" s="45">
        <f>AVERAGE(Z11:Z13)</f>
        <v>0.70074486424837612</v>
      </c>
      <c r="AA4" s="45">
        <f>_xlfn.STDEV.S(Z11:Z13)</f>
        <v>5.9813864583433034E-3</v>
      </c>
      <c r="AB4" s="45">
        <v>460</v>
      </c>
      <c r="AC4" s="45">
        <f>AVERAGE(AC11:AC13)</f>
        <v>2.508666666666667E-2</v>
      </c>
      <c r="AD4" s="45">
        <f>_xlfn.STDEV.S(AC11:AC13)</f>
        <v>3.1189955648146298E-3</v>
      </c>
      <c r="AE4" s="45">
        <f>AB4*AC4</f>
        <v>11.539866666666668</v>
      </c>
      <c r="AF4" s="45">
        <f>AVERAGE(AF11:AF13)</f>
        <v>3.2919103568528432E-3</v>
      </c>
      <c r="AG4" s="45">
        <f>_xlfn.STDEV.S(AF11:AF13)</f>
        <v>4.602226666194435E-4</v>
      </c>
      <c r="AH4" s="45">
        <f>AVERAGE(AH11:AH13)</f>
        <v>7.7076693370086435E-2</v>
      </c>
      <c r="AI4" s="45">
        <f>_xlfn.STDEV.S(AH11:AH13)</f>
        <v>1.1634369330001117E-2</v>
      </c>
      <c r="AJ4" s="45">
        <v>390</v>
      </c>
      <c r="AK4" s="45">
        <f>AVERAGE(AK11:AK13)</f>
        <v>6.9707333333333343</v>
      </c>
      <c r="AL4" s="45">
        <f>_xlfn.STDEV.S(AK11:AK13)</f>
        <v>0.24163164803753059</v>
      </c>
      <c r="AM4" s="45">
        <f>AJ4*AK4</f>
        <v>2718.5860000000002</v>
      </c>
      <c r="AN4" s="45">
        <f>AVERAGE(AN11:AN13)</f>
        <v>0.80872795386182472</v>
      </c>
      <c r="AO4" s="45">
        <f>_xlfn.STDEV.S(AN11:AN13)</f>
        <v>5.1075826544780142E-2</v>
      </c>
      <c r="AP4" s="45">
        <f>AVERAGE(AP11:AP13)</f>
        <v>0.67931385955450885</v>
      </c>
      <c r="AQ4" s="45">
        <f>_xlfn.STDEV.S(AP11:AP13)</f>
        <v>3.0344871725608456E-3</v>
      </c>
      <c r="AR4" s="45">
        <f>AVERAGE(AR11:AR13)</f>
        <v>0</v>
      </c>
      <c r="AS4" s="45">
        <f>AVERAGE(AS11:AS13)</f>
        <v>0</v>
      </c>
      <c r="AT4" s="45">
        <f>_xlfn.STDEV.S(AS11:AS13)</f>
        <v>0</v>
      </c>
      <c r="AU4" s="45">
        <f>AR4*AS4</f>
        <v>0</v>
      </c>
      <c r="AV4" s="45">
        <f>AVERAGE(AV11:AV13)</f>
        <v>0</v>
      </c>
      <c r="AW4" s="45">
        <f>_xlfn.STDEV.S(AV11:AV13)</f>
        <v>0</v>
      </c>
      <c r="AX4" s="45" t="e">
        <f>AVERAGE(AX11:AX13)</f>
        <v>#DIV/0!</v>
      </c>
      <c r="AY4" s="45" t="e">
        <f>_xlfn.STDEV.S(AX11:AX13)</f>
        <v>#DIV/0!</v>
      </c>
    </row>
    <row r="5" spans="1:51" s="44" customFormat="1" x14ac:dyDescent="0.3">
      <c r="A5"/>
      <c r="B5"/>
      <c r="C5" s="2" t="s">
        <v>24</v>
      </c>
      <c r="D5" s="45">
        <v>1000</v>
      </c>
      <c r="E5" s="45">
        <f>AVERAGE(E14:E16)</f>
        <v>5.4910666666666677</v>
      </c>
      <c r="F5" s="45">
        <f>_xlfn.STDEV.S(E14:E16)</f>
        <v>0.11707644226458734</v>
      </c>
      <c r="G5" s="45">
        <f>D5*E5</f>
        <v>5491.0666666666675</v>
      </c>
      <c r="H5" s="45"/>
      <c r="I5" s="45"/>
      <c r="J5" s="45">
        <f>AVERAGE(J14:J16)</f>
        <v>0.61932151257593426</v>
      </c>
      <c r="K5" s="45">
        <f>_xlfn.STDEV.S(J14:J16)</f>
        <v>3.201187823750585E-3</v>
      </c>
      <c r="L5" s="45">
        <v>607</v>
      </c>
      <c r="M5" s="45">
        <f>AVERAGE(M14:M16)</f>
        <v>5.9487333333333341</v>
      </c>
      <c r="N5" s="45">
        <f>_xlfn.STDEV.S(M14:M16)</f>
        <v>0.2201789575171374</v>
      </c>
      <c r="O5" s="45">
        <f>L5*M5</f>
        <v>3610.8811333333338</v>
      </c>
      <c r="P5" s="45">
        <f>AVERAGE(P14:P16)</f>
        <v>0.65770901010220417</v>
      </c>
      <c r="Q5" s="45">
        <f>_xlfn.STDEV.S(P14:P16)</f>
        <v>2.5239950658621842E-2</v>
      </c>
      <c r="R5" s="45">
        <f>AVERAGE(R14:R16)</f>
        <v>0.62546564006320027</v>
      </c>
      <c r="S5" s="47">
        <f>_xlfn.STDEV.S(R14:R16)</f>
        <v>2.5407423257938107E-3</v>
      </c>
      <c r="T5" s="48">
        <v>350</v>
      </c>
      <c r="U5" s="45">
        <f>AVERAGE(U14:U16)</f>
        <v>9.668000000000001</v>
      </c>
      <c r="V5" s="45">
        <f>_xlfn.STDEV.S(U14:U16)</f>
        <v>7.4280818519990618E-2</v>
      </c>
      <c r="W5" s="45">
        <f>T5*U5</f>
        <v>3383.8</v>
      </c>
      <c r="X5" s="45">
        <f>AVERAGE(X14:X16)</f>
        <v>0.93783172401705939</v>
      </c>
      <c r="Y5" s="45">
        <f>_xlfn.STDEV.S(X14:X16)</f>
        <v>2.9400247297333565E-2</v>
      </c>
      <c r="Z5" s="45">
        <f>AVERAGE(Z14:Z16)</f>
        <v>0.73573427653643986</v>
      </c>
      <c r="AA5" s="45">
        <f>_xlfn.STDEV.S(Z14:Z16)</f>
        <v>8.4430653760261039E-3</v>
      </c>
      <c r="AB5" s="45">
        <v>405</v>
      </c>
      <c r="AC5" s="45">
        <f>AVERAGE(AC14:AC16)</f>
        <v>0.1483488878</v>
      </c>
      <c r="AD5" s="45">
        <f>_xlfn.STDEV.S(AC14:AC16)</f>
        <v>1.7470962485534858E-2</v>
      </c>
      <c r="AE5" s="45">
        <f>AB5*AC5</f>
        <v>60.081299559000001</v>
      </c>
      <c r="AF5" s="45">
        <f>AVERAGE(AF14:AF16)</f>
        <v>1.6703482854858277E-2</v>
      </c>
      <c r="AG5" s="45">
        <f>_xlfn.STDEV.S(AF14:AF16)</f>
        <v>2.6290107476601467E-3</v>
      </c>
      <c r="AH5" s="45">
        <f>AVERAGE(AH14:AH16)</f>
        <v>3.2986611344820296E-2</v>
      </c>
      <c r="AI5" s="45">
        <f>_xlfn.STDEV.S(AH14:AH16)</f>
        <v>9.0687404849730223E-3</v>
      </c>
      <c r="AJ5" s="45">
        <v>350</v>
      </c>
      <c r="AK5" s="45">
        <f>AVERAGE(AK14:AK16)</f>
        <v>8.3784666666666663</v>
      </c>
      <c r="AL5" s="45">
        <f>_xlfn.STDEV.S(AK14:AK16)</f>
        <v>4.0506954135473013E-2</v>
      </c>
      <c r="AM5" s="45">
        <f>AJ5*AK5</f>
        <v>2932.4633333333331</v>
      </c>
      <c r="AN5" s="45">
        <f>AVERAGE(AN14:AN16)</f>
        <v>0.86666364532859053</v>
      </c>
      <c r="AO5" s="45">
        <f>_xlfn.STDEV.S(AN14:AN16)</f>
        <v>9.5135819519737725E-3</v>
      </c>
      <c r="AP5" s="45">
        <f>AVERAGE(AP14:AP16)</f>
        <v>0.75461730728872922</v>
      </c>
      <c r="AQ5" s="45">
        <f>_xlfn.STDEV.S(AP14:AP16)</f>
        <v>4.3178208882955725E-3</v>
      </c>
      <c r="AR5" s="45">
        <f>AVERAGE(AR14:AR16)</f>
        <v>0</v>
      </c>
      <c r="AS5" s="45">
        <f>AVERAGE(AS14:AS16)</f>
        <v>0</v>
      </c>
      <c r="AT5" s="45">
        <f>_xlfn.STDEV.S(AS14:AS16)</f>
        <v>0</v>
      </c>
      <c r="AU5" s="45">
        <f>AR5*AS5</f>
        <v>0</v>
      </c>
      <c r="AV5" s="45">
        <f>AVERAGE(AV14:AV16)</f>
        <v>0</v>
      </c>
      <c r="AW5" s="45">
        <f>_xlfn.STDEV.S(AV14:AV16)</f>
        <v>0</v>
      </c>
      <c r="AX5" s="45" t="e">
        <f>AVERAGE(AX14:AX16)</f>
        <v>#DIV/0!</v>
      </c>
      <c r="AY5" s="45" t="e">
        <f>_xlfn.STDEV.S(AX14:AX16)</f>
        <v>#DIV/0!</v>
      </c>
    </row>
    <row r="6" spans="1:51" s="44" customFormat="1" x14ac:dyDescent="0.3">
      <c r="A6"/>
      <c r="B6"/>
      <c r="C6" s="2" t="s">
        <v>23</v>
      </c>
      <c r="D6" s="45">
        <f t="shared" ref="D6:AY6" si="0">AVERAGE(D4:D5)</f>
        <v>1000</v>
      </c>
      <c r="E6" s="45">
        <f t="shared" si="0"/>
        <v>5.3741000000000003</v>
      </c>
      <c r="F6" s="45">
        <f t="shared" si="0"/>
        <v>0.11442563772434325</v>
      </c>
      <c r="G6" s="45">
        <f t="shared" si="0"/>
        <v>5374.1</v>
      </c>
      <c r="H6" s="45" t="e">
        <f t="shared" si="0"/>
        <v>#DIV/0!</v>
      </c>
      <c r="I6" s="45" t="e">
        <f t="shared" si="0"/>
        <v>#DIV/0!</v>
      </c>
      <c r="J6" s="45">
        <f t="shared" si="0"/>
        <v>0.58546440564802271</v>
      </c>
      <c r="K6" s="45">
        <f t="shared" si="0"/>
        <v>7.2493630487680876E-3</v>
      </c>
      <c r="L6" s="45">
        <f t="shared" si="0"/>
        <v>629.5</v>
      </c>
      <c r="M6" s="45">
        <f t="shared" si="0"/>
        <v>5.6692333333333336</v>
      </c>
      <c r="N6" s="45">
        <f t="shared" si="0"/>
        <v>0.24539861863216814</v>
      </c>
      <c r="O6" s="45">
        <f t="shared" si="0"/>
        <v>3562.4936333333335</v>
      </c>
      <c r="P6" s="45">
        <f t="shared" si="0"/>
        <v>0.66310868668921974</v>
      </c>
      <c r="Q6" s="45">
        <f t="shared" si="0"/>
        <v>2.8989137549479318E-2</v>
      </c>
      <c r="R6" s="45">
        <f t="shared" si="0"/>
        <v>0.59418079236968269</v>
      </c>
      <c r="S6" s="47">
        <f t="shared" si="0"/>
        <v>1.5225651014806572E-3</v>
      </c>
      <c r="T6" s="48">
        <f t="shared" si="0"/>
        <v>362.5</v>
      </c>
      <c r="U6" s="45">
        <f t="shared" si="0"/>
        <v>9.3304333333333336</v>
      </c>
      <c r="V6" s="45">
        <f t="shared" si="0"/>
        <v>0.40464649537740011</v>
      </c>
      <c r="W6" s="45">
        <f t="shared" si="0"/>
        <v>3378.0625</v>
      </c>
      <c r="X6" s="45">
        <f t="shared" si="0"/>
        <v>0.95075643849620795</v>
      </c>
      <c r="Y6" s="45">
        <f t="shared" si="0"/>
        <v>7.7557351308828265E-2</v>
      </c>
      <c r="Z6" s="45">
        <f t="shared" si="0"/>
        <v>0.71823957039240804</v>
      </c>
      <c r="AA6" s="45">
        <f t="shared" si="0"/>
        <v>7.2122259171847041E-3</v>
      </c>
      <c r="AB6" s="45">
        <f t="shared" si="0"/>
        <v>432.5</v>
      </c>
      <c r="AC6" s="45">
        <f t="shared" si="0"/>
        <v>8.6717777233333335E-2</v>
      </c>
      <c r="AD6" s="45">
        <f t="shared" si="0"/>
        <v>1.0294979025174743E-2</v>
      </c>
      <c r="AE6" s="45">
        <f t="shared" si="0"/>
        <v>35.810583112833335</v>
      </c>
      <c r="AF6" s="45">
        <f t="shared" si="0"/>
        <v>9.9976966058555605E-3</v>
      </c>
      <c r="AG6" s="45">
        <f t="shared" si="0"/>
        <v>1.544616707139795E-3</v>
      </c>
      <c r="AH6" s="45">
        <f t="shared" si="0"/>
        <v>5.5031652357453366E-2</v>
      </c>
      <c r="AI6" s="45">
        <f t="shared" si="0"/>
        <v>1.0351554907487071E-2</v>
      </c>
      <c r="AJ6" s="45">
        <f t="shared" si="0"/>
        <v>370</v>
      </c>
      <c r="AK6" s="45">
        <f t="shared" si="0"/>
        <v>7.6745999999999999</v>
      </c>
      <c r="AL6" s="45">
        <f t="shared" si="0"/>
        <v>0.14106930108650181</v>
      </c>
      <c r="AM6" s="45">
        <f t="shared" si="0"/>
        <v>2825.5246666666667</v>
      </c>
      <c r="AN6" s="45">
        <f t="shared" si="0"/>
        <v>0.83769579959520768</v>
      </c>
      <c r="AO6" s="45">
        <f t="shared" si="0"/>
        <v>3.0294704248376957E-2</v>
      </c>
      <c r="AP6" s="45">
        <f t="shared" si="0"/>
        <v>0.71696558342161909</v>
      </c>
      <c r="AQ6" s="45">
        <f t="shared" si="0"/>
        <v>3.6761540304282091E-3</v>
      </c>
      <c r="AR6" s="45">
        <f t="shared" si="0"/>
        <v>0</v>
      </c>
      <c r="AS6" s="45">
        <f t="shared" si="0"/>
        <v>0</v>
      </c>
      <c r="AT6" s="45">
        <f t="shared" si="0"/>
        <v>0</v>
      </c>
      <c r="AU6" s="45">
        <f t="shared" si="0"/>
        <v>0</v>
      </c>
      <c r="AV6" s="45">
        <f t="shared" si="0"/>
        <v>0</v>
      </c>
      <c r="AW6" s="45">
        <f t="shared" si="0"/>
        <v>0</v>
      </c>
      <c r="AX6" s="45" t="e">
        <f t="shared" si="0"/>
        <v>#DIV/0!</v>
      </c>
      <c r="AY6" s="45" t="e">
        <f t="shared" si="0"/>
        <v>#DIV/0!</v>
      </c>
    </row>
    <row r="7" spans="1:51" s="44" customFormat="1" x14ac:dyDescent="0.3">
      <c r="A7"/>
      <c r="B7"/>
      <c r="C7" s="2" t="s">
        <v>61</v>
      </c>
      <c r="D7" s="45">
        <f t="shared" ref="D7:AY7" si="1">_xlfn.STDEV.S(D4:D5)</f>
        <v>0</v>
      </c>
      <c r="E7" s="45">
        <f t="shared" si="1"/>
        <v>0.16541584634557333</v>
      </c>
      <c r="F7" s="45">
        <f t="shared" si="1"/>
        <v>3.748803732013382E-3</v>
      </c>
      <c r="G7" s="45">
        <f t="shared" si="1"/>
        <v>165.41584634557304</v>
      </c>
      <c r="H7" s="45" t="e">
        <f t="shared" si="1"/>
        <v>#DIV/0!</v>
      </c>
      <c r="I7" s="45" t="e">
        <f t="shared" si="1"/>
        <v>#DIV/0!</v>
      </c>
      <c r="J7" s="45">
        <f t="shared" si="1"/>
        <v>4.7881179800168594E-2</v>
      </c>
      <c r="K7" s="45">
        <f t="shared" si="1"/>
        <v>5.7249843060825098E-3</v>
      </c>
      <c r="L7" s="45">
        <f t="shared" si="1"/>
        <v>31.81980515339464</v>
      </c>
      <c r="M7" s="45">
        <f t="shared" si="1"/>
        <v>0.3952726906832808</v>
      </c>
      <c r="N7" s="45">
        <f t="shared" si="1"/>
        <v>3.5665986787329941E-2</v>
      </c>
      <c r="O7" s="45">
        <f t="shared" si="1"/>
        <v>68.430258749328516</v>
      </c>
      <c r="P7" s="45">
        <f t="shared" si="1"/>
        <v>7.6362958617858809E-3</v>
      </c>
      <c r="Q7" s="45">
        <f t="shared" si="1"/>
        <v>5.3021509489220601E-3</v>
      </c>
      <c r="R7" s="45">
        <f t="shared" si="1"/>
        <v>4.4243455904949207E-2</v>
      </c>
      <c r="S7" s="47">
        <f t="shared" si="1"/>
        <v>1.4399200395230547E-3</v>
      </c>
      <c r="T7" s="48">
        <f t="shared" si="1"/>
        <v>17.677669529663689</v>
      </c>
      <c r="U7" s="45">
        <f t="shared" si="1"/>
        <v>0.47739135820507889</v>
      </c>
      <c r="V7" s="45">
        <f t="shared" si="1"/>
        <v>0.46720762075431582</v>
      </c>
      <c r="W7" s="45">
        <f t="shared" si="1"/>
        <v>8.1140503141158895</v>
      </c>
      <c r="X7" s="45">
        <f t="shared" si="1"/>
        <v>1.8278306506211803E-2</v>
      </c>
      <c r="Y7" s="45">
        <f t="shared" si="1"/>
        <v>6.8104429617667592E-2</v>
      </c>
      <c r="Z7" s="45">
        <f t="shared" si="1"/>
        <v>2.4741250698621781E-2</v>
      </c>
      <c r="AA7" s="45">
        <f t="shared" si="1"/>
        <v>1.7406698557974692E-3</v>
      </c>
      <c r="AB7" s="45">
        <f t="shared" si="1"/>
        <v>38.890872965260115</v>
      </c>
      <c r="AC7" s="45">
        <f t="shared" si="1"/>
        <v>8.7159552427495748E-2</v>
      </c>
      <c r="AD7" s="45">
        <f t="shared" si="1"/>
        <v>1.0148373133006287E-2</v>
      </c>
      <c r="AE7" s="45">
        <f t="shared" si="1"/>
        <v>34.323976366680625</v>
      </c>
      <c r="AF7" s="45">
        <f t="shared" si="1"/>
        <v>9.4834138597146445E-3</v>
      </c>
      <c r="AG7" s="45">
        <f t="shared" si="1"/>
        <v>1.5335647590604409E-3</v>
      </c>
      <c r="AH7" s="45">
        <f t="shared" si="1"/>
        <v>3.1176395983136786E-2</v>
      </c>
      <c r="AI7" s="45">
        <f t="shared" si="1"/>
        <v>1.8141735543271756E-3</v>
      </c>
      <c r="AJ7" s="45">
        <f t="shared" si="1"/>
        <v>28.284271247461902</v>
      </c>
      <c r="AK7" s="45">
        <f t="shared" si="1"/>
        <v>0.99541778610234155</v>
      </c>
      <c r="AL7" s="45">
        <f t="shared" si="1"/>
        <v>0.14221663492221356</v>
      </c>
      <c r="AM7" s="45">
        <f t="shared" si="1"/>
        <v>151.23411274209531</v>
      </c>
      <c r="AN7" s="45">
        <f t="shared" si="1"/>
        <v>4.0966720308881696E-2</v>
      </c>
      <c r="AO7" s="45">
        <f t="shared" si="1"/>
        <v>2.9388944992907305E-2</v>
      </c>
      <c r="AP7" s="45">
        <f t="shared" si="1"/>
        <v>5.3247578539593984E-2</v>
      </c>
      <c r="AQ7" s="45">
        <f t="shared" si="1"/>
        <v>9.074539729213545E-4</v>
      </c>
      <c r="AR7" s="45">
        <f t="shared" si="1"/>
        <v>0</v>
      </c>
      <c r="AS7" s="45">
        <f t="shared" si="1"/>
        <v>0</v>
      </c>
      <c r="AT7" s="45">
        <f t="shared" si="1"/>
        <v>0</v>
      </c>
      <c r="AU7" s="45">
        <f t="shared" si="1"/>
        <v>0</v>
      </c>
      <c r="AV7" s="45">
        <f t="shared" si="1"/>
        <v>0</v>
      </c>
      <c r="AW7" s="45">
        <f t="shared" si="1"/>
        <v>0</v>
      </c>
      <c r="AX7" s="45" t="e">
        <f t="shared" si="1"/>
        <v>#DIV/0!</v>
      </c>
      <c r="AY7" s="45" t="e">
        <f t="shared" si="1"/>
        <v>#DIV/0!</v>
      </c>
    </row>
    <row r="9" spans="1:51" x14ac:dyDescent="0.3">
      <c r="C9" s="2" t="s">
        <v>22</v>
      </c>
      <c r="D9" s="105" t="s">
        <v>21</v>
      </c>
      <c r="E9" s="106"/>
      <c r="F9" s="106"/>
      <c r="G9" s="106"/>
      <c r="H9" s="106"/>
      <c r="I9" s="106"/>
      <c r="J9" s="106"/>
      <c r="K9" s="107"/>
      <c r="L9" s="108" t="s">
        <v>26</v>
      </c>
      <c r="M9" s="108"/>
      <c r="N9" s="108"/>
      <c r="O9" s="108"/>
      <c r="P9" s="108"/>
      <c r="Q9" s="108"/>
      <c r="R9" s="108"/>
      <c r="S9" s="108"/>
      <c r="T9" s="105" t="s">
        <v>20</v>
      </c>
      <c r="U9" s="106"/>
      <c r="V9" s="106"/>
      <c r="W9" s="106"/>
      <c r="X9" s="106"/>
      <c r="Y9" s="106"/>
      <c r="Z9" s="106"/>
      <c r="AA9" s="107"/>
      <c r="AB9" s="105" t="s">
        <v>19</v>
      </c>
      <c r="AC9" s="106"/>
      <c r="AD9" s="106"/>
      <c r="AE9" s="106"/>
      <c r="AF9" s="106"/>
      <c r="AG9" s="106"/>
      <c r="AH9" s="106"/>
      <c r="AI9" s="107"/>
      <c r="AJ9" s="105" t="s">
        <v>3</v>
      </c>
      <c r="AK9" s="106"/>
      <c r="AL9" s="106"/>
      <c r="AM9" s="106"/>
      <c r="AN9" s="106"/>
      <c r="AO9" s="106"/>
      <c r="AP9" s="106"/>
      <c r="AQ9" s="107"/>
      <c r="AR9" s="105" t="s">
        <v>18</v>
      </c>
      <c r="AS9" s="106"/>
      <c r="AT9" s="106"/>
      <c r="AU9" s="106"/>
      <c r="AV9" s="106"/>
      <c r="AW9" s="106"/>
      <c r="AX9" s="106"/>
      <c r="AY9" s="107"/>
    </row>
    <row r="10" spans="1:51" ht="15.75" customHeight="1" x14ac:dyDescent="0.3">
      <c r="C10" s="2" t="s">
        <v>17</v>
      </c>
      <c r="D10" s="2" t="s">
        <v>16</v>
      </c>
      <c r="E10" s="2" t="s">
        <v>15</v>
      </c>
      <c r="F10" s="2" t="s">
        <v>11</v>
      </c>
      <c r="G10" s="2" t="s">
        <v>14</v>
      </c>
      <c r="H10" s="2" t="s">
        <v>13</v>
      </c>
      <c r="I10" s="2" t="s">
        <v>11</v>
      </c>
      <c r="J10" s="2" t="s">
        <v>12</v>
      </c>
      <c r="K10" s="2" t="s">
        <v>11</v>
      </c>
      <c r="L10" s="2" t="s">
        <v>16</v>
      </c>
      <c r="M10" s="2" t="s">
        <v>15</v>
      </c>
      <c r="N10" s="2" t="s">
        <v>11</v>
      </c>
      <c r="O10" s="2" t="s">
        <v>14</v>
      </c>
      <c r="P10" s="2" t="s">
        <v>13</v>
      </c>
      <c r="Q10" s="2" t="s">
        <v>11</v>
      </c>
      <c r="R10" s="2" t="s">
        <v>12</v>
      </c>
      <c r="S10" s="21" t="s">
        <v>11</v>
      </c>
      <c r="T10" s="14" t="s">
        <v>16</v>
      </c>
      <c r="U10" s="2" t="s">
        <v>15</v>
      </c>
      <c r="V10" s="2" t="s">
        <v>11</v>
      </c>
      <c r="W10" s="2" t="s">
        <v>14</v>
      </c>
      <c r="X10" s="2" t="s">
        <v>13</v>
      </c>
      <c r="Y10" s="2" t="s">
        <v>11</v>
      </c>
      <c r="Z10" s="2" t="s">
        <v>12</v>
      </c>
      <c r="AA10" s="2" t="s">
        <v>11</v>
      </c>
      <c r="AB10" s="2" t="s">
        <v>16</v>
      </c>
      <c r="AC10" s="2" t="s">
        <v>15</v>
      </c>
      <c r="AD10" s="2" t="s">
        <v>11</v>
      </c>
      <c r="AE10" s="2" t="s">
        <v>14</v>
      </c>
      <c r="AF10" s="2" t="s">
        <v>13</v>
      </c>
      <c r="AG10" s="2" t="s">
        <v>11</v>
      </c>
      <c r="AH10" s="2" t="s">
        <v>12</v>
      </c>
      <c r="AI10" s="2" t="s">
        <v>11</v>
      </c>
      <c r="AJ10" s="2" t="s">
        <v>16</v>
      </c>
      <c r="AK10" s="2" t="s">
        <v>15</v>
      </c>
      <c r="AL10" s="2" t="s">
        <v>11</v>
      </c>
      <c r="AM10" s="2" t="s">
        <v>14</v>
      </c>
      <c r="AN10" s="2" t="s">
        <v>13</v>
      </c>
      <c r="AO10" s="2" t="s">
        <v>11</v>
      </c>
      <c r="AP10" s="2" t="s">
        <v>12</v>
      </c>
      <c r="AQ10" s="2" t="s">
        <v>11</v>
      </c>
      <c r="AR10" s="2" t="s">
        <v>16</v>
      </c>
      <c r="AS10" s="2" t="s">
        <v>15</v>
      </c>
      <c r="AT10" s="2" t="s">
        <v>11</v>
      </c>
      <c r="AU10" s="2" t="s">
        <v>14</v>
      </c>
      <c r="AV10" s="2" t="s">
        <v>13</v>
      </c>
      <c r="AW10" s="2" t="s">
        <v>11</v>
      </c>
      <c r="AX10" s="2" t="s">
        <v>12</v>
      </c>
      <c r="AY10" s="2" t="s">
        <v>11</v>
      </c>
    </row>
    <row r="11" spans="1:51" s="44" customFormat="1" x14ac:dyDescent="0.3">
      <c r="A11"/>
      <c r="B11"/>
      <c r="C11" s="2" t="s">
        <v>10</v>
      </c>
      <c r="D11" s="45">
        <v>1000</v>
      </c>
      <c r="E11" s="45">
        <f>(0.162*C25-0.098*C29)*$A$2</f>
        <v>5.1740000000000013</v>
      </c>
      <c r="F11" s="45"/>
      <c r="G11" s="45">
        <f t="shared" ref="G11:G16" si="2">D11*E11</f>
        <v>5174.0000000000009</v>
      </c>
      <c r="H11" s="45"/>
      <c r="I11" s="45"/>
      <c r="J11" s="45">
        <f>C25/C21</f>
        <v>0.53883495145631066</v>
      </c>
      <c r="K11" s="45"/>
      <c r="L11" s="45">
        <v>652</v>
      </c>
      <c r="M11" s="45">
        <f>(0.162*D25-0.098*D29)*$A$2</f>
        <v>5.5586000000000002</v>
      </c>
      <c r="N11" s="45"/>
      <c r="O11" s="45">
        <f t="shared" ref="O11:O16" si="3">L11*M11</f>
        <v>3624.2072000000003</v>
      </c>
      <c r="P11" s="45">
        <f t="shared" ref="P11:P16" si="4">O11/G11</f>
        <v>0.70046524932354071</v>
      </c>
      <c r="Q11" s="45"/>
      <c r="R11" s="45">
        <f>D25/D21</f>
        <v>0.56346381969157766</v>
      </c>
      <c r="S11" s="47"/>
      <c r="T11" s="48">
        <v>375</v>
      </c>
      <c r="U11" s="45">
        <f>(0.162*E25-0.098*E29)*$A$2</f>
        <v>8.2457999999999991</v>
      </c>
      <c r="V11" s="45"/>
      <c r="W11" s="45">
        <f t="shared" ref="W11:W16" si="5">T11*U11</f>
        <v>3092.1749999999997</v>
      </c>
      <c r="X11" s="45">
        <f t="shared" ref="X11:X16" si="6">W11/O11</f>
        <v>0.85320039097102385</v>
      </c>
      <c r="Y11" s="45"/>
      <c r="Z11" s="45">
        <f>E25/E21</f>
        <v>0.69664031620553357</v>
      </c>
      <c r="AA11" s="45"/>
      <c r="AB11" s="45">
        <v>460</v>
      </c>
      <c r="AC11" s="45">
        <f>(0.162*F25-0.098*F29)*10</f>
        <v>2.7760000000000007E-2</v>
      </c>
      <c r="AD11" s="45"/>
      <c r="AE11" s="45">
        <f t="shared" ref="AE11:AE16" si="7">AB11*AC11</f>
        <v>12.769600000000004</v>
      </c>
      <c r="AF11" s="45">
        <f t="shared" ref="AF11:AF16" si="8">AE11/O11</f>
        <v>3.52341885971641E-3</v>
      </c>
      <c r="AG11" s="45"/>
      <c r="AH11" s="45">
        <f>F25/F21</f>
        <v>8.8652482269503563E-2</v>
      </c>
      <c r="AI11" s="45"/>
      <c r="AJ11" s="45">
        <v>390</v>
      </c>
      <c r="AK11" s="45">
        <f>(0.162*G25-0.098*G29)*$A$2</f>
        <v>6.7112000000000007</v>
      </c>
      <c r="AL11" s="45"/>
      <c r="AM11" s="45">
        <f t="shared" ref="AM11:AM16" si="9">AJ11*AK11</f>
        <v>2617.3680000000004</v>
      </c>
      <c r="AN11" s="45">
        <f t="shared" ref="AN11:AN16" si="10">AM11/W11</f>
        <v>0.84644885881297161</v>
      </c>
      <c r="AO11" s="45"/>
      <c r="AP11" s="45">
        <f>G25/G21</f>
        <v>0.68203309692671388</v>
      </c>
      <c r="AQ11" s="45"/>
      <c r="AR11" s="45">
        <f>'[1]cell disruption'!AS26</f>
        <v>0</v>
      </c>
      <c r="AS11" s="45">
        <f>0.162*'[1]cell disruption'!AW26-0.098*'[1]cell disruption'!AY26</f>
        <v>0</v>
      </c>
      <c r="AT11" s="45"/>
      <c r="AU11" s="45">
        <f t="shared" ref="AU11:AU16" si="11">AR11*AS11</f>
        <v>0</v>
      </c>
      <c r="AV11" s="45">
        <f t="shared" ref="AV11:AV16" si="12">AU11/W11</f>
        <v>0</v>
      </c>
      <c r="AW11" s="45"/>
      <c r="AX11" s="45" t="e">
        <f>'[1]cell disruption'!AW26/'[1]cell disruption'!AU26</f>
        <v>#DIV/0!</v>
      </c>
      <c r="AY11" s="45"/>
    </row>
    <row r="12" spans="1:51" s="44" customFormat="1" x14ac:dyDescent="0.3">
      <c r="A12"/>
      <c r="B12"/>
      <c r="C12" s="2" t="s">
        <v>9</v>
      </c>
      <c r="D12" s="45">
        <v>1000</v>
      </c>
      <c r="E12" s="45">
        <f>(0.162*C26-0.098*C30)*$A$2</f>
        <v>5.3841999999999999</v>
      </c>
      <c r="F12" s="45"/>
      <c r="G12" s="45">
        <f t="shared" si="2"/>
        <v>5384.2</v>
      </c>
      <c r="H12" s="45"/>
      <c r="I12" s="45"/>
      <c r="J12" s="45">
        <f>C26/C22</f>
        <v>0.56029232643118154</v>
      </c>
      <c r="K12" s="45"/>
      <c r="L12" s="45">
        <v>652</v>
      </c>
      <c r="M12" s="45">
        <f>(0.162*D26-0.098*D30)*$A$2</f>
        <v>5.5329999999999995</v>
      </c>
      <c r="N12" s="45"/>
      <c r="O12" s="45">
        <f t="shared" si="3"/>
        <v>3607.5159999999996</v>
      </c>
      <c r="P12" s="45">
        <f t="shared" si="4"/>
        <v>0.67001894431856168</v>
      </c>
      <c r="Q12" s="45"/>
      <c r="R12" s="45">
        <f>D26/D22</f>
        <v>0.56272401433691754</v>
      </c>
      <c r="S12" s="47"/>
      <c r="T12" s="48">
        <v>375</v>
      </c>
      <c r="U12" s="45">
        <f>(0.162*E26-0.098*E30)*$A$2</f>
        <v>9.0175999999999998</v>
      </c>
      <c r="V12" s="45"/>
      <c r="W12" s="45">
        <f t="shared" si="5"/>
        <v>3381.6</v>
      </c>
      <c r="X12" s="45">
        <f t="shared" si="6"/>
        <v>0.93737629992493454</v>
      </c>
      <c r="Y12" s="45"/>
      <c r="Z12" s="45">
        <f>E26/E22</f>
        <v>0.70760769935838685</v>
      </c>
      <c r="AA12" s="45"/>
      <c r="AB12" s="45">
        <v>460</v>
      </c>
      <c r="AC12" s="45">
        <f>(0.162*F26-0.098*F30)*10</f>
        <v>2.1660000000000006E-2</v>
      </c>
      <c r="AD12" s="45"/>
      <c r="AE12" s="45">
        <f t="shared" si="7"/>
        <v>9.9636000000000031</v>
      </c>
      <c r="AF12" s="45">
        <f t="shared" si="8"/>
        <v>2.7619004323196361E-3</v>
      </c>
      <c r="AG12" s="45"/>
      <c r="AH12" s="45">
        <f>F26/F22</f>
        <v>6.5384615384615388E-2</v>
      </c>
      <c r="AI12" s="45"/>
      <c r="AJ12" s="45">
        <v>390</v>
      </c>
      <c r="AK12" s="45">
        <f>(0.162*G26-0.098*G30)*$A$2</f>
        <v>7.1891999999999996</v>
      </c>
      <c r="AL12" s="45"/>
      <c r="AM12" s="45">
        <f t="shared" si="9"/>
        <v>2803.788</v>
      </c>
      <c r="AN12" s="45">
        <f t="shared" si="10"/>
        <v>0.8291305890702626</v>
      </c>
      <c r="AO12" s="45"/>
      <c r="AP12" s="45">
        <f>G26/G22</f>
        <v>0.67986798679867988</v>
      </c>
      <c r="AQ12" s="45"/>
      <c r="AR12" s="45">
        <f>'[1]cell disruption'!AS27</f>
        <v>0</v>
      </c>
      <c r="AS12" s="45">
        <f>0.162*'[1]cell disruption'!AW27-0.098*'[1]cell disruption'!AY27</f>
        <v>0</v>
      </c>
      <c r="AT12" s="45"/>
      <c r="AU12" s="45">
        <f t="shared" si="11"/>
        <v>0</v>
      </c>
      <c r="AV12" s="45">
        <f t="shared" si="12"/>
        <v>0</v>
      </c>
      <c r="AW12" s="45"/>
      <c r="AX12" s="45" t="e">
        <f>'[1]cell disruption'!AW27/'[1]cell disruption'!AU27</f>
        <v>#DIV/0!</v>
      </c>
      <c r="AY12" s="45"/>
    </row>
    <row r="13" spans="1:51" s="44" customFormat="1" x14ac:dyDescent="0.3">
      <c r="A13"/>
      <c r="B13"/>
      <c r="C13" s="2" t="s">
        <v>8</v>
      </c>
      <c r="D13" s="45">
        <v>1000</v>
      </c>
      <c r="E13" s="45">
        <f>(0.162*C27-0.098*C31)*$A$2</f>
        <v>5.2132000000000005</v>
      </c>
      <c r="F13" s="45"/>
      <c r="G13" s="45">
        <f t="shared" si="2"/>
        <v>5213.2000000000007</v>
      </c>
      <c r="H13" s="45"/>
      <c r="I13" s="45"/>
      <c r="J13" s="45">
        <f>C27/C23</f>
        <v>0.55569461827284106</v>
      </c>
      <c r="K13" s="45"/>
      <c r="L13" s="45">
        <v>652</v>
      </c>
      <c r="M13" s="45">
        <f>(0.162*D27-0.098*D31)*$A$2</f>
        <v>5.0776000000000003</v>
      </c>
      <c r="N13" s="45"/>
      <c r="O13" s="45">
        <f t="shared" si="3"/>
        <v>3310.5952000000002</v>
      </c>
      <c r="P13" s="45">
        <f t="shared" si="4"/>
        <v>0.6350408961866032</v>
      </c>
      <c r="Q13" s="45"/>
      <c r="R13" s="45">
        <f>D27/D23</f>
        <v>0.5625</v>
      </c>
      <c r="S13" s="47"/>
      <c r="T13" s="48">
        <v>375</v>
      </c>
      <c r="U13" s="45">
        <f>(0.162*E27-0.098*E31)*$A$2</f>
        <v>9.7151999999999994</v>
      </c>
      <c r="V13" s="45"/>
      <c r="W13" s="45">
        <f t="shared" si="5"/>
        <v>3643.2</v>
      </c>
      <c r="X13" s="45">
        <f t="shared" si="6"/>
        <v>1.1004667680301112</v>
      </c>
      <c r="Y13" s="45"/>
      <c r="Z13" s="45">
        <f>E27/E23</f>
        <v>0.69798657718120805</v>
      </c>
      <c r="AA13" s="45"/>
      <c r="AB13" s="45">
        <v>460</v>
      </c>
      <c r="AC13" s="45">
        <f>(0.162*F27-0.098*F31)*10</f>
        <v>2.5839999999999998E-2</v>
      </c>
      <c r="AD13" s="45"/>
      <c r="AE13" s="45">
        <f t="shared" si="7"/>
        <v>11.8864</v>
      </c>
      <c r="AF13" s="45">
        <f t="shared" si="8"/>
        <v>3.5904117785224843E-3</v>
      </c>
      <c r="AG13" s="45"/>
      <c r="AH13" s="45">
        <f>F27/F23</f>
        <v>7.7192982456140355E-2</v>
      </c>
      <c r="AI13" s="45"/>
      <c r="AJ13" s="45">
        <v>390</v>
      </c>
      <c r="AK13" s="45">
        <f>(0.162*G27-0.098*G31)*$A$2</f>
        <v>7.0118</v>
      </c>
      <c r="AL13" s="45"/>
      <c r="AM13" s="45">
        <f t="shared" si="9"/>
        <v>2734.6019999999999</v>
      </c>
      <c r="AN13" s="45">
        <f t="shared" si="10"/>
        <v>0.75060441370223974</v>
      </c>
      <c r="AO13" s="45"/>
      <c r="AP13" s="45">
        <f>G27/G23</f>
        <v>0.67604049493813267</v>
      </c>
      <c r="AQ13" s="45"/>
      <c r="AR13" s="45">
        <f>'[1]cell disruption'!AS28</f>
        <v>0</v>
      </c>
      <c r="AS13" s="45">
        <f>0.162*'[1]cell disruption'!AW28-0.098*'[1]cell disruption'!AY28</f>
        <v>0</v>
      </c>
      <c r="AT13" s="45"/>
      <c r="AU13" s="45">
        <f t="shared" si="11"/>
        <v>0</v>
      </c>
      <c r="AV13" s="45">
        <f t="shared" si="12"/>
        <v>0</v>
      </c>
      <c r="AW13" s="45"/>
      <c r="AX13" s="45" t="e">
        <f>'[1]cell disruption'!AW28/'[1]cell disruption'!AU28</f>
        <v>#DIV/0!</v>
      </c>
      <c r="AY13" s="45"/>
    </row>
    <row r="14" spans="1:51" s="44" customFormat="1" x14ac:dyDescent="0.3">
      <c r="A14"/>
      <c r="B14"/>
      <c r="C14" s="2" t="s">
        <v>7</v>
      </c>
      <c r="D14" s="45">
        <v>1000</v>
      </c>
      <c r="E14" s="45">
        <f>(0.162*J25-0.098*J29)*$A$2</f>
        <v>5.3914000000000009</v>
      </c>
      <c r="F14" s="45"/>
      <c r="G14" s="45">
        <f t="shared" si="2"/>
        <v>5391.4000000000005</v>
      </c>
      <c r="H14" s="45"/>
      <c r="I14" s="45"/>
      <c r="J14" s="45">
        <f>J25/J21</f>
        <v>0.61569688768606223</v>
      </c>
      <c r="K14" s="45"/>
      <c r="L14" s="45">
        <v>607</v>
      </c>
      <c r="M14" s="45">
        <f>(0.162*K25-0.098*K29)*$A$2</f>
        <v>6.0693999999999999</v>
      </c>
      <c r="N14" s="45"/>
      <c r="O14" s="45">
        <f t="shared" si="3"/>
        <v>3684.1257999999998</v>
      </c>
      <c r="P14" s="45">
        <f t="shared" si="4"/>
        <v>0.68333379085209767</v>
      </c>
      <c r="Q14" s="45"/>
      <c r="R14" s="45">
        <f>K25/K21</f>
        <v>0.62273276904474006</v>
      </c>
      <c r="S14" s="47"/>
      <c r="T14" s="48">
        <v>350</v>
      </c>
      <c r="U14" s="45">
        <f>(0.162*L25-0.098*L29)*$A$2</f>
        <v>9.6639999999999997</v>
      </c>
      <c r="V14" s="45"/>
      <c r="W14" s="45">
        <f t="shared" si="5"/>
        <v>3382.4</v>
      </c>
      <c r="X14" s="45">
        <f t="shared" si="6"/>
        <v>0.91810111370246916</v>
      </c>
      <c r="Y14" s="45"/>
      <c r="Z14" s="45">
        <f>L25/L21</f>
        <v>0.72599118942731278</v>
      </c>
      <c r="AA14" s="45"/>
      <c r="AB14" s="45">
        <v>405</v>
      </c>
      <c r="AC14" s="45">
        <f>(0.162*M25-0.098*M29)*$A$2</f>
        <v>0.13640000000000002</v>
      </c>
      <c r="AD14" s="45"/>
      <c r="AE14" s="45">
        <f t="shared" si="7"/>
        <v>55.242000000000012</v>
      </c>
      <c r="AF14" s="45">
        <f t="shared" si="8"/>
        <v>1.4994601975860871E-2</v>
      </c>
      <c r="AG14" s="45"/>
      <c r="AH14" s="45">
        <f>M25/M21</f>
        <v>2.3166023166023165E-2</v>
      </c>
      <c r="AI14" s="45"/>
      <c r="AJ14" s="45">
        <v>350</v>
      </c>
      <c r="AK14" s="45">
        <f>(0.162*N25-0.098*N29)*$A$2</f>
        <v>8.4193999999999996</v>
      </c>
      <c r="AL14" s="45"/>
      <c r="AM14" s="45">
        <f t="shared" si="9"/>
        <v>2946.79</v>
      </c>
      <c r="AN14" s="45">
        <f t="shared" si="10"/>
        <v>0.87121274834437079</v>
      </c>
      <c r="AO14" s="45"/>
      <c r="AP14" s="45">
        <f>N25/N21</f>
        <v>0.7594142259414226</v>
      </c>
      <c r="AQ14" s="45"/>
      <c r="AR14" s="45">
        <f>'[1]cell disruption'!AS29</f>
        <v>0</v>
      </c>
      <c r="AS14" s="45">
        <f>0.162*'[1]cell disruption'!AW29-0.098*'[1]cell disruption'!AY29</f>
        <v>0</v>
      </c>
      <c r="AT14" s="45"/>
      <c r="AU14" s="45">
        <f t="shared" si="11"/>
        <v>0</v>
      </c>
      <c r="AV14" s="45">
        <f t="shared" si="12"/>
        <v>0</v>
      </c>
      <c r="AW14" s="45"/>
      <c r="AX14" s="45" t="e">
        <f>'[1]cell disruption'!AW29/'[1]cell disruption'!AU29</f>
        <v>#DIV/0!</v>
      </c>
      <c r="AY14" s="45"/>
    </row>
    <row r="15" spans="1:51" s="44" customFormat="1" x14ac:dyDescent="0.3">
      <c r="A15"/>
      <c r="B15"/>
      <c r="C15" s="2" t="s">
        <v>6</v>
      </c>
      <c r="D15" s="45">
        <v>1000</v>
      </c>
      <c r="E15" s="45">
        <f>(0.162*J26-0.098*J30)*$A$2</f>
        <v>5.62</v>
      </c>
      <c r="F15" s="45"/>
      <c r="G15" s="45">
        <f t="shared" si="2"/>
        <v>5620</v>
      </c>
      <c r="H15" s="45"/>
      <c r="I15" s="45"/>
      <c r="J15" s="45">
        <f>J26/J22</f>
        <v>0.62176165803108807</v>
      </c>
      <c r="K15" s="45"/>
      <c r="L15" s="45">
        <v>607</v>
      </c>
      <c r="M15" s="45">
        <f>(0.162*K26-0.098*K30)*$A$2</f>
        <v>6.0822000000000012</v>
      </c>
      <c r="N15" s="45"/>
      <c r="O15" s="45">
        <f t="shared" si="3"/>
        <v>3691.8954000000008</v>
      </c>
      <c r="P15" s="45">
        <f t="shared" si="4"/>
        <v>0.6569208896797154</v>
      </c>
      <c r="Q15" s="45"/>
      <c r="R15" s="45">
        <f>K26/K22</f>
        <v>0.62590799031477007</v>
      </c>
      <c r="S15" s="47"/>
      <c r="T15" s="48">
        <v>350</v>
      </c>
      <c r="U15" s="45">
        <f>(0.162*L26-0.098*L30)*$A$2</f>
        <v>9.7441999999999993</v>
      </c>
      <c r="V15" s="45"/>
      <c r="W15" s="45">
        <f t="shared" si="5"/>
        <v>3410.47</v>
      </c>
      <c r="X15" s="45">
        <f t="shared" si="6"/>
        <v>0.92377210903645834</v>
      </c>
      <c r="Y15" s="45"/>
      <c r="Z15" s="45">
        <f>L26/L22</f>
        <v>0.74090505767524395</v>
      </c>
      <c r="AA15" s="45"/>
      <c r="AB15" s="45">
        <v>405</v>
      </c>
      <c r="AC15" s="45">
        <f>(0.162*M26-0.098*M30)*$A$2</f>
        <v>0.14024666339999997</v>
      </c>
      <c r="AD15" s="45"/>
      <c r="AE15" s="45">
        <f t="shared" si="7"/>
        <v>56.799898676999987</v>
      </c>
      <c r="AF15" s="45">
        <f t="shared" si="8"/>
        <v>1.5385023821910006E-2</v>
      </c>
      <c r="AG15" s="45"/>
      <c r="AH15" s="45">
        <f>M26/M22</f>
        <v>3.4749034749034742E-2</v>
      </c>
      <c r="AI15" s="45"/>
      <c r="AJ15" s="45">
        <v>350</v>
      </c>
      <c r="AK15" s="45">
        <f>(0.162*N26-0.098*N30)*$A$2</f>
        <v>8.3384</v>
      </c>
      <c r="AL15" s="45"/>
      <c r="AM15" s="45">
        <f t="shared" si="9"/>
        <v>2918.44</v>
      </c>
      <c r="AN15" s="45">
        <f t="shared" si="10"/>
        <v>0.8557295622011043</v>
      </c>
      <c r="AO15" s="45"/>
      <c r="AP15" s="45">
        <f>N26/N22</f>
        <v>0.75104166666666672</v>
      </c>
      <c r="AQ15" s="45"/>
      <c r="AR15" s="45">
        <f>'[1]cell disruption'!AS30</f>
        <v>0</v>
      </c>
      <c r="AS15" s="45">
        <f>0.162*'[1]cell disruption'!AW30-0.098*'[1]cell disruption'!AY30</f>
        <v>0</v>
      </c>
      <c r="AT15" s="45"/>
      <c r="AU15" s="45">
        <f t="shared" si="11"/>
        <v>0</v>
      </c>
      <c r="AV15" s="45">
        <f t="shared" si="12"/>
        <v>0</v>
      </c>
      <c r="AW15" s="45"/>
      <c r="AX15" s="45" t="e">
        <f>'[1]cell disruption'!AW30/'[1]cell disruption'!AU30</f>
        <v>#DIV/0!</v>
      </c>
      <c r="AY15" s="45"/>
    </row>
    <row r="16" spans="1:51" s="44" customFormat="1" x14ac:dyDescent="0.3">
      <c r="A16"/>
      <c r="B16"/>
      <c r="C16" s="2" t="s">
        <v>5</v>
      </c>
      <c r="D16" s="45">
        <v>1000</v>
      </c>
      <c r="E16" s="45">
        <f>(0.162*J27-0.098*J31)*$A$2</f>
        <v>5.4618000000000002</v>
      </c>
      <c r="F16" s="45"/>
      <c r="G16" s="45">
        <f t="shared" si="2"/>
        <v>5461.8</v>
      </c>
      <c r="H16" s="45"/>
      <c r="I16" s="45"/>
      <c r="J16" s="45">
        <f>J27/J23</f>
        <v>0.62050599201065249</v>
      </c>
      <c r="K16" s="45"/>
      <c r="L16" s="45">
        <v>607</v>
      </c>
      <c r="M16" s="45">
        <f>(0.162*K27-0.098*K31)*$A$2</f>
        <v>5.6946000000000003</v>
      </c>
      <c r="N16" s="45"/>
      <c r="O16" s="45">
        <f t="shared" si="3"/>
        <v>3456.6222000000002</v>
      </c>
      <c r="P16" s="45">
        <f t="shared" si="4"/>
        <v>0.63287234977479956</v>
      </c>
      <c r="Q16" s="45"/>
      <c r="R16" s="45">
        <f>K27/K23</f>
        <v>0.62775616083009078</v>
      </c>
      <c r="S16" s="47"/>
      <c r="T16" s="48">
        <v>350</v>
      </c>
      <c r="U16" s="45">
        <f>(0.162*L27-0.098*L31)*$A$2</f>
        <v>9.5958000000000023</v>
      </c>
      <c r="V16" s="45"/>
      <c r="W16" s="45">
        <f t="shared" si="5"/>
        <v>3358.5300000000007</v>
      </c>
      <c r="X16" s="45">
        <f t="shared" si="6"/>
        <v>0.97162194931225065</v>
      </c>
      <c r="Y16" s="45"/>
      <c r="Z16" s="45">
        <f>L27/L23</f>
        <v>0.74030658250676284</v>
      </c>
      <c r="AA16" s="45"/>
      <c r="AB16" s="45">
        <v>405</v>
      </c>
      <c r="AC16" s="45">
        <f>(0.162*M27-0.098*M31)*$A$2</f>
        <v>0.16839999999999999</v>
      </c>
      <c r="AD16" s="45"/>
      <c r="AE16" s="45">
        <f t="shared" si="7"/>
        <v>68.201999999999998</v>
      </c>
      <c r="AF16" s="45">
        <f t="shared" si="8"/>
        <v>1.9730822766803959E-2</v>
      </c>
      <c r="AG16" s="45"/>
      <c r="AH16" s="45">
        <f>M27/M23</f>
        <v>4.1044776119402979E-2</v>
      </c>
      <c r="AI16" s="45"/>
      <c r="AJ16" s="45">
        <v>350</v>
      </c>
      <c r="AK16" s="45">
        <f>(0.162*N27-0.098*N31)*$A$2</f>
        <v>8.3775999999999993</v>
      </c>
      <c r="AL16" s="45"/>
      <c r="AM16" s="45">
        <f t="shared" si="9"/>
        <v>2932.16</v>
      </c>
      <c r="AN16" s="45">
        <f t="shared" si="10"/>
        <v>0.8730486254402966</v>
      </c>
      <c r="AO16" s="45"/>
      <c r="AP16" s="45">
        <f>N27/N23</f>
        <v>0.75339602925809823</v>
      </c>
      <c r="AQ16" s="45"/>
      <c r="AR16" s="45">
        <f>'[1]cell disruption'!AS31</f>
        <v>0</v>
      </c>
      <c r="AS16" s="45">
        <f>0.162*'[1]cell disruption'!AW31-0.098*'[1]cell disruption'!AY31</f>
        <v>0</v>
      </c>
      <c r="AT16" s="45"/>
      <c r="AU16" s="45">
        <f t="shared" si="11"/>
        <v>0</v>
      </c>
      <c r="AV16" s="45">
        <f t="shared" si="12"/>
        <v>0</v>
      </c>
      <c r="AW16" s="45"/>
      <c r="AX16" s="45" t="e">
        <f>'[1]cell disruption'!AW31/'[1]cell disruption'!AU31</f>
        <v>#DIV/0!</v>
      </c>
      <c r="AY16" s="45"/>
    </row>
    <row r="19" spans="2:19" x14ac:dyDescent="0.3">
      <c r="B19" s="108" t="s">
        <v>62</v>
      </c>
      <c r="C19" s="108"/>
      <c r="D19" s="108"/>
      <c r="E19" s="108"/>
      <c r="F19" s="108"/>
      <c r="G19" s="108"/>
      <c r="I19" s="108" t="s">
        <v>63</v>
      </c>
      <c r="J19" s="108"/>
      <c r="K19" s="108"/>
      <c r="L19" s="108"/>
      <c r="M19" s="108"/>
      <c r="N19" s="108"/>
    </row>
    <row r="20" spans="2:19" x14ac:dyDescent="0.3">
      <c r="B20" s="2" t="s">
        <v>45</v>
      </c>
      <c r="C20" s="2" t="s">
        <v>0</v>
      </c>
      <c r="D20" s="2" t="s">
        <v>1</v>
      </c>
      <c r="E20" s="2" t="s">
        <v>2</v>
      </c>
      <c r="F20" s="2" t="s">
        <v>4</v>
      </c>
      <c r="G20" s="2" t="s">
        <v>3</v>
      </c>
      <c r="I20" s="2" t="s">
        <v>45</v>
      </c>
      <c r="J20" s="2" t="s">
        <v>0</v>
      </c>
      <c r="K20" s="2" t="s">
        <v>1</v>
      </c>
      <c r="L20" s="2" t="s">
        <v>2</v>
      </c>
      <c r="M20" s="2" t="s">
        <v>4</v>
      </c>
      <c r="N20" s="2" t="s">
        <v>3</v>
      </c>
    </row>
    <row r="21" spans="2:19" x14ac:dyDescent="0.3">
      <c r="B21" s="2">
        <v>280</v>
      </c>
      <c r="C21" s="13">
        <v>0.82399999999999995</v>
      </c>
      <c r="D21" s="13">
        <v>0.84299999999999997</v>
      </c>
      <c r="E21" s="13">
        <v>1.012</v>
      </c>
      <c r="F21" s="13">
        <v>0.28199999999999997</v>
      </c>
      <c r="G21" s="13">
        <v>0.84599999999999997</v>
      </c>
      <c r="I21" s="2">
        <v>280</v>
      </c>
      <c r="J21" s="13">
        <v>0.73899999999999999</v>
      </c>
      <c r="K21" s="13">
        <v>0.82699999999999996</v>
      </c>
      <c r="L21" s="13">
        <v>1.135</v>
      </c>
      <c r="M21" s="13">
        <v>0.25900000000000001</v>
      </c>
      <c r="N21" s="13">
        <v>0.95599999999999996</v>
      </c>
      <c r="Q21" s="19"/>
      <c r="R21" s="19"/>
      <c r="S21" s="19"/>
    </row>
    <row r="22" spans="2:19" x14ac:dyDescent="0.3">
      <c r="B22" s="2">
        <v>280</v>
      </c>
      <c r="C22" s="13">
        <v>0.82099999999999995</v>
      </c>
      <c r="D22" s="13">
        <v>0.83699999999999997</v>
      </c>
      <c r="E22" s="13">
        <v>1.091</v>
      </c>
      <c r="F22" s="13">
        <v>0.26</v>
      </c>
      <c r="G22" s="13">
        <v>0.90900000000000003</v>
      </c>
      <c r="I22" s="2">
        <v>280</v>
      </c>
      <c r="J22" s="13">
        <v>0.77200000000000002</v>
      </c>
      <c r="K22" s="13">
        <v>0.82599999999999996</v>
      </c>
      <c r="L22" s="13">
        <v>1.127</v>
      </c>
      <c r="M22" s="13">
        <v>0.25900000000000001</v>
      </c>
      <c r="N22" s="13">
        <v>0.96</v>
      </c>
      <c r="Q22" s="19"/>
      <c r="R22" s="19"/>
      <c r="S22" s="19"/>
    </row>
    <row r="23" spans="2:19" x14ac:dyDescent="0.3">
      <c r="B23" s="2">
        <v>280</v>
      </c>
      <c r="C23" s="13">
        <v>0.79900000000000004</v>
      </c>
      <c r="D23" s="13">
        <v>0.76800000000000002</v>
      </c>
      <c r="E23" s="13">
        <v>1.1919999999999999</v>
      </c>
      <c r="F23" s="13">
        <v>0.28499999999999998</v>
      </c>
      <c r="G23" s="13">
        <v>0.88900000000000001</v>
      </c>
      <c r="I23" s="2">
        <v>280</v>
      </c>
      <c r="J23" s="13">
        <v>0.751</v>
      </c>
      <c r="K23" s="13">
        <v>0.77100000000000002</v>
      </c>
      <c r="L23" s="13">
        <v>1.109</v>
      </c>
      <c r="M23" s="13">
        <v>0.26800000000000002</v>
      </c>
      <c r="N23" s="13">
        <v>0.95699999999999996</v>
      </c>
      <c r="Q23" s="19"/>
      <c r="R23" s="19"/>
      <c r="S23" s="19"/>
    </row>
    <row r="24" spans="2:19" x14ac:dyDescent="0.3">
      <c r="B24" s="2"/>
      <c r="C24" s="2"/>
      <c r="D24" s="2"/>
      <c r="E24" s="2"/>
      <c r="F24" s="2"/>
      <c r="G24" s="2"/>
      <c r="I24" s="2"/>
      <c r="J24" s="2"/>
      <c r="K24" s="2"/>
      <c r="L24" s="2"/>
      <c r="M24" s="2"/>
      <c r="N24" s="2"/>
    </row>
    <row r="25" spans="2:19" x14ac:dyDescent="0.3">
      <c r="B25" s="2">
        <v>620</v>
      </c>
      <c r="C25" s="13">
        <v>0.44400000000000001</v>
      </c>
      <c r="D25" s="13">
        <v>0.47499999999999998</v>
      </c>
      <c r="E25" s="13">
        <v>0.70499999999999996</v>
      </c>
      <c r="F25" s="13">
        <v>2.5000000000000001E-2</v>
      </c>
      <c r="G25" s="13">
        <v>0.57699999999999996</v>
      </c>
      <c r="I25" s="2">
        <v>620</v>
      </c>
      <c r="J25" s="13">
        <v>0.45500000000000002</v>
      </c>
      <c r="K25" s="13">
        <v>0.51500000000000001</v>
      </c>
      <c r="L25" s="13">
        <v>0.82399999999999995</v>
      </c>
      <c r="M25" s="13">
        <v>6.0000000000000001E-3</v>
      </c>
      <c r="N25" s="13">
        <v>0.72599999999999998</v>
      </c>
      <c r="Q25" s="19"/>
      <c r="R25" s="19"/>
      <c r="S25" s="19"/>
    </row>
    <row r="26" spans="2:19" x14ac:dyDescent="0.3">
      <c r="B26" s="2">
        <v>620</v>
      </c>
      <c r="C26" s="13">
        <v>0.46</v>
      </c>
      <c r="D26" s="13">
        <v>0.47099999999999997</v>
      </c>
      <c r="E26" s="13">
        <v>0.77200000000000002</v>
      </c>
      <c r="F26" s="13">
        <v>1.7000000000000001E-2</v>
      </c>
      <c r="G26" s="13">
        <v>0.61799999999999999</v>
      </c>
      <c r="I26" s="2">
        <v>620</v>
      </c>
      <c r="J26" s="13">
        <v>0.48</v>
      </c>
      <c r="K26" s="13">
        <v>0.51700000000000002</v>
      </c>
      <c r="L26" s="13">
        <v>0.83499999999999996</v>
      </c>
      <c r="M26" s="13">
        <v>8.9999999999999993E-3</v>
      </c>
      <c r="N26" s="13">
        <v>0.72099999999999997</v>
      </c>
      <c r="Q26" s="19"/>
      <c r="R26" s="19"/>
      <c r="S26" s="19"/>
    </row>
    <row r="27" spans="2:19" x14ac:dyDescent="0.3">
      <c r="B27" s="2">
        <v>620</v>
      </c>
      <c r="C27" s="13">
        <v>0.44400000000000001</v>
      </c>
      <c r="D27" s="13">
        <v>0.432</v>
      </c>
      <c r="E27" s="13">
        <v>0.83199999999999996</v>
      </c>
      <c r="F27" s="13">
        <v>2.1999999999999999E-2</v>
      </c>
      <c r="G27" s="13">
        <v>0.60099999999999998</v>
      </c>
      <c r="I27" s="2">
        <v>620</v>
      </c>
      <c r="J27" s="13">
        <v>0.46600000000000003</v>
      </c>
      <c r="K27" s="13">
        <v>0.48399999999999999</v>
      </c>
      <c r="L27" s="13">
        <v>0.82099999999999995</v>
      </c>
      <c r="M27" s="13">
        <v>1.0999999999999999E-2</v>
      </c>
      <c r="N27" s="13">
        <v>0.72099999999999997</v>
      </c>
      <c r="Q27" s="19"/>
      <c r="R27" s="19"/>
      <c r="S27" s="19"/>
    </row>
    <row r="28" spans="2:19" x14ac:dyDescent="0.3">
      <c r="B28" s="2"/>
      <c r="C28" s="2"/>
      <c r="D28" s="2"/>
      <c r="E28" s="2"/>
      <c r="F28" s="2"/>
      <c r="G28" s="2"/>
      <c r="I28" s="2"/>
      <c r="J28" s="2"/>
      <c r="K28" s="2"/>
      <c r="L28" s="2"/>
      <c r="M28" s="2"/>
      <c r="N28" s="2"/>
    </row>
    <row r="29" spans="2:19" x14ac:dyDescent="0.3">
      <c r="B29" s="2">
        <v>650</v>
      </c>
      <c r="C29" s="13">
        <v>0.20599999999999999</v>
      </c>
      <c r="D29" s="13">
        <v>0.218</v>
      </c>
      <c r="E29" s="13">
        <v>0.32400000000000001</v>
      </c>
      <c r="F29" s="13">
        <v>1.2999999999999999E-2</v>
      </c>
      <c r="G29" s="13">
        <v>0.26900000000000002</v>
      </c>
      <c r="I29" s="2">
        <v>650</v>
      </c>
      <c r="J29" s="13">
        <v>0.20200000000000001</v>
      </c>
      <c r="K29" s="13">
        <v>0.23200000000000001</v>
      </c>
      <c r="L29" s="13">
        <v>0.376</v>
      </c>
      <c r="M29" s="13">
        <v>-4.0000000000000001E-3</v>
      </c>
      <c r="N29" s="13">
        <v>0.34100000000000003</v>
      </c>
      <c r="Q29" s="19"/>
      <c r="R29" s="19"/>
      <c r="S29" s="19"/>
    </row>
    <row r="30" spans="2:19" x14ac:dyDescent="0.3">
      <c r="B30" s="2">
        <v>650</v>
      </c>
      <c r="C30" s="13">
        <v>0.21099999999999999</v>
      </c>
      <c r="D30" s="13">
        <v>0.214</v>
      </c>
      <c r="E30" s="13">
        <v>0.35599999999999998</v>
      </c>
      <c r="F30" s="13">
        <v>6.0000000000000001E-3</v>
      </c>
      <c r="G30" s="13">
        <v>0.28799999999999998</v>
      </c>
      <c r="I30" s="2">
        <v>650</v>
      </c>
      <c r="J30" s="13">
        <v>0.22</v>
      </c>
      <c r="K30" s="13">
        <v>0.23400000000000001</v>
      </c>
      <c r="L30" s="13">
        <v>0.38600000000000001</v>
      </c>
      <c r="M30" s="40">
        <v>5.6666699999999997E-4</v>
      </c>
      <c r="N30" s="13">
        <v>0.34100000000000003</v>
      </c>
      <c r="Q30" s="19"/>
      <c r="R30" s="19"/>
      <c r="S30" s="19"/>
    </row>
    <row r="31" spans="2:19" x14ac:dyDescent="0.3">
      <c r="B31" s="2">
        <v>650</v>
      </c>
      <c r="C31" s="13">
        <v>0.20200000000000001</v>
      </c>
      <c r="D31" s="13">
        <v>0.19600000000000001</v>
      </c>
      <c r="E31" s="13">
        <v>0.38400000000000001</v>
      </c>
      <c r="F31" s="13">
        <v>0.01</v>
      </c>
      <c r="G31" s="13">
        <v>0.27800000000000002</v>
      </c>
      <c r="I31" s="2">
        <v>650</v>
      </c>
      <c r="J31" s="13">
        <v>0.21299999999999999</v>
      </c>
      <c r="K31" s="13">
        <v>0.219</v>
      </c>
      <c r="L31" s="13">
        <v>0.378</v>
      </c>
      <c r="M31" s="13">
        <v>1E-3</v>
      </c>
      <c r="N31" s="13">
        <v>0.33700000000000002</v>
      </c>
      <c r="Q31" s="19"/>
      <c r="R31" s="19"/>
      <c r="S31" s="19"/>
    </row>
    <row r="32" spans="2:19" x14ac:dyDescent="0.3">
      <c r="K32" s="19"/>
      <c r="L32" s="19"/>
      <c r="S32" s="19"/>
    </row>
    <row r="36" spans="7:7" x14ac:dyDescent="0.3">
      <c r="G36" s="44"/>
    </row>
  </sheetData>
  <mergeCells count="14">
    <mergeCell ref="AB2:AI2"/>
    <mergeCell ref="AJ2:AQ2"/>
    <mergeCell ref="B19:G19"/>
    <mergeCell ref="I19:N19"/>
    <mergeCell ref="AR2:AY2"/>
    <mergeCell ref="D9:K9"/>
    <mergeCell ref="T9:AA9"/>
    <mergeCell ref="AB9:AI9"/>
    <mergeCell ref="AJ9:AQ9"/>
    <mergeCell ref="AR9:AY9"/>
    <mergeCell ref="L9:S9"/>
    <mergeCell ref="D2:K2"/>
    <mergeCell ref="L2:S2"/>
    <mergeCell ref="T2:AA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8ACC2-9655-46C4-9E6E-2733F0AC7D86}">
  <dimension ref="A1:AQ33"/>
  <sheetViews>
    <sheetView zoomScale="55" zoomScaleNormal="55" workbookViewId="0">
      <selection activeCell="R22" sqref="R22"/>
    </sheetView>
  </sheetViews>
  <sheetFormatPr defaultRowHeight="14.4" x14ac:dyDescent="0.3"/>
  <sheetData>
    <row r="1" spans="1:43" x14ac:dyDescent="0.3">
      <c r="A1" t="s">
        <v>27</v>
      </c>
    </row>
    <row r="2" spans="1:43" x14ac:dyDescent="0.3">
      <c r="A2">
        <v>100</v>
      </c>
      <c r="B2" t="s">
        <v>28</v>
      </c>
      <c r="C2" s="2"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row>
    <row r="3" spans="1:43"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 t="s">
        <v>11</v>
      </c>
      <c r="T3" s="2"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row>
    <row r="4" spans="1:43" s="44" customFormat="1" x14ac:dyDescent="0.3">
      <c r="A4"/>
      <c r="B4"/>
      <c r="C4" s="2" t="s">
        <v>25</v>
      </c>
      <c r="D4" s="45">
        <v>1000</v>
      </c>
      <c r="E4" s="45">
        <f>AVERAGE(E11:E13)</f>
        <v>4.8324000000000007</v>
      </c>
      <c r="F4" s="45">
        <f>_xlfn.STDEV.S(E11:E13)</f>
        <v>0.17996477433097893</v>
      </c>
      <c r="G4" s="45">
        <f>D4*E4</f>
        <v>4832.4000000000005</v>
      </c>
      <c r="H4" s="45"/>
      <c r="I4" s="45"/>
      <c r="J4" s="45">
        <f>AVERAGE(J11:J13)</f>
        <v>0.56324953798638011</v>
      </c>
      <c r="K4" s="45">
        <f>_xlfn.STDEV.S(J11:J13)</f>
        <v>4.5275851801748063E-3</v>
      </c>
      <c r="L4" s="45">
        <v>600</v>
      </c>
      <c r="M4" s="45">
        <f>AVERAGE(M11:M13)</f>
        <v>5.1802000000000001</v>
      </c>
      <c r="N4" s="45">
        <f>_xlfn.STDEV.S(M11:M13)</f>
        <v>0.19509208082338969</v>
      </c>
      <c r="O4" s="45">
        <f>L4*M11</f>
        <v>3006.6</v>
      </c>
      <c r="P4" s="45">
        <f>AVERAGE(P11:P13)</f>
        <v>0.70213490128241351</v>
      </c>
      <c r="Q4" s="45">
        <f>_xlfn.STDEV.S(P11:P13)</f>
        <v>3.820974391486329E-4</v>
      </c>
      <c r="R4" s="45">
        <f>AVERAGE(R11:R13)</f>
        <v>0.56306064759111185</v>
      </c>
      <c r="S4" s="45">
        <f>_xlfn.STDEV.S(R11:R13)</f>
        <v>4.4178357484834611E-3</v>
      </c>
      <c r="T4" s="45">
        <f>AVERAGE(T11:T13)</f>
        <v>500</v>
      </c>
      <c r="U4" s="45">
        <f>AVERAGE(U12:U13)</f>
        <v>8.4274000000000004</v>
      </c>
      <c r="V4" s="45">
        <f>_xlfn.STDEV.S(U11:U13)</f>
        <v>0.59902261504331755</v>
      </c>
      <c r="W4" s="45">
        <f>T4*U4</f>
        <v>4213.7</v>
      </c>
      <c r="X4" s="45">
        <f>AVERAGE(X11:X13)</f>
        <v>1.294243070426869</v>
      </c>
      <c r="Y4" s="45">
        <f>_xlfn.STDEV.S(X11:X13)</f>
        <v>0.12532814285937754</v>
      </c>
      <c r="Z4" s="45">
        <f>AVERAGE(Z11:Z13)</f>
        <v>0.72753814913472781</v>
      </c>
      <c r="AA4" s="45">
        <f>_xlfn.STDEV.S(Z11:Z13)</f>
        <v>1.1753634272286696E-3</v>
      </c>
      <c r="AB4" s="45">
        <f>AVERAGE(AB11:AB13)</f>
        <v>380</v>
      </c>
      <c r="AC4" s="45">
        <f>AVERAGE(AC11:AC13)</f>
        <v>5.6920001799999993E-3</v>
      </c>
      <c r="AD4" s="45">
        <f>_xlfn.STDEV.S(AC11:AC13)</f>
        <v>4.2520338017659415E-3</v>
      </c>
      <c r="AE4" s="45">
        <f>AB4*AC4</f>
        <v>2.1629600683999999</v>
      </c>
      <c r="AF4" s="45">
        <f>AVERAGE(AF11:AF13)</f>
        <v>6.4427915009103215E-4</v>
      </c>
      <c r="AG4" s="45">
        <f>_xlfn.STDEV.S(AF11:AF13)</f>
        <v>4.9971885428463675E-4</v>
      </c>
      <c r="AH4" s="45">
        <f>AVERAGE(AH11:AH13)</f>
        <v>1.7610119753245282E-3</v>
      </c>
      <c r="AI4" s="45">
        <f>_xlfn.STDEV.S(AH11:AH13)</f>
        <v>2.5423763640191655E-2</v>
      </c>
      <c r="AJ4" s="45">
        <f>AVERAGE(AJ11:AJ13)</f>
        <v>500</v>
      </c>
      <c r="AK4" s="45">
        <f>AVERAGE(AK11:AK13)</f>
        <v>5.5371333333333332</v>
      </c>
      <c r="AL4" s="45">
        <f>_xlfn.STDEV.S(AK11:AK13)</f>
        <v>0.20282843324675459</v>
      </c>
      <c r="AM4" s="45">
        <f>AJ4*AK4</f>
        <v>2768.5666666666666</v>
      </c>
      <c r="AN4" s="45">
        <f>AVERAGE(AN11:AN13)</f>
        <v>0.63399739126760013</v>
      </c>
      <c r="AO4" s="45">
        <f>_xlfn.STDEV.S(AN11:AN13)</f>
        <v>5.5770540267460735E-2</v>
      </c>
      <c r="AP4" s="45">
        <f>AVERAGE(AP11:AP13)</f>
        <v>0.65824288055243219</v>
      </c>
      <c r="AQ4" s="45">
        <f>_xlfn.STDEV.S(AP11:AP13)</f>
        <v>7.0461351718451573E-3</v>
      </c>
    </row>
    <row r="5" spans="1:43" s="44" customFormat="1" x14ac:dyDescent="0.3">
      <c r="A5"/>
      <c r="B5"/>
      <c r="C5" s="2" t="s">
        <v>24</v>
      </c>
      <c r="D5" s="45">
        <v>1000</v>
      </c>
      <c r="E5" s="45">
        <f>AVERAGE(E14:E16)</f>
        <v>4.8036200440426304</v>
      </c>
      <c r="F5" s="45">
        <f>_xlfn.STDEV.S(E14:E16)</f>
        <v>4.0034588123594318E-2</v>
      </c>
      <c r="G5" s="45">
        <f>D5*E5</f>
        <v>4803.6200440426301</v>
      </c>
      <c r="H5" s="45"/>
      <c r="I5" s="45"/>
      <c r="J5" s="45">
        <f>AVERAGE(J14:J16)</f>
        <v>0.56595715626057974</v>
      </c>
      <c r="K5" s="45">
        <f>_xlfn.STDEV.S(J14:J16)</f>
        <v>2.4881655680465227E-3</v>
      </c>
      <c r="L5" s="45">
        <v>600</v>
      </c>
      <c r="M5" s="45">
        <f>AVERAGE(M14:M16)</f>
        <v>5.1697999999999995</v>
      </c>
      <c r="N5" s="45">
        <f>_xlfn.STDEV.S(M14:M16)</f>
        <v>4.3086424776256585E-2</v>
      </c>
      <c r="O5" s="45">
        <f>L5*M12</f>
        <v>3236.1600000000003</v>
      </c>
      <c r="P5" s="45">
        <f>AVERAGE(P14:P16)</f>
        <v>0.6026887999999998</v>
      </c>
      <c r="Q5" s="45">
        <f>_xlfn.STDEV.S(P14:P16)</f>
        <v>7.8504622934188758E-17</v>
      </c>
      <c r="R5" s="45">
        <f>AVERAGE(R14:R16)</f>
        <v>0.56595715626057974</v>
      </c>
      <c r="S5" s="45">
        <f>_xlfn.STDEV.S(R14:R16)</f>
        <v>2.4881655680465227E-3</v>
      </c>
      <c r="T5" s="45">
        <f>AVERAGE(T14:T16)</f>
        <v>410</v>
      </c>
      <c r="U5" s="45">
        <f>AVERAGE(U14:U16)</f>
        <v>8.3421999999999983</v>
      </c>
      <c r="V5" s="45">
        <f>_xlfn.STDEV.S(U14:U16)</f>
        <v>0.32993769108727206</v>
      </c>
      <c r="W5" s="45">
        <f>T5*U5</f>
        <v>3420.3019999999992</v>
      </c>
      <c r="X5" s="45">
        <f>AVERAGE(X14:X16)</f>
        <v>1.18158697594356</v>
      </c>
      <c r="Y5" s="45">
        <f>_xlfn.STDEV.S(X14:X16)</f>
        <v>5.172602528658625E-2</v>
      </c>
      <c r="Z5" s="45">
        <f>AVERAGE(Z14:Z16)</f>
        <v>0.77963189981495506</v>
      </c>
      <c r="AA5" s="45">
        <f>_xlfn.STDEV.S(Z14:Z16)</f>
        <v>5.2777769102352184E-3</v>
      </c>
      <c r="AB5" s="45">
        <f>AVERAGE(AB14:AB16)</f>
        <v>330</v>
      </c>
      <c r="AC5" s="45">
        <f>AVERAGE(AC14:AC16)</f>
        <v>0.13160000000000002</v>
      </c>
      <c r="AD5" s="45">
        <f>_xlfn.STDEV.S(AC14:AC16)</f>
        <v>3.065876709849881E-2</v>
      </c>
      <c r="AE5" s="45">
        <f>AB5*AC5</f>
        <v>43.428000000000004</v>
      </c>
      <c r="AF5" s="45">
        <f>AVERAGE(AF14:AF16)</f>
        <v>1.5018227078556349E-2</v>
      </c>
      <c r="AG5" s="45">
        <f>_xlfn.STDEV.S(AF14:AF16)</f>
        <v>3.6186721388863615E-3</v>
      </c>
      <c r="AH5" s="45">
        <f>AVERAGE(AH14:AH16)</f>
        <v>3.7483199603849993E-2</v>
      </c>
      <c r="AI5" s="45">
        <f>_xlfn.STDEV.S(AH14:AH16)</f>
        <v>2.0519261829020717E-2</v>
      </c>
      <c r="AJ5" s="45">
        <f>AVERAGE(AJ14:AJ16)</f>
        <v>380</v>
      </c>
      <c r="AK5" s="45">
        <f>AVERAGE(AK14:AK16)</f>
        <v>6.2883999999999993</v>
      </c>
      <c r="AL5" s="45">
        <f>_xlfn.STDEV.S(AK14:AK16)</f>
        <v>0.67048528693775145</v>
      </c>
      <c r="AM5" s="45">
        <f>AJ5*AK5</f>
        <v>2389.5919999999996</v>
      </c>
      <c r="AN5" s="45">
        <f>AVERAGE(AN14:AN16)</f>
        <v>0.69791505375725205</v>
      </c>
      <c r="AO5" s="45">
        <f>_xlfn.STDEV.S(AN14:AN16)</f>
        <v>5.7642104393645192E-2</v>
      </c>
      <c r="AP5" s="45">
        <f>AVERAGE(AP14:AP16)</f>
        <v>0.70146208025565571</v>
      </c>
      <c r="AQ5" s="45">
        <f>_xlfn.STDEV.S(AP14:AP16)</f>
        <v>8.0331552140321463E-3</v>
      </c>
    </row>
    <row r="6" spans="1:43" s="44" customFormat="1" x14ac:dyDescent="0.3">
      <c r="A6"/>
      <c r="B6"/>
      <c r="C6" s="2" t="s">
        <v>23</v>
      </c>
      <c r="D6" s="45">
        <f t="shared" ref="D6:AQ6" si="0">AVERAGE(D4:D5)</f>
        <v>1000</v>
      </c>
      <c r="E6" s="45">
        <f t="shared" si="0"/>
        <v>4.8180100220213156</v>
      </c>
      <c r="F6" s="45">
        <f t="shared" si="0"/>
        <v>0.10999968122728662</v>
      </c>
      <c r="G6" s="45">
        <f t="shared" si="0"/>
        <v>4818.0100220213153</v>
      </c>
      <c r="H6" s="45" t="e">
        <f t="shared" si="0"/>
        <v>#DIV/0!</v>
      </c>
      <c r="I6" s="45" t="e">
        <f t="shared" si="0"/>
        <v>#DIV/0!</v>
      </c>
      <c r="J6" s="45">
        <f t="shared" si="0"/>
        <v>0.56460334712347993</v>
      </c>
      <c r="K6" s="45">
        <f t="shared" si="0"/>
        <v>3.5078753741106645E-3</v>
      </c>
      <c r="L6" s="45">
        <f t="shared" si="0"/>
        <v>600</v>
      </c>
      <c r="M6" s="45">
        <f t="shared" si="0"/>
        <v>5.1749999999999998</v>
      </c>
      <c r="N6" s="45">
        <f t="shared" si="0"/>
        <v>0.11908925279982313</v>
      </c>
      <c r="O6" s="45">
        <f t="shared" si="0"/>
        <v>3121.38</v>
      </c>
      <c r="P6" s="45">
        <f t="shared" si="0"/>
        <v>0.65241185064120666</v>
      </c>
      <c r="Q6" s="45">
        <f t="shared" si="0"/>
        <v>1.910487195743557E-4</v>
      </c>
      <c r="R6" s="45">
        <f t="shared" si="0"/>
        <v>0.5645089019258458</v>
      </c>
      <c r="S6" s="45">
        <f t="shared" si="0"/>
        <v>3.4530006582649919E-3</v>
      </c>
      <c r="T6" s="45">
        <f t="shared" si="0"/>
        <v>455</v>
      </c>
      <c r="U6" s="45">
        <f t="shared" si="0"/>
        <v>8.3847999999999985</v>
      </c>
      <c r="V6" s="45">
        <f t="shared" si="0"/>
        <v>0.46448015306529478</v>
      </c>
      <c r="W6" s="45">
        <f t="shared" si="0"/>
        <v>3817.0009999999993</v>
      </c>
      <c r="X6" s="45">
        <f t="shared" si="0"/>
        <v>1.2379150231852145</v>
      </c>
      <c r="Y6" s="45">
        <f t="shared" si="0"/>
        <v>8.8527084072981904E-2</v>
      </c>
      <c r="Z6" s="45">
        <f t="shared" si="0"/>
        <v>0.75358502447484144</v>
      </c>
      <c r="AA6" s="45">
        <f t="shared" si="0"/>
        <v>3.226570168731944E-3</v>
      </c>
      <c r="AB6" s="45">
        <f t="shared" si="0"/>
        <v>355</v>
      </c>
      <c r="AC6" s="45">
        <f t="shared" si="0"/>
        <v>6.8646000090000006E-2</v>
      </c>
      <c r="AD6" s="45">
        <f t="shared" si="0"/>
        <v>1.7455400450132375E-2</v>
      </c>
      <c r="AE6" s="45">
        <f t="shared" si="0"/>
        <v>22.795480034200001</v>
      </c>
      <c r="AF6" s="45">
        <f t="shared" si="0"/>
        <v>7.831253114323691E-3</v>
      </c>
      <c r="AG6" s="45">
        <f t="shared" si="0"/>
        <v>2.0591954965854991E-3</v>
      </c>
      <c r="AH6" s="45">
        <f t="shared" si="0"/>
        <v>1.9622105789587261E-2</v>
      </c>
      <c r="AI6" s="45">
        <f t="shared" si="0"/>
        <v>2.2971512734606188E-2</v>
      </c>
      <c r="AJ6" s="45">
        <f t="shared" si="0"/>
        <v>440</v>
      </c>
      <c r="AK6" s="45">
        <f t="shared" si="0"/>
        <v>5.9127666666666663</v>
      </c>
      <c r="AL6" s="45">
        <f t="shared" si="0"/>
        <v>0.43665686009225302</v>
      </c>
      <c r="AM6" s="45">
        <f t="shared" si="0"/>
        <v>2579.0793333333331</v>
      </c>
      <c r="AN6" s="45">
        <f t="shared" si="0"/>
        <v>0.66595622251242603</v>
      </c>
      <c r="AO6" s="45">
        <f t="shared" si="0"/>
        <v>5.6706322330552963E-2</v>
      </c>
      <c r="AP6" s="45">
        <f t="shared" si="0"/>
        <v>0.679852480404044</v>
      </c>
      <c r="AQ6" s="45">
        <f t="shared" si="0"/>
        <v>7.5396451929386522E-3</v>
      </c>
    </row>
    <row r="7" spans="1:43" s="44" customFormat="1" x14ac:dyDescent="0.3">
      <c r="A7"/>
      <c r="B7"/>
      <c r="C7" s="20" t="s">
        <v>61</v>
      </c>
      <c r="D7" s="44">
        <f t="shared" ref="D7:AQ7" si="1">_xlfn.STDEV.S(D4:D5)</f>
        <v>0</v>
      </c>
      <c r="E7" s="44">
        <f t="shared" si="1"/>
        <v>2.0350502019706691E-2</v>
      </c>
      <c r="F7" s="44">
        <f t="shared" si="1"/>
        <v>9.8945583559937975E-2</v>
      </c>
      <c r="G7" s="44">
        <f t="shared" si="1"/>
        <v>20.350502019706838</v>
      </c>
      <c r="H7" s="44" t="e">
        <f t="shared" si="1"/>
        <v>#DIV/0!</v>
      </c>
      <c r="I7" s="44" t="e">
        <f t="shared" si="1"/>
        <v>#DIV/0!</v>
      </c>
      <c r="J7" s="44">
        <f t="shared" si="1"/>
        <v>1.9145752425511753E-3</v>
      </c>
      <c r="K7" s="44">
        <f t="shared" si="1"/>
        <v>1.4420874374207479E-3</v>
      </c>
      <c r="L7" s="44">
        <f t="shared" si="1"/>
        <v>0</v>
      </c>
      <c r="M7" s="44">
        <f t="shared" si="1"/>
        <v>7.3539105243405406E-3</v>
      </c>
      <c r="N7" s="44">
        <f t="shared" si="1"/>
        <v>0.10748423016963778</v>
      </c>
      <c r="O7" s="44">
        <f t="shared" si="1"/>
        <v>162.32343268918413</v>
      </c>
      <c r="P7" s="44">
        <f t="shared" si="1"/>
        <v>7.031901257935895E-2</v>
      </c>
      <c r="Q7" s="44">
        <f t="shared" si="1"/>
        <v>2.7018369029595702E-4</v>
      </c>
      <c r="R7" s="44">
        <f t="shared" si="1"/>
        <v>2.048140921946369E-3</v>
      </c>
      <c r="S7" s="44">
        <f t="shared" si="1"/>
        <v>1.3644828700404279E-3</v>
      </c>
      <c r="T7" s="44">
        <f t="shared" si="1"/>
        <v>63.63961030678928</v>
      </c>
      <c r="U7" s="44">
        <f t="shared" si="1"/>
        <v>6.0245497757095375E-2</v>
      </c>
      <c r="V7" s="44">
        <f t="shared" si="1"/>
        <v>0.19027177444438631</v>
      </c>
      <c r="W7" s="44">
        <f t="shared" si="1"/>
        <v>561.01710597984788</v>
      </c>
      <c r="X7" s="44">
        <f t="shared" si="1"/>
        <v>7.9659888351140226E-2</v>
      </c>
      <c r="Y7" s="44">
        <f t="shared" si="1"/>
        <v>5.2044556445410263E-2</v>
      </c>
      <c r="Z7" s="44">
        <f t="shared" si="1"/>
        <v>3.6835844363430015E-2</v>
      </c>
      <c r="AA7" s="44">
        <f t="shared" si="1"/>
        <v>2.9008443930650541E-3</v>
      </c>
      <c r="AB7" s="44">
        <f t="shared" si="1"/>
        <v>35.355339059327378</v>
      </c>
      <c r="AC7" s="44">
        <f t="shared" si="1"/>
        <v>8.9030400478356642E-2</v>
      </c>
      <c r="AD7" s="44">
        <f t="shared" si="1"/>
        <v>1.8672380183104409E-2</v>
      </c>
      <c r="AE7" s="44">
        <f t="shared" si="1"/>
        <v>29.178789561568035</v>
      </c>
      <c r="AF7" s="44">
        <f t="shared" si="1"/>
        <v>1.0163916052640153E-2</v>
      </c>
      <c r="AG7" s="44">
        <f t="shared" si="1"/>
        <v>2.2054330177459355E-3</v>
      </c>
      <c r="AH7" s="44">
        <f t="shared" si="1"/>
        <v>2.525940111094855E-2</v>
      </c>
      <c r="AI7" s="44">
        <f t="shared" si="1"/>
        <v>3.4680064890206747E-3</v>
      </c>
      <c r="AJ7" s="44">
        <f t="shared" si="1"/>
        <v>84.852813742385706</v>
      </c>
      <c r="AK7" s="44">
        <f t="shared" si="1"/>
        <v>0.53122575447941323</v>
      </c>
      <c r="AL7" s="44">
        <f t="shared" si="1"/>
        <v>0.33068333251326898</v>
      </c>
      <c r="AM7" s="44">
        <f t="shared" si="1"/>
        <v>267.97555669791166</v>
      </c>
      <c r="AN7" s="44">
        <f t="shared" si="1"/>
        <v>4.5196612584025894E-2</v>
      </c>
      <c r="AO7" s="44">
        <f t="shared" si="1"/>
        <v>1.3233956850505055E-3</v>
      </c>
      <c r="AP7" s="44">
        <f t="shared" si="1"/>
        <v>3.0560589187604972E-2</v>
      </c>
      <c r="AQ7" s="44">
        <f t="shared" si="1"/>
        <v>6.9792856499745215E-4</v>
      </c>
    </row>
    <row r="8" spans="1:43" s="44" customFormat="1" x14ac:dyDescent="0.3">
      <c r="A8"/>
      <c r="B8"/>
      <c r="C8"/>
    </row>
    <row r="9" spans="1:43" x14ac:dyDescent="0.3">
      <c r="C9" s="2" t="s">
        <v>22</v>
      </c>
      <c r="D9" s="105" t="s">
        <v>21</v>
      </c>
      <c r="E9" s="106"/>
      <c r="F9" s="106"/>
      <c r="G9" s="106"/>
      <c r="H9" s="106"/>
      <c r="I9" s="106"/>
      <c r="J9" s="106"/>
      <c r="K9" s="107"/>
      <c r="L9" s="108" t="s">
        <v>26</v>
      </c>
      <c r="M9" s="108"/>
      <c r="N9" s="108"/>
      <c r="O9" s="108"/>
      <c r="P9" s="108"/>
      <c r="Q9" s="108"/>
      <c r="R9" s="108"/>
      <c r="S9" s="108"/>
      <c r="T9" s="105" t="s">
        <v>20</v>
      </c>
      <c r="U9" s="106"/>
      <c r="V9" s="106"/>
      <c r="W9" s="106"/>
      <c r="X9" s="106"/>
      <c r="Y9" s="106"/>
      <c r="Z9" s="106"/>
      <c r="AA9" s="107"/>
      <c r="AB9" s="105" t="s">
        <v>19</v>
      </c>
      <c r="AC9" s="106"/>
      <c r="AD9" s="106"/>
      <c r="AE9" s="106"/>
      <c r="AF9" s="106"/>
      <c r="AG9" s="106"/>
      <c r="AH9" s="106"/>
      <c r="AI9" s="107"/>
      <c r="AJ9" s="105" t="s">
        <v>3</v>
      </c>
      <c r="AK9" s="106"/>
      <c r="AL9" s="106"/>
      <c r="AM9" s="106"/>
      <c r="AN9" s="106"/>
      <c r="AO9" s="106"/>
      <c r="AP9" s="106"/>
      <c r="AQ9" s="107"/>
    </row>
    <row r="10" spans="1:43" ht="15.75" customHeight="1" x14ac:dyDescent="0.3">
      <c r="C10" s="2" t="s">
        <v>17</v>
      </c>
      <c r="D10" s="2" t="s">
        <v>16</v>
      </c>
      <c r="E10" s="2" t="s">
        <v>15</v>
      </c>
      <c r="F10" s="2" t="s">
        <v>11</v>
      </c>
      <c r="G10" s="2" t="s">
        <v>14</v>
      </c>
      <c r="H10" s="2" t="s">
        <v>13</v>
      </c>
      <c r="I10" s="2" t="s">
        <v>11</v>
      </c>
      <c r="J10" s="2" t="s">
        <v>12</v>
      </c>
      <c r="K10" s="2" t="s">
        <v>11</v>
      </c>
      <c r="L10" s="2" t="s">
        <v>16</v>
      </c>
      <c r="M10" s="2" t="s">
        <v>15</v>
      </c>
      <c r="N10" s="2" t="s">
        <v>11</v>
      </c>
      <c r="O10" s="2" t="s">
        <v>14</v>
      </c>
      <c r="P10" s="2" t="s">
        <v>13</v>
      </c>
      <c r="Q10" s="2" t="s">
        <v>11</v>
      </c>
      <c r="R10" s="2" t="s">
        <v>12</v>
      </c>
      <c r="S10" s="2" t="s">
        <v>11</v>
      </c>
      <c r="T10" s="2" t="s">
        <v>16</v>
      </c>
      <c r="U10" s="2" t="s">
        <v>15</v>
      </c>
      <c r="V10" s="2" t="s">
        <v>11</v>
      </c>
      <c r="W10" s="2" t="s">
        <v>14</v>
      </c>
      <c r="X10" s="2" t="s">
        <v>13</v>
      </c>
      <c r="Y10" s="2" t="s">
        <v>11</v>
      </c>
      <c r="Z10" s="2" t="s">
        <v>12</v>
      </c>
      <c r="AA10" s="2" t="s">
        <v>11</v>
      </c>
      <c r="AB10" s="2" t="s">
        <v>16</v>
      </c>
      <c r="AC10" s="2" t="s">
        <v>15</v>
      </c>
      <c r="AD10" s="2" t="s">
        <v>11</v>
      </c>
      <c r="AE10" s="2" t="s">
        <v>14</v>
      </c>
      <c r="AF10" s="2" t="s">
        <v>13</v>
      </c>
      <c r="AG10" s="2" t="s">
        <v>11</v>
      </c>
      <c r="AH10" s="2" t="s">
        <v>12</v>
      </c>
      <c r="AI10" s="2" t="s">
        <v>11</v>
      </c>
      <c r="AJ10" s="2" t="s">
        <v>16</v>
      </c>
      <c r="AK10" s="2" t="s">
        <v>15</v>
      </c>
      <c r="AL10" s="2" t="s">
        <v>11</v>
      </c>
      <c r="AM10" s="2" t="s">
        <v>14</v>
      </c>
      <c r="AN10" s="2" t="s">
        <v>13</v>
      </c>
      <c r="AO10" s="2" t="s">
        <v>11</v>
      </c>
      <c r="AP10" s="2" t="s">
        <v>12</v>
      </c>
      <c r="AQ10" s="2" t="s">
        <v>11</v>
      </c>
    </row>
    <row r="11" spans="1:43" s="44" customFormat="1" x14ac:dyDescent="0.3">
      <c r="A11"/>
      <c r="B11"/>
      <c r="C11" s="2" t="s">
        <v>10</v>
      </c>
      <c r="D11" s="45">
        <v>1000</v>
      </c>
      <c r="E11" s="45">
        <f>(0.162*C25-0.098*C29)*$A$2</f>
        <v>4.6749999999999998</v>
      </c>
      <c r="F11" s="45"/>
      <c r="G11" s="45">
        <f t="shared" ref="G11:G16" si="2">D11*E11</f>
        <v>4675</v>
      </c>
      <c r="H11" s="45"/>
      <c r="I11" s="45"/>
      <c r="J11" s="45">
        <f>C25/C21</f>
        <v>0.56132756132756134</v>
      </c>
      <c r="K11" s="45"/>
      <c r="L11" s="45">
        <v>655</v>
      </c>
      <c r="M11" s="45">
        <f>(0.162*D25-0.098*D29)*$A$2</f>
        <v>5.0110000000000001</v>
      </c>
      <c r="N11" s="45"/>
      <c r="O11" s="45">
        <f t="shared" ref="O11:O16" si="3">L11*M11</f>
        <v>3282.2049999999999</v>
      </c>
      <c r="P11" s="45">
        <f t="shared" ref="P11:P16" si="4">O11/G11</f>
        <v>0.70207593582887695</v>
      </c>
      <c r="Q11" s="45"/>
      <c r="R11" s="45">
        <f>D25/D21</f>
        <v>0.56123822341857332</v>
      </c>
      <c r="S11" s="45"/>
      <c r="T11" s="45">
        <v>500</v>
      </c>
      <c r="U11" s="45">
        <f>(0.162*E25-0.098*E29)*$A$2</f>
        <v>9.4418000000000024</v>
      </c>
      <c r="V11" s="45"/>
      <c r="W11" s="45">
        <f t="shared" ref="W11:W16" si="5">T11*U11</f>
        <v>4720.9000000000015</v>
      </c>
      <c r="X11" s="45">
        <f t="shared" ref="X11:X16" si="6">W11/O11</f>
        <v>1.4383318531292231</v>
      </c>
      <c r="Y11" s="45"/>
      <c r="Z11" s="45">
        <f>E25/E21</f>
        <v>0.72859744990892528</v>
      </c>
      <c r="AA11" s="45"/>
      <c r="AB11" s="45">
        <v>380</v>
      </c>
      <c r="AC11" s="45">
        <f>(0.162*F25-0.098*F29)*10</f>
        <v>1.0360000000000001E-2</v>
      </c>
      <c r="AD11" s="45"/>
      <c r="AE11" s="45">
        <f t="shared" ref="AE11:AE16" si="7">AB11*AC11</f>
        <v>3.9368000000000003</v>
      </c>
      <c r="AF11" s="45">
        <f t="shared" ref="AF11:AF16" si="8">AE11/O11</f>
        <v>1.1994375732167857E-3</v>
      </c>
      <c r="AG11" s="45"/>
      <c r="AH11" s="45">
        <f>F25/F21</f>
        <v>2.7131782945736434E-2</v>
      </c>
      <c r="AI11" s="45"/>
      <c r="AJ11" s="45">
        <v>500</v>
      </c>
      <c r="AK11" s="45">
        <f>(0.162*G25-0.098*G29)*$A$2</f>
        <v>5.5010000000000003</v>
      </c>
      <c r="AL11" s="45"/>
      <c r="AM11" s="45">
        <f t="shared" ref="AM11:AM16" si="9">AJ11*AK11</f>
        <v>2750.5</v>
      </c>
      <c r="AN11" s="45">
        <f t="shared" ref="AN11:AN16" si="10">AM11/W11</f>
        <v>0.58262195767756131</v>
      </c>
      <c r="AO11" s="45"/>
      <c r="AP11" s="45">
        <f>G25/G21</f>
        <v>0.65083798882681565</v>
      </c>
      <c r="AQ11" s="45"/>
    </row>
    <row r="12" spans="1:43" s="44" customFormat="1" x14ac:dyDescent="0.3">
      <c r="A12"/>
      <c r="B12"/>
      <c r="C12" s="2" t="s">
        <v>9</v>
      </c>
      <c r="D12" s="45">
        <v>1000</v>
      </c>
      <c r="E12" s="45">
        <f>(0.162*C26-0.098*C30)*$A$2</f>
        <v>5.0286000000000008</v>
      </c>
      <c r="F12" s="45"/>
      <c r="G12" s="45">
        <f t="shared" si="2"/>
        <v>5028.6000000000013</v>
      </c>
      <c r="H12" s="45"/>
      <c r="I12" s="45"/>
      <c r="J12" s="45">
        <f>C26/C22</f>
        <v>0.56842105263157894</v>
      </c>
      <c r="K12" s="45"/>
      <c r="L12" s="45">
        <v>655</v>
      </c>
      <c r="M12" s="45">
        <f>(0.162*D26-0.098*D30)*$A$2</f>
        <v>5.3936000000000002</v>
      </c>
      <c r="N12" s="45"/>
      <c r="O12" s="45">
        <f t="shared" si="3"/>
        <v>3532.808</v>
      </c>
      <c r="P12" s="45">
        <f t="shared" si="4"/>
        <v>0.70254305373264903</v>
      </c>
      <c r="Q12" s="45"/>
      <c r="R12" s="45">
        <f>D26/D22</f>
        <v>0.5680981595092025</v>
      </c>
      <c r="S12" s="45"/>
      <c r="T12" s="45">
        <v>500</v>
      </c>
      <c r="U12" s="45">
        <f>(0.162*E26-0.098*E30)*$A$2</f>
        <v>8.5532000000000004</v>
      </c>
      <c r="V12" s="45"/>
      <c r="W12" s="45">
        <f t="shared" si="5"/>
        <v>4276.6000000000004</v>
      </c>
      <c r="X12" s="45">
        <f t="shared" si="6"/>
        <v>1.210538472512517</v>
      </c>
      <c r="Y12" s="45"/>
      <c r="Z12" s="45">
        <f>E26/E22</f>
        <v>0.72627372627372633</v>
      </c>
      <c r="AA12" s="45"/>
      <c r="AB12" s="45">
        <v>380</v>
      </c>
      <c r="AC12" s="45">
        <f>(0.162*F26-0.098*F30)*10</f>
        <v>4.67600054E-3</v>
      </c>
      <c r="AD12" s="45"/>
      <c r="AE12" s="45">
        <f t="shared" si="7"/>
        <v>1.7768802052000001</v>
      </c>
      <c r="AF12" s="45">
        <f t="shared" si="8"/>
        <v>5.0296540462997142E-4</v>
      </c>
      <c r="AG12" s="45"/>
      <c r="AH12" s="45">
        <f>F26/F22</f>
        <v>1.8666679999999999E-3</v>
      </c>
      <c r="AI12" s="45"/>
      <c r="AJ12" s="45">
        <v>500</v>
      </c>
      <c r="AK12" s="45">
        <f>(0.162*G26-0.098*G30)*$A$2</f>
        <v>5.3548</v>
      </c>
      <c r="AL12" s="45"/>
      <c r="AM12" s="45">
        <f t="shared" si="9"/>
        <v>2677.4</v>
      </c>
      <c r="AN12" s="45">
        <f t="shared" si="10"/>
        <v>0.62605808352429493</v>
      </c>
      <c r="AO12" s="45"/>
      <c r="AP12" s="45">
        <f>G26/G22</f>
        <v>0.65902578796561606</v>
      </c>
      <c r="AQ12" s="45"/>
    </row>
    <row r="13" spans="1:43" s="44" customFormat="1" x14ac:dyDescent="0.3">
      <c r="A13"/>
      <c r="B13"/>
      <c r="C13" s="2" t="s">
        <v>8</v>
      </c>
      <c r="D13" s="45">
        <v>1000</v>
      </c>
      <c r="E13" s="45">
        <f>(0.162*C27-0.098*C31)*$A$2</f>
        <v>4.7936000000000005</v>
      </c>
      <c r="F13" s="45"/>
      <c r="G13" s="45">
        <f t="shared" si="2"/>
        <v>4793.6000000000004</v>
      </c>
      <c r="H13" s="45"/>
      <c r="I13" s="45"/>
      <c r="J13" s="45">
        <f>C27/C23</f>
        <v>0.56000000000000005</v>
      </c>
      <c r="K13" s="45"/>
      <c r="L13" s="45">
        <v>655</v>
      </c>
      <c r="M13" s="45">
        <f>(0.162*D27-0.098*D31)*$A$2</f>
        <v>5.1360000000000001</v>
      </c>
      <c r="N13" s="45"/>
      <c r="O13" s="45">
        <f t="shared" si="3"/>
        <v>3364.08</v>
      </c>
      <c r="P13" s="45">
        <f t="shared" si="4"/>
        <v>0.70178571428571423</v>
      </c>
      <c r="Q13" s="45"/>
      <c r="R13" s="45">
        <f>D27/D23</f>
        <v>0.55984555984555984</v>
      </c>
      <c r="S13" s="45"/>
      <c r="T13" s="45">
        <v>500</v>
      </c>
      <c r="U13" s="45">
        <f>(0.162*E27-0.098*E31)*$A$2</f>
        <v>8.3016000000000005</v>
      </c>
      <c r="V13" s="45"/>
      <c r="W13" s="45">
        <f t="shared" si="5"/>
        <v>4150.8</v>
      </c>
      <c r="X13" s="45">
        <f t="shared" si="6"/>
        <v>1.2338588856388673</v>
      </c>
      <c r="Y13" s="45"/>
      <c r="Z13" s="45">
        <f>E27/E23</f>
        <v>0.72774327122153204</v>
      </c>
      <c r="AA13" s="45"/>
      <c r="AB13" s="45">
        <v>380</v>
      </c>
      <c r="AC13" s="45">
        <f>(0.162*F27-0.098*F31)*10</f>
        <v>2.0399999999999984E-3</v>
      </c>
      <c r="AD13" s="45"/>
      <c r="AE13" s="45">
        <f t="shared" si="7"/>
        <v>0.77519999999999945</v>
      </c>
      <c r="AF13" s="45">
        <f t="shared" si="8"/>
        <v>2.304344724263393E-4</v>
      </c>
      <c r="AG13" s="45"/>
      <c r="AH13" s="45">
        <f>F27/F23</f>
        <v>-2.3715415019762848E-2</v>
      </c>
      <c r="AI13" s="45"/>
      <c r="AJ13" s="45">
        <v>500</v>
      </c>
      <c r="AK13" s="45">
        <f>(0.162*G27-0.098*G31)*$A$2</f>
        <v>5.7555999999999994</v>
      </c>
      <c r="AL13" s="45"/>
      <c r="AM13" s="45">
        <f t="shared" si="9"/>
        <v>2877.7999999999997</v>
      </c>
      <c r="AN13" s="45">
        <f t="shared" si="10"/>
        <v>0.69331213260094426</v>
      </c>
      <c r="AO13" s="45"/>
      <c r="AP13" s="45">
        <f>G27/G23</f>
        <v>0.66486486486486485</v>
      </c>
      <c r="AQ13" s="45"/>
    </row>
    <row r="14" spans="1:43" s="44" customFormat="1" x14ac:dyDescent="0.3">
      <c r="A14"/>
      <c r="B14"/>
      <c r="C14" s="2" t="s">
        <v>7</v>
      </c>
      <c r="D14" s="45">
        <v>1000</v>
      </c>
      <c r="E14" s="45">
        <f>(0.162*J25-0.098*J29)*$A$2</f>
        <v>4.7579049088020229</v>
      </c>
      <c r="F14" s="45"/>
      <c r="G14" s="45">
        <f t="shared" si="2"/>
        <v>4757.9049088020229</v>
      </c>
      <c r="H14" s="45"/>
      <c r="I14" s="45"/>
      <c r="J14" s="45">
        <f>J25/J21</f>
        <v>0.56315789473684208</v>
      </c>
      <c r="K14" s="45"/>
      <c r="L14" s="45">
        <v>560</v>
      </c>
      <c r="M14" s="45">
        <f>(0.162*K25-0.098*K29)*$A$2</f>
        <v>5.1205999999999996</v>
      </c>
      <c r="N14" s="45"/>
      <c r="O14" s="45">
        <f t="shared" si="3"/>
        <v>2867.5359999999996</v>
      </c>
      <c r="P14" s="45">
        <f t="shared" si="4"/>
        <v>0.6026887999999998</v>
      </c>
      <c r="Q14" s="45"/>
      <c r="R14" s="45">
        <f>K25/K21</f>
        <v>0.56315789473684208</v>
      </c>
      <c r="S14" s="45"/>
      <c r="T14" s="45">
        <v>410</v>
      </c>
      <c r="U14" s="45">
        <f>(0.162*L25-0.098*L29)*$A$2</f>
        <v>8.4605999999999995</v>
      </c>
      <c r="V14" s="45"/>
      <c r="W14" s="45">
        <f t="shared" si="5"/>
        <v>3468.8459999999995</v>
      </c>
      <c r="X14" s="45">
        <f t="shared" si="6"/>
        <v>1.2096957108820954</v>
      </c>
      <c r="Y14" s="45"/>
      <c r="Z14" s="45">
        <f>L25/L21</f>
        <v>0.78563535911602211</v>
      </c>
      <c r="AA14" s="45"/>
      <c r="AB14" s="45">
        <v>330</v>
      </c>
      <c r="AC14" s="45">
        <f>(0.162*M25-0.098*M29)*$A$2</f>
        <v>0.1646</v>
      </c>
      <c r="AD14" s="45"/>
      <c r="AE14" s="45">
        <f t="shared" si="7"/>
        <v>54.317999999999998</v>
      </c>
      <c r="AF14" s="45">
        <f t="shared" si="8"/>
        <v>1.8942395143426275E-2</v>
      </c>
      <c r="AG14" s="45"/>
      <c r="AH14" s="45">
        <f>M25/M21</f>
        <v>5.791505791505791E-2</v>
      </c>
      <c r="AI14" s="45"/>
      <c r="AJ14" s="45">
        <v>380</v>
      </c>
      <c r="AK14" s="45">
        <f>(0.162*N25-0.098*N29)*$A$2</f>
        <v>6.9677999999999987</v>
      </c>
      <c r="AL14" s="45"/>
      <c r="AM14" s="45">
        <f t="shared" si="9"/>
        <v>2647.7639999999997</v>
      </c>
      <c r="AN14" s="45">
        <f t="shared" si="10"/>
        <v>0.76329822655718937</v>
      </c>
      <c r="AO14" s="45"/>
      <c r="AP14" s="45">
        <f>N25/N21</f>
        <v>0.70419161676646702</v>
      </c>
      <c r="AQ14" s="45"/>
    </row>
    <row r="15" spans="1:43" s="44" customFormat="1" x14ac:dyDescent="0.3">
      <c r="A15"/>
      <c r="B15"/>
      <c r="C15" s="2" t="s">
        <v>6</v>
      </c>
      <c r="D15" s="45">
        <v>1000</v>
      </c>
      <c r="E15" s="45">
        <f>(0.162*J26-0.098*J30)*$A$2</f>
        <v>4.8205309274039934</v>
      </c>
      <c r="F15" s="45"/>
      <c r="G15" s="45">
        <f t="shared" si="2"/>
        <v>4820.5309274039937</v>
      </c>
      <c r="H15" s="45"/>
      <c r="I15" s="45"/>
      <c r="J15" s="45">
        <f>J26/J22</f>
        <v>0.56679636835278857</v>
      </c>
      <c r="K15" s="45"/>
      <c r="L15" s="45">
        <v>560</v>
      </c>
      <c r="M15" s="45">
        <f>(0.162*K26-0.098*K30)*$A$2</f>
        <v>5.1879999999999997</v>
      </c>
      <c r="N15" s="45"/>
      <c r="O15" s="45">
        <f t="shared" si="3"/>
        <v>2905.2799999999997</v>
      </c>
      <c r="P15" s="45">
        <f t="shared" si="4"/>
        <v>0.60268879999999991</v>
      </c>
      <c r="Q15" s="45"/>
      <c r="R15" s="45">
        <f>K26/K22</f>
        <v>0.56679636835278857</v>
      </c>
      <c r="S15" s="45"/>
      <c r="T15" s="45">
        <v>410</v>
      </c>
      <c r="U15" s="45">
        <f>(0.162*L26-0.098*L30)*$A$2</f>
        <v>8.5965999999999987</v>
      </c>
      <c r="V15" s="45"/>
      <c r="W15" s="45">
        <f t="shared" si="5"/>
        <v>3524.6059999999993</v>
      </c>
      <c r="X15" s="45">
        <f t="shared" si="6"/>
        <v>1.2131725685648198</v>
      </c>
      <c r="Y15" s="45"/>
      <c r="Z15" s="45">
        <f>L26/L22</f>
        <v>0.77753779697624192</v>
      </c>
      <c r="AA15" s="45"/>
      <c r="AB15" s="45">
        <v>330</v>
      </c>
      <c r="AC15" s="45">
        <f>(0.162*M26-0.098*M30)*$A$2</f>
        <v>0.10400000000000001</v>
      </c>
      <c r="AD15" s="45"/>
      <c r="AE15" s="45">
        <f t="shared" si="7"/>
        <v>34.32</v>
      </c>
      <c r="AF15" s="45">
        <f t="shared" si="8"/>
        <v>1.1812974997246393E-2</v>
      </c>
      <c r="AG15" s="45"/>
      <c r="AH15" s="45">
        <f>M26/M22</f>
        <v>1.6877637130801686E-2</v>
      </c>
      <c r="AI15" s="45"/>
      <c r="AJ15" s="45">
        <v>380</v>
      </c>
      <c r="AK15" s="45">
        <f>(0.162*N26-0.098*N30)*$A$2</f>
        <v>6.2701999999999991</v>
      </c>
      <c r="AL15" s="45"/>
      <c r="AM15" s="45">
        <f t="shared" si="9"/>
        <v>2382.6759999999995</v>
      </c>
      <c r="AN15" s="45">
        <f t="shared" si="10"/>
        <v>0.67601201382509135</v>
      </c>
      <c r="AO15" s="45"/>
      <c r="AP15" s="45">
        <f>N26/N22</f>
        <v>0.70777479892761397</v>
      </c>
      <c r="AQ15" s="45"/>
    </row>
    <row r="16" spans="1:43" s="44" customFormat="1" x14ac:dyDescent="0.3">
      <c r="A16"/>
      <c r="B16"/>
      <c r="C16" s="2" t="s">
        <v>5</v>
      </c>
      <c r="D16" s="45">
        <v>1000</v>
      </c>
      <c r="E16" s="45">
        <f>(0.162*J27-0.098*J31)*$A$2</f>
        <v>4.8324242959218759</v>
      </c>
      <c r="F16" s="45"/>
      <c r="G16" s="45">
        <f t="shared" si="2"/>
        <v>4832.4242959218764</v>
      </c>
      <c r="H16" s="45"/>
      <c r="I16" s="45"/>
      <c r="J16" s="45">
        <f>J27/J23</f>
        <v>0.56791720569210868</v>
      </c>
      <c r="K16" s="45"/>
      <c r="L16" s="45">
        <v>560</v>
      </c>
      <c r="M16" s="45">
        <f>(0.162*K27-0.098*K31)*$A$2</f>
        <v>5.2008000000000001</v>
      </c>
      <c r="N16" s="45"/>
      <c r="O16" s="45">
        <f t="shared" si="3"/>
        <v>2912.4479999999999</v>
      </c>
      <c r="P16" s="45">
        <f t="shared" si="4"/>
        <v>0.6026887999999998</v>
      </c>
      <c r="Q16" s="45"/>
      <c r="R16" s="45">
        <f>K27/K23</f>
        <v>0.56791720569210868</v>
      </c>
      <c r="S16" s="45"/>
      <c r="T16" s="45">
        <v>410</v>
      </c>
      <c r="U16" s="45">
        <f>(0.162*L27-0.098*L31)*$A$2</f>
        <v>7.9693999999999985</v>
      </c>
      <c r="V16" s="45"/>
      <c r="W16" s="45">
        <f t="shared" si="5"/>
        <v>3267.4539999999993</v>
      </c>
      <c r="X16" s="45">
        <f t="shared" si="6"/>
        <v>1.121892648383765</v>
      </c>
      <c r="Y16" s="45"/>
      <c r="Z16" s="45">
        <f>L27/L23</f>
        <v>0.77572254335260105</v>
      </c>
      <c r="AA16" s="45"/>
      <c r="AB16" s="45">
        <v>330</v>
      </c>
      <c r="AC16" s="45">
        <f>(0.162*M27-0.098*M31)*$A$2</f>
        <v>0.12620000000000001</v>
      </c>
      <c r="AD16" s="45"/>
      <c r="AE16" s="45">
        <f t="shared" si="7"/>
        <v>41.646000000000001</v>
      </c>
      <c r="AF16" s="45">
        <f t="shared" si="8"/>
        <v>1.4299311094996376E-2</v>
      </c>
      <c r="AG16" s="45"/>
      <c r="AH16" s="45">
        <f>M27/M23</f>
        <v>3.7656903765690378E-2</v>
      </c>
      <c r="AI16" s="45"/>
      <c r="AJ16" s="45">
        <v>380</v>
      </c>
      <c r="AK16" s="45">
        <f>(0.162*N27-0.098*N31)*$A$2</f>
        <v>5.6272000000000002</v>
      </c>
      <c r="AL16" s="45"/>
      <c r="AM16" s="45">
        <f t="shared" si="9"/>
        <v>2138.3360000000002</v>
      </c>
      <c r="AN16" s="45">
        <f t="shared" si="10"/>
        <v>0.65443492088947564</v>
      </c>
      <c r="AO16" s="45"/>
      <c r="AP16" s="45">
        <f>N27/N23</f>
        <v>0.69241982507288624</v>
      </c>
      <c r="AQ16" s="45"/>
    </row>
    <row r="19" spans="2:21" x14ac:dyDescent="0.3">
      <c r="B19" s="108" t="s">
        <v>64</v>
      </c>
      <c r="C19" s="108"/>
      <c r="D19" s="108"/>
      <c r="E19" s="108"/>
      <c r="F19" s="108"/>
      <c r="G19" s="108"/>
      <c r="I19" s="108" t="s">
        <v>65</v>
      </c>
      <c r="J19" s="108"/>
      <c r="K19" s="108"/>
      <c r="L19" s="108"/>
      <c r="M19" s="108"/>
      <c r="N19" s="108"/>
      <c r="Q19" s="3"/>
      <c r="R19" s="3"/>
      <c r="S19" s="3"/>
      <c r="T19" s="3"/>
      <c r="U19" s="3"/>
    </row>
    <row r="20" spans="2:21" x14ac:dyDescent="0.3">
      <c r="B20" s="2" t="s">
        <v>45</v>
      </c>
      <c r="C20" s="2" t="s">
        <v>0</v>
      </c>
      <c r="D20" s="2" t="s">
        <v>1</v>
      </c>
      <c r="E20" s="2" t="s">
        <v>2</v>
      </c>
      <c r="F20" s="2" t="s">
        <v>4</v>
      </c>
      <c r="G20" s="2" t="s">
        <v>3</v>
      </c>
      <c r="I20" s="2" t="s">
        <v>45</v>
      </c>
      <c r="J20" s="2" t="s">
        <v>0</v>
      </c>
      <c r="K20" s="2" t="s">
        <v>60</v>
      </c>
      <c r="L20" s="2" t="s">
        <v>59</v>
      </c>
      <c r="M20" s="2" t="s">
        <v>58</v>
      </c>
      <c r="N20" s="2" t="s">
        <v>57</v>
      </c>
      <c r="Q20" s="3"/>
      <c r="R20" s="3"/>
      <c r="S20" s="3"/>
      <c r="T20" s="3"/>
      <c r="U20" s="3"/>
    </row>
    <row r="21" spans="2:21" x14ac:dyDescent="0.3">
      <c r="B21" s="2">
        <v>280</v>
      </c>
      <c r="C21" s="13">
        <v>0.69299999999999995</v>
      </c>
      <c r="D21" s="13">
        <v>0.74299999999999999</v>
      </c>
      <c r="E21" s="13">
        <v>1.0980000000000001</v>
      </c>
      <c r="F21" s="13">
        <v>0.25800000000000001</v>
      </c>
      <c r="G21" s="13">
        <v>0.71599999999999997</v>
      </c>
      <c r="I21" s="2">
        <v>280</v>
      </c>
      <c r="J21" s="13">
        <v>0.70616875574923577</v>
      </c>
      <c r="K21" s="13">
        <v>0.76</v>
      </c>
      <c r="L21" s="2">
        <v>0.90499999999999992</v>
      </c>
      <c r="M21" s="2">
        <v>0.25900000000000001</v>
      </c>
      <c r="N21" s="13">
        <v>0.83499999999999996</v>
      </c>
      <c r="Q21" s="1"/>
      <c r="R21" s="1"/>
      <c r="S21" s="1"/>
      <c r="T21" s="3"/>
      <c r="U21" s="3"/>
    </row>
    <row r="22" spans="2:21" x14ac:dyDescent="0.3">
      <c r="B22" s="2">
        <v>280</v>
      </c>
      <c r="C22" s="13">
        <v>0.76</v>
      </c>
      <c r="D22" s="13">
        <v>0.81499999999999995</v>
      </c>
      <c r="E22" s="13">
        <v>1.0009999999999999</v>
      </c>
      <c r="F22" s="13">
        <v>0.25</v>
      </c>
      <c r="G22" s="13">
        <v>0.69799999999999995</v>
      </c>
      <c r="I22" s="2">
        <v>280</v>
      </c>
      <c r="J22" s="13">
        <v>0.71638961931929046</v>
      </c>
      <c r="K22" s="13">
        <v>0.77100000000000002</v>
      </c>
      <c r="L22" s="2">
        <v>0.92599999999999993</v>
      </c>
      <c r="M22" s="2">
        <v>0.23700000000000002</v>
      </c>
      <c r="N22" s="13">
        <v>0.746</v>
      </c>
      <c r="Q22" s="1"/>
      <c r="R22" s="1"/>
      <c r="S22" s="1"/>
      <c r="T22" s="3"/>
      <c r="U22" s="3"/>
    </row>
    <row r="23" spans="2:21" x14ac:dyDescent="0.3">
      <c r="B23" s="2">
        <v>280</v>
      </c>
      <c r="C23" s="13">
        <v>0.72499999999999998</v>
      </c>
      <c r="D23" s="13">
        <v>0.77700000000000002</v>
      </c>
      <c r="E23" s="13">
        <v>0.96599999999999997</v>
      </c>
      <c r="F23" s="13">
        <v>0.253</v>
      </c>
      <c r="G23" s="13">
        <v>0.74</v>
      </c>
      <c r="I23" s="2">
        <v>280</v>
      </c>
      <c r="J23" s="13">
        <v>0.71824795815020959</v>
      </c>
      <c r="K23" s="13">
        <v>0.77300000000000002</v>
      </c>
      <c r="L23" s="2">
        <v>0.86499999999999999</v>
      </c>
      <c r="M23" s="2">
        <v>0.23900000000000002</v>
      </c>
      <c r="N23" s="13">
        <v>0.68600000000000005</v>
      </c>
      <c r="Q23" s="1"/>
      <c r="R23" s="1"/>
      <c r="S23" s="1"/>
      <c r="T23" s="3"/>
      <c r="U23" s="3"/>
    </row>
    <row r="24" spans="2:21" x14ac:dyDescent="0.3">
      <c r="B24" s="2"/>
      <c r="C24" s="2"/>
      <c r="D24" s="2"/>
      <c r="E24" s="2"/>
      <c r="F24" s="2"/>
      <c r="G24" s="2"/>
      <c r="I24" s="2"/>
      <c r="J24" s="41"/>
      <c r="K24" s="2"/>
      <c r="L24" s="2"/>
      <c r="M24" s="2"/>
      <c r="N24" s="13"/>
      <c r="Q24" s="3"/>
      <c r="R24" s="3"/>
      <c r="S24" s="3"/>
      <c r="T24" s="3"/>
      <c r="U24" s="3"/>
    </row>
    <row r="25" spans="2:21" x14ac:dyDescent="0.3">
      <c r="B25" s="2">
        <v>620</v>
      </c>
      <c r="C25" s="13">
        <v>0.38900000000000001</v>
      </c>
      <c r="D25" s="13">
        <v>0.41699999999999998</v>
      </c>
      <c r="E25" s="13">
        <v>0.8</v>
      </c>
      <c r="F25" s="13">
        <v>7.0000000000000001E-3</v>
      </c>
      <c r="G25" s="13">
        <v>0.46599999999999997</v>
      </c>
      <c r="I25" s="2">
        <v>620</v>
      </c>
      <c r="J25" s="13">
        <v>0.39768450981667486</v>
      </c>
      <c r="K25" s="13">
        <v>0.42799999999999999</v>
      </c>
      <c r="L25" s="2">
        <v>0.71099999999999997</v>
      </c>
      <c r="M25" s="2">
        <v>1.4999999999999999E-2</v>
      </c>
      <c r="N25" s="13">
        <v>0.58799999999999997</v>
      </c>
      <c r="Q25" s="1"/>
      <c r="R25" s="1"/>
      <c r="S25" s="1"/>
      <c r="T25" s="3"/>
      <c r="U25" s="3"/>
    </row>
    <row r="26" spans="2:21" x14ac:dyDescent="0.3">
      <c r="B26" s="2">
        <v>620</v>
      </c>
      <c r="C26" s="13">
        <v>0.432</v>
      </c>
      <c r="D26" s="13">
        <v>0.46300000000000002</v>
      </c>
      <c r="E26" s="13">
        <v>0.72699999999999998</v>
      </c>
      <c r="F26" s="40">
        <v>4.6666699999999998E-4</v>
      </c>
      <c r="G26" s="13">
        <v>0.45999999999999996</v>
      </c>
      <c r="I26" s="2">
        <v>620</v>
      </c>
      <c r="J26" s="13">
        <v>0.40604703455581054</v>
      </c>
      <c r="K26" s="13">
        <v>0.437</v>
      </c>
      <c r="L26" s="2">
        <v>0.72</v>
      </c>
      <c r="M26" s="2">
        <v>4.0000000000000001E-3</v>
      </c>
      <c r="N26" s="13">
        <v>0.52800000000000002</v>
      </c>
      <c r="Q26" s="1"/>
      <c r="R26" s="1"/>
      <c r="S26" s="1"/>
      <c r="T26" s="3"/>
      <c r="U26" s="3"/>
    </row>
    <row r="27" spans="2:21" x14ac:dyDescent="0.3">
      <c r="B27" s="2">
        <v>620</v>
      </c>
      <c r="C27" s="13">
        <v>0.40600000000000003</v>
      </c>
      <c r="D27" s="13">
        <v>0.435</v>
      </c>
      <c r="E27" s="13">
        <v>0.70299999999999996</v>
      </c>
      <c r="F27" s="13">
        <v>-6.0000000000000001E-3</v>
      </c>
      <c r="G27" s="13">
        <v>0.49199999999999999</v>
      </c>
      <c r="I27" s="2">
        <v>620</v>
      </c>
      <c r="J27" s="2">
        <v>0.40790537338672961</v>
      </c>
      <c r="K27" s="13">
        <v>0.439</v>
      </c>
      <c r="L27" s="2">
        <v>0.67099999999999993</v>
      </c>
      <c r="M27" s="2">
        <v>9.0000000000000011E-3</v>
      </c>
      <c r="N27" s="13">
        <v>0.47499999999999998</v>
      </c>
      <c r="Q27" s="1"/>
      <c r="R27" s="1"/>
      <c r="S27" s="1"/>
      <c r="T27" s="3"/>
      <c r="U27" s="3"/>
    </row>
    <row r="28" spans="2:21" x14ac:dyDescent="0.3">
      <c r="B28" s="2"/>
      <c r="C28" s="2"/>
      <c r="D28" s="2"/>
      <c r="E28" s="2"/>
      <c r="F28" s="2"/>
      <c r="G28" s="2"/>
      <c r="I28" s="2"/>
      <c r="J28" s="13"/>
      <c r="K28" s="2"/>
      <c r="L28" s="2"/>
      <c r="M28" s="2"/>
      <c r="N28" s="2"/>
      <c r="Q28" s="3"/>
      <c r="R28" s="3"/>
      <c r="S28" s="3"/>
      <c r="T28" s="3"/>
      <c r="U28" s="3"/>
    </row>
    <row r="29" spans="2:21" x14ac:dyDescent="0.3">
      <c r="B29" s="2">
        <v>650</v>
      </c>
      <c r="C29" s="13">
        <v>0.16600000000000001</v>
      </c>
      <c r="D29" s="13">
        <v>0.17799999999999999</v>
      </c>
      <c r="E29" s="13">
        <v>0.35899999999999999</v>
      </c>
      <c r="F29" s="13">
        <v>1E-3</v>
      </c>
      <c r="G29" s="13">
        <v>0.20900000000000002</v>
      </c>
      <c r="I29" s="2">
        <v>650</v>
      </c>
      <c r="J29" s="13">
        <v>0.17189634186001132</v>
      </c>
      <c r="K29" s="13">
        <v>0.185</v>
      </c>
      <c r="L29" s="2">
        <v>0.312</v>
      </c>
      <c r="M29" s="2">
        <v>8.0000000000000002E-3</v>
      </c>
      <c r="N29" s="13">
        <v>0.26100000000000001</v>
      </c>
      <c r="Q29" s="1"/>
      <c r="R29" s="1"/>
      <c r="S29" s="1"/>
      <c r="T29" s="3"/>
      <c r="U29" s="3"/>
    </row>
    <row r="30" spans="2:21" x14ac:dyDescent="0.3">
      <c r="B30" s="2">
        <v>650</v>
      </c>
      <c r="C30" s="13">
        <v>0.20100000000000001</v>
      </c>
      <c r="D30" s="13">
        <v>0.215</v>
      </c>
      <c r="E30" s="13">
        <v>0.32900000000000001</v>
      </c>
      <c r="F30" s="13">
        <v>-4.0000000000000001E-3</v>
      </c>
      <c r="G30" s="13">
        <v>0.214</v>
      </c>
      <c r="I30" s="2">
        <v>650</v>
      </c>
      <c r="J30" s="13">
        <v>0.17932969718368749</v>
      </c>
      <c r="K30" s="13">
        <v>0.193</v>
      </c>
      <c r="L30" s="2">
        <v>0.313</v>
      </c>
      <c r="M30" s="2">
        <v>-4.0000000000000001E-3</v>
      </c>
      <c r="N30" s="13">
        <v>0.23300000000000001</v>
      </c>
      <c r="Q30" s="1"/>
      <c r="R30" s="1"/>
      <c r="S30" s="1"/>
      <c r="T30" s="3"/>
      <c r="U30" s="3"/>
    </row>
    <row r="31" spans="2:21" x14ac:dyDescent="0.3">
      <c r="B31" s="2">
        <v>650</v>
      </c>
      <c r="C31" s="13">
        <v>0.182</v>
      </c>
      <c r="D31" s="13">
        <v>0.19500000000000001</v>
      </c>
      <c r="E31" s="13">
        <v>0.315</v>
      </c>
      <c r="F31" s="13">
        <v>-1.2E-2</v>
      </c>
      <c r="G31" s="13">
        <v>0.22600000000000001</v>
      </c>
      <c r="I31" s="2">
        <v>650</v>
      </c>
      <c r="J31" s="13">
        <v>0.18118803601460653</v>
      </c>
      <c r="K31" s="13">
        <v>0.19500000000000001</v>
      </c>
      <c r="L31" s="2">
        <v>0.29599999999999999</v>
      </c>
      <c r="M31" s="2">
        <v>2.0000000000000018E-3</v>
      </c>
      <c r="N31" s="13">
        <v>0.21099999999999999</v>
      </c>
      <c r="Q31" s="1"/>
      <c r="R31" s="1"/>
      <c r="S31" s="1"/>
      <c r="T31" s="3"/>
      <c r="U31" s="3"/>
    </row>
    <row r="32" spans="2:21" x14ac:dyDescent="0.3">
      <c r="K32" s="19"/>
      <c r="L32" s="19"/>
      <c r="Q32" s="3"/>
      <c r="R32" s="3"/>
      <c r="S32" s="1"/>
      <c r="T32" s="3"/>
      <c r="U32" s="3"/>
    </row>
    <row r="33" spans="17:21" x14ac:dyDescent="0.3">
      <c r="Q33" s="3"/>
      <c r="R33" s="3"/>
      <c r="S33" s="3"/>
      <c r="T33" s="3"/>
      <c r="U33" s="3"/>
    </row>
  </sheetData>
  <mergeCells count="12">
    <mergeCell ref="AB2:AI2"/>
    <mergeCell ref="AJ2:AQ2"/>
    <mergeCell ref="D9:K9"/>
    <mergeCell ref="T9:AA9"/>
    <mergeCell ref="AB9:AI9"/>
    <mergeCell ref="AJ9:AQ9"/>
    <mergeCell ref="L9:S9"/>
    <mergeCell ref="B19:G19"/>
    <mergeCell ref="I19:N19"/>
    <mergeCell ref="D2:K2"/>
    <mergeCell ref="L2:S2"/>
    <mergeCell ref="T2:AA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8783D-8DB5-4257-9E85-AABCA4D846F1}">
  <dimension ref="A1:AQ36"/>
  <sheetViews>
    <sheetView zoomScale="70" zoomScaleNormal="70" workbookViewId="0">
      <selection activeCell="D11" activeCellId="2" sqref="Q20:T36 D4:XFD7 D11:XFD17"/>
    </sheetView>
  </sheetViews>
  <sheetFormatPr defaultRowHeight="14.4" x14ac:dyDescent="0.3"/>
  <sheetData>
    <row r="1" spans="1:43" x14ac:dyDescent="0.3">
      <c r="A1" t="s">
        <v>27</v>
      </c>
    </row>
    <row r="2" spans="1:43" x14ac:dyDescent="0.3">
      <c r="A2">
        <v>100</v>
      </c>
      <c r="B2" t="s">
        <v>28</v>
      </c>
      <c r="C2" s="2"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row>
    <row r="3" spans="1:43"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 t="s">
        <v>11</v>
      </c>
      <c r="T3" s="2"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row>
    <row r="4" spans="1:43" s="44" customFormat="1" x14ac:dyDescent="0.3">
      <c r="A4"/>
      <c r="B4"/>
      <c r="C4" s="2" t="s">
        <v>25</v>
      </c>
      <c r="D4" s="45">
        <v>1000</v>
      </c>
      <c r="E4" s="45">
        <f>AVERAGE(E11:E13)</f>
        <v>5.3886000000000012</v>
      </c>
      <c r="F4" s="45">
        <f>_xlfn.STDEV.S(E11:E13)</f>
        <v>0.12296747537458788</v>
      </c>
      <c r="G4" s="45">
        <f>D4*E4</f>
        <v>5388.6000000000013</v>
      </c>
      <c r="H4" s="45"/>
      <c r="I4" s="45"/>
      <c r="J4" s="45">
        <f>AVERAGE(J11:J13)</f>
        <v>0.63664533431552595</v>
      </c>
      <c r="K4" s="45">
        <f>_xlfn.STDEV.S(J11:J13)</f>
        <v>3.1688693902230682E-3</v>
      </c>
      <c r="L4" s="45">
        <v>600</v>
      </c>
      <c r="M4" s="45">
        <f>AVERAGE(M11:M13)</f>
        <v>5.6801256171232337</v>
      </c>
      <c r="N4" s="45">
        <f>_xlfn.STDEV.S(M11:M13)</f>
        <v>0.47894429624156482</v>
      </c>
      <c r="O4" s="45">
        <f>L4*M4</f>
        <v>3408.0753702739403</v>
      </c>
      <c r="P4" s="45">
        <f>AVERAGE(P11:P13)</f>
        <v>0.63272419379372946</v>
      </c>
      <c r="Q4" s="45">
        <f>_xlfn.STDEV.S(P11:P13)</f>
        <v>5.6535132393849642E-2</v>
      </c>
      <c r="R4" s="45">
        <f>AVERAGE(R11:R13)</f>
        <v>0.63486027142474821</v>
      </c>
      <c r="S4" s="45">
        <f>_xlfn.STDEV.S(R11:R13)</f>
        <v>2.2708425542937944E-3</v>
      </c>
      <c r="T4" s="45">
        <f>AVERAGE(T11:T13)</f>
        <v>700</v>
      </c>
      <c r="U4" s="45">
        <f>AVERAGE(U12:U13)</f>
        <v>5.3186000000000009</v>
      </c>
      <c r="V4" s="45">
        <f>_xlfn.STDEV.S(U11:U13)</f>
        <v>0.71643428170349244</v>
      </c>
      <c r="W4" s="45">
        <f>T4*U4</f>
        <v>3723.0200000000004</v>
      </c>
      <c r="X4" s="45">
        <f>AVERAGE(X11:X13)</f>
        <v>1.0198010704513438</v>
      </c>
      <c r="Y4" s="45">
        <f>_xlfn.STDEV.S(X11:X13)</f>
        <v>0.21827668591282801</v>
      </c>
      <c r="Z4" s="45">
        <f>AVERAGE(Z11:Z13)</f>
        <v>0.57171613380565811</v>
      </c>
      <c r="AA4" s="45">
        <f>_xlfn.STDEV.S(Z11:Z13)</f>
        <v>3.6524186346459089E-3</v>
      </c>
      <c r="AB4" s="45">
        <f>AVERAGE(AB11:AB13)</f>
        <v>100</v>
      </c>
      <c r="AC4" s="45">
        <f>AVERAGE(AC11:AC13)</f>
        <v>8.3008887800000014E-3</v>
      </c>
      <c r="AD4" s="45">
        <f>_xlfn.STDEV.S(AC11:AC13)</f>
        <v>3.0469790821385108E-3</v>
      </c>
      <c r="AE4" s="45">
        <f>AB4*AC4</f>
        <v>0.8300888780000002</v>
      </c>
      <c r="AF4" s="45">
        <f>AVERAGE(AF11:AF13)</f>
        <v>2.4259955436263181E-4</v>
      </c>
      <c r="AG4" s="45">
        <f>_xlfn.STDEV.S(AF11:AF13)</f>
        <v>8.2356246183963862E-5</v>
      </c>
      <c r="AH4" s="45">
        <f>AVERAGE(AH11:AH13)</f>
        <v>1.5105931803038408E-2</v>
      </c>
      <c r="AI4" s="45">
        <f>_xlfn.STDEV.S(AH11:AH13)</f>
        <v>2.6587096789810759E-2</v>
      </c>
      <c r="AJ4" s="45">
        <f>AVERAGE(AJ11:AJ13)</f>
        <v>650</v>
      </c>
      <c r="AK4" s="45">
        <f>AVERAGE(AK11:AK13)</f>
        <v>2.7657333333333334</v>
      </c>
      <c r="AL4" s="45">
        <f>_xlfn.STDEV.S(AK11:AK13)</f>
        <v>0.30114291180988007</v>
      </c>
      <c r="AM4" s="45">
        <f>AJ4*AK4</f>
        <v>1797.7266666666667</v>
      </c>
      <c r="AN4" s="45">
        <f>AVERAGE(AN11:AN13)</f>
        <v>0.53258344494157106</v>
      </c>
      <c r="AO4" s="45">
        <f>_xlfn.STDEV.S(AN11:AN13)</f>
        <v>0.10715363296669536</v>
      </c>
      <c r="AP4" s="45">
        <f>AVERAGE(AP11:AP13)</f>
        <v>0.39292691901387555</v>
      </c>
      <c r="AQ4" s="45">
        <f>_xlfn.STDEV.S(AP11:AP13)</f>
        <v>3.3483386912462033E-3</v>
      </c>
    </row>
    <row r="5" spans="1:43" s="44" customFormat="1" x14ac:dyDescent="0.3">
      <c r="A5"/>
      <c r="B5"/>
      <c r="C5" s="2" t="s">
        <v>24</v>
      </c>
      <c r="D5" s="45">
        <v>1000</v>
      </c>
      <c r="E5" s="45">
        <f>AVERAGE(E14:E16)</f>
        <v>5.218799999999999</v>
      </c>
      <c r="F5" s="45">
        <f>_xlfn.STDEV.S(E14:E16)</f>
        <v>0.47451857708629291</v>
      </c>
      <c r="G5" s="45">
        <f>D5*E5</f>
        <v>5218.7999999999993</v>
      </c>
      <c r="H5" s="45"/>
      <c r="I5" s="45"/>
      <c r="J5" s="45">
        <f>AVERAGE(J14:J16)</f>
        <v>0.57518691723610049</v>
      </c>
      <c r="K5" s="45">
        <f>_xlfn.STDEV.S(J14:J16)</f>
        <v>7.5224688110582987E-3</v>
      </c>
      <c r="L5" s="45">
        <v>600</v>
      </c>
      <c r="M5" s="45">
        <f>AVERAGE(M14:M16)</f>
        <v>5.4770666666666665</v>
      </c>
      <c r="N5" s="45">
        <f>_xlfn.STDEV.S(M14:M16)</f>
        <v>0.22771616836169833</v>
      </c>
      <c r="O5" s="45">
        <f>L5*M5</f>
        <v>3286.24</v>
      </c>
      <c r="P5" s="45">
        <f>AVERAGE(P14:P16)</f>
        <v>0.63273886595209972</v>
      </c>
      <c r="Q5" s="45">
        <f>_xlfn.STDEV.S(P14:P16)</f>
        <v>5.6687941897010763E-2</v>
      </c>
      <c r="R5" s="45">
        <f>AVERAGE(R14:R16)</f>
        <v>0.57356381971852322</v>
      </c>
      <c r="S5" s="45">
        <f>_xlfn.STDEV.S(R14:R16)</f>
        <v>5.8923701288216088E-3</v>
      </c>
      <c r="T5" s="45">
        <f>AVERAGE(T14:T16)</f>
        <v>700</v>
      </c>
      <c r="U5" s="45">
        <f>AVERAGE(U14:U16)</f>
        <v>4.3635333333333337</v>
      </c>
      <c r="V5" s="45">
        <f>_xlfn.STDEV.S(U14:U16)</f>
        <v>0.36919573850917281</v>
      </c>
      <c r="W5" s="45">
        <f>T5*U5</f>
        <v>3054.4733333333338</v>
      </c>
      <c r="X5" s="45">
        <f>AVERAGE(X14:X16)</f>
        <v>0.93115845246728723</v>
      </c>
      <c r="Y5" s="45">
        <f>_xlfn.STDEV.S(X14:X16)</f>
        <v>9.8420242621653345E-2</v>
      </c>
      <c r="Z5" s="45">
        <f>AVERAGE(Z14:Z16)</f>
        <v>0.59123896824478728</v>
      </c>
      <c r="AA5" s="45">
        <f>_xlfn.STDEV.S(Z14:Z16)</f>
        <v>1.1496243155423982E-2</v>
      </c>
      <c r="AB5" s="45">
        <f>AVERAGE(AB14:AB16)</f>
        <v>100</v>
      </c>
      <c r="AC5" s="45">
        <f>AVERAGE(AC14:AC16)</f>
        <v>8.9133333333333328E-2</v>
      </c>
      <c r="AD5" s="45">
        <f>_xlfn.STDEV.S(AC14:AC16)</f>
        <v>3.5938465929047883E-2</v>
      </c>
      <c r="AE5" s="45">
        <f>AB5*AC5</f>
        <v>8.9133333333333322</v>
      </c>
      <c r="AF5" s="45">
        <f>AVERAGE(AF14:AF16)</f>
        <v>2.7192446254069229E-3</v>
      </c>
      <c r="AG5" s="45">
        <f>_xlfn.STDEV.S(AF14:AF16)</f>
        <v>1.1212675464504916E-3</v>
      </c>
      <c r="AH5" s="45">
        <f>AVERAGE(AH14:AH16)</f>
        <v>4.1039272618219984E-2</v>
      </c>
      <c r="AI5" s="45">
        <f>_xlfn.STDEV.S(AH14:AH16)</f>
        <v>1.6345719055467732E-3</v>
      </c>
      <c r="AJ5" s="45">
        <f>AVERAGE(AJ14:AJ16)</f>
        <v>800</v>
      </c>
      <c r="AK5" s="45">
        <f>AVERAGE(AK14:AK16)</f>
        <v>3.7702866666666672</v>
      </c>
      <c r="AL5" s="45">
        <f>_xlfn.STDEV.S(AK14:AK16)</f>
        <v>0.38843008255454797</v>
      </c>
      <c r="AM5" s="45">
        <f>AJ5*AK5</f>
        <v>3016.2293333333337</v>
      </c>
      <c r="AN5" s="45">
        <f>AVERAGE(AN14:AN16)</f>
        <v>0.99115157301674506</v>
      </c>
      <c r="AO5" s="45">
        <f>_xlfn.STDEV.S(AN14:AN16)</f>
        <v>0.11481931133097642</v>
      </c>
      <c r="AP5" s="45">
        <f>AVERAGE(AP14:AP16)</f>
        <v>0.59788908009099939</v>
      </c>
      <c r="AQ5" s="45">
        <f>_xlfn.STDEV.S(AP14:AP16)</f>
        <v>3.1212551439830795E-2</v>
      </c>
    </row>
    <row r="6" spans="1:43" s="44" customFormat="1" x14ac:dyDescent="0.3">
      <c r="A6"/>
      <c r="B6"/>
      <c r="C6" s="2" t="s">
        <v>23</v>
      </c>
      <c r="D6" s="45">
        <f t="shared" ref="D6:AQ6" si="0">AVERAGE(D4:D5)</f>
        <v>1000</v>
      </c>
      <c r="E6" s="45">
        <f t="shared" si="0"/>
        <v>5.3037000000000001</v>
      </c>
      <c r="F6" s="45">
        <f t="shared" si="0"/>
        <v>0.29874302623044041</v>
      </c>
      <c r="G6" s="45">
        <f t="shared" si="0"/>
        <v>5303.7000000000007</v>
      </c>
      <c r="H6" s="45" t="e">
        <f t="shared" si="0"/>
        <v>#DIV/0!</v>
      </c>
      <c r="I6" s="45" t="e">
        <f t="shared" si="0"/>
        <v>#DIV/0!</v>
      </c>
      <c r="J6" s="45">
        <f t="shared" si="0"/>
        <v>0.60591612577581322</v>
      </c>
      <c r="K6" s="45">
        <f t="shared" si="0"/>
        <v>5.3456691006406832E-3</v>
      </c>
      <c r="L6" s="45">
        <f t="shared" si="0"/>
        <v>600</v>
      </c>
      <c r="M6" s="45">
        <f t="shared" si="0"/>
        <v>5.5785961418949501</v>
      </c>
      <c r="N6" s="45">
        <f t="shared" si="0"/>
        <v>0.35333023230163157</v>
      </c>
      <c r="O6" s="45">
        <f t="shared" si="0"/>
        <v>3347.15768513697</v>
      </c>
      <c r="P6" s="45">
        <f t="shared" si="0"/>
        <v>0.63273152987291459</v>
      </c>
      <c r="Q6" s="45">
        <f t="shared" si="0"/>
        <v>5.6611537145430199E-2</v>
      </c>
      <c r="R6" s="45">
        <f t="shared" si="0"/>
        <v>0.60421204557163577</v>
      </c>
      <c r="S6" s="45">
        <f t="shared" si="0"/>
        <v>4.081606341557702E-3</v>
      </c>
      <c r="T6" s="45">
        <f t="shared" si="0"/>
        <v>700</v>
      </c>
      <c r="U6" s="45">
        <f t="shared" si="0"/>
        <v>4.8410666666666673</v>
      </c>
      <c r="V6" s="45">
        <f t="shared" si="0"/>
        <v>0.5428150101063326</v>
      </c>
      <c r="W6" s="45">
        <f t="shared" si="0"/>
        <v>3388.7466666666669</v>
      </c>
      <c r="X6" s="45">
        <f t="shared" si="0"/>
        <v>0.97547976145931559</v>
      </c>
      <c r="Y6" s="45">
        <f t="shared" si="0"/>
        <v>0.15834846426724067</v>
      </c>
      <c r="Z6" s="45">
        <f t="shared" si="0"/>
        <v>0.58147755102522269</v>
      </c>
      <c r="AA6" s="45">
        <f t="shared" si="0"/>
        <v>7.5743308950349461E-3</v>
      </c>
      <c r="AB6" s="45">
        <f t="shared" si="0"/>
        <v>100</v>
      </c>
      <c r="AC6" s="45">
        <f t="shared" si="0"/>
        <v>4.8717111056666665E-2</v>
      </c>
      <c r="AD6" s="45">
        <f t="shared" si="0"/>
        <v>1.9492722505593196E-2</v>
      </c>
      <c r="AE6" s="45">
        <f t="shared" si="0"/>
        <v>4.871711105666666</v>
      </c>
      <c r="AF6" s="45">
        <f t="shared" si="0"/>
        <v>1.4809220898847773E-3</v>
      </c>
      <c r="AG6" s="45">
        <f t="shared" si="0"/>
        <v>6.0181189631722774E-4</v>
      </c>
      <c r="AH6" s="45">
        <f t="shared" si="0"/>
        <v>2.8072602210629197E-2</v>
      </c>
      <c r="AI6" s="45">
        <f t="shared" si="0"/>
        <v>1.4110834347678767E-2</v>
      </c>
      <c r="AJ6" s="45">
        <f t="shared" si="0"/>
        <v>725</v>
      </c>
      <c r="AK6" s="45">
        <f t="shared" si="0"/>
        <v>3.2680100000000003</v>
      </c>
      <c r="AL6" s="45">
        <f t="shared" si="0"/>
        <v>0.34478649718221399</v>
      </c>
      <c r="AM6" s="45">
        <f t="shared" si="0"/>
        <v>2406.9780000000001</v>
      </c>
      <c r="AN6" s="45">
        <f t="shared" si="0"/>
        <v>0.761867508979158</v>
      </c>
      <c r="AO6" s="45">
        <f t="shared" si="0"/>
        <v>0.11098647214883589</v>
      </c>
      <c r="AP6" s="45">
        <f t="shared" si="0"/>
        <v>0.49540799955243747</v>
      </c>
      <c r="AQ6" s="45">
        <f t="shared" si="0"/>
        <v>1.72804450655385E-2</v>
      </c>
    </row>
    <row r="7" spans="1:43" s="44" customFormat="1" x14ac:dyDescent="0.3">
      <c r="A7"/>
      <c r="B7"/>
      <c r="C7" s="20" t="s">
        <v>55</v>
      </c>
      <c r="D7" s="44">
        <f t="shared" ref="D7:AQ7" si="1">_xlfn.STDEV.S(D4:D5)</f>
        <v>0</v>
      </c>
      <c r="E7" s="44">
        <f t="shared" si="1"/>
        <v>0.1200667314454773</v>
      </c>
      <c r="F7" s="44">
        <f t="shared" si="1"/>
        <v>0.24858416795394828</v>
      </c>
      <c r="G7" s="44">
        <f t="shared" si="1"/>
        <v>120.06673144547717</v>
      </c>
      <c r="H7" s="44" t="e">
        <f t="shared" si="1"/>
        <v>#DIV/0!</v>
      </c>
      <c r="I7" s="44" t="e">
        <f t="shared" si="1"/>
        <v>#DIV/0!</v>
      </c>
      <c r="J7" s="44">
        <f t="shared" si="1"/>
        <v>4.3457663477852869E-2</v>
      </c>
      <c r="K7" s="44">
        <f t="shared" si="1"/>
        <v>3.0784596730424182E-3</v>
      </c>
      <c r="L7" s="44">
        <f t="shared" si="1"/>
        <v>0</v>
      </c>
      <c r="M7" s="44">
        <f t="shared" si="1"/>
        <v>0.14358436084846185</v>
      </c>
      <c r="N7" s="44">
        <f t="shared" si="1"/>
        <v>0.17764511284865481</v>
      </c>
      <c r="O7" s="44">
        <f t="shared" si="1"/>
        <v>86.150616509077238</v>
      </c>
      <c r="P7" s="44">
        <f t="shared" si="1"/>
        <v>1.0374782678250067E-5</v>
      </c>
      <c r="Q7" s="44">
        <f t="shared" si="1"/>
        <v>1.080526359149756E-4</v>
      </c>
      <c r="R7" s="44">
        <f t="shared" si="1"/>
        <v>4.3343136664145417E-2</v>
      </c>
      <c r="S7" s="44">
        <f t="shared" si="1"/>
        <v>2.5608067062026871E-3</v>
      </c>
      <c r="T7" s="44">
        <f t="shared" si="1"/>
        <v>0</v>
      </c>
      <c r="U7" s="44">
        <f t="shared" si="1"/>
        <v>0.67533411648523234</v>
      </c>
      <c r="V7" s="44">
        <f t="shared" si="1"/>
        <v>0.24553472858204162</v>
      </c>
      <c r="W7" s="44">
        <f t="shared" si="1"/>
        <v>472.73388153966232</v>
      </c>
      <c r="X7" s="44">
        <f t="shared" si="1"/>
        <v>6.2679796278655026E-2</v>
      </c>
      <c r="Y7" s="44">
        <f t="shared" si="1"/>
        <v>8.4751303820090496E-2</v>
      </c>
      <c r="Z7" s="44">
        <f t="shared" si="1"/>
        <v>1.3804728619890502E-2</v>
      </c>
      <c r="AA7" s="44">
        <f t="shared" si="1"/>
        <v>5.5464215090794957E-3</v>
      </c>
      <c r="AB7" s="44">
        <f t="shared" si="1"/>
        <v>0</v>
      </c>
      <c r="AC7" s="44">
        <f t="shared" si="1"/>
        <v>5.7157169683547601E-2</v>
      </c>
      <c r="AD7" s="44">
        <f t="shared" si="1"/>
        <v>2.3257793392757752E-2</v>
      </c>
      <c r="AE7" s="44">
        <f t="shared" si="1"/>
        <v>5.7157169683547604</v>
      </c>
      <c r="AF7" s="44">
        <f t="shared" si="1"/>
        <v>1.751252524327657E-3</v>
      </c>
      <c r="AG7" s="44">
        <f t="shared" si="1"/>
        <v>7.3462122546979526E-4</v>
      </c>
      <c r="AH7" s="44">
        <f t="shared" si="1"/>
        <v>1.8337641149236757E-2</v>
      </c>
      <c r="AI7" s="44">
        <f t="shared" si="1"/>
        <v>1.7644099553389136E-2</v>
      </c>
      <c r="AJ7" s="44">
        <f t="shared" si="1"/>
        <v>106.06601717798213</v>
      </c>
      <c r="AK7" s="44">
        <f t="shared" si="1"/>
        <v>0.71032647406355176</v>
      </c>
      <c r="AL7" s="44">
        <f t="shared" si="1"/>
        <v>6.172135034414266E-2</v>
      </c>
      <c r="AM7" s="44">
        <f t="shared" si="1"/>
        <v>861.61149849389244</v>
      </c>
      <c r="AN7" s="44">
        <f t="shared" si="1"/>
        <v>0.32425663299797702</v>
      </c>
      <c r="AO7" s="44">
        <f t="shared" si="1"/>
        <v>5.4204531537781382E-3</v>
      </c>
      <c r="AP7" s="44">
        <f t="shared" si="1"/>
        <v>0.14493013398428367</v>
      </c>
      <c r="AQ7" s="44">
        <f t="shared" si="1"/>
        <v>1.9702973786948814E-2</v>
      </c>
    </row>
    <row r="9" spans="1:43" x14ac:dyDescent="0.3">
      <c r="C9" s="2" t="s">
        <v>22</v>
      </c>
      <c r="D9" s="105" t="s">
        <v>21</v>
      </c>
      <c r="E9" s="106"/>
      <c r="F9" s="106"/>
      <c r="G9" s="106"/>
      <c r="H9" s="106"/>
      <c r="I9" s="106"/>
      <c r="J9" s="106"/>
      <c r="K9" s="107"/>
      <c r="L9" s="108" t="s">
        <v>26</v>
      </c>
      <c r="M9" s="108"/>
      <c r="N9" s="108"/>
      <c r="O9" s="108"/>
      <c r="P9" s="108"/>
      <c r="Q9" s="108"/>
      <c r="R9" s="108"/>
      <c r="S9" s="108"/>
      <c r="T9" s="105" t="s">
        <v>20</v>
      </c>
      <c r="U9" s="106"/>
      <c r="V9" s="106"/>
      <c r="W9" s="106"/>
      <c r="X9" s="106"/>
      <c r="Y9" s="106"/>
      <c r="Z9" s="106"/>
      <c r="AA9" s="107"/>
      <c r="AB9" s="105" t="s">
        <v>19</v>
      </c>
      <c r="AC9" s="106"/>
      <c r="AD9" s="106"/>
      <c r="AE9" s="106"/>
      <c r="AF9" s="106"/>
      <c r="AG9" s="106"/>
      <c r="AH9" s="106"/>
      <c r="AI9" s="107"/>
      <c r="AJ9" s="105" t="s">
        <v>3</v>
      </c>
      <c r="AK9" s="106"/>
      <c r="AL9" s="106"/>
      <c r="AM9" s="106"/>
      <c r="AN9" s="106"/>
      <c r="AO9" s="106"/>
      <c r="AP9" s="106"/>
      <c r="AQ9" s="107"/>
    </row>
    <row r="10" spans="1:43" ht="15.75" customHeight="1" x14ac:dyDescent="0.3">
      <c r="C10" s="2" t="s">
        <v>17</v>
      </c>
      <c r="D10" s="2" t="s">
        <v>16</v>
      </c>
      <c r="E10" s="2" t="s">
        <v>15</v>
      </c>
      <c r="F10" s="2" t="s">
        <v>11</v>
      </c>
      <c r="G10" s="2" t="s">
        <v>14</v>
      </c>
      <c r="H10" s="2" t="s">
        <v>13</v>
      </c>
      <c r="I10" s="2" t="s">
        <v>11</v>
      </c>
      <c r="J10" s="2" t="s">
        <v>12</v>
      </c>
      <c r="K10" s="2" t="s">
        <v>11</v>
      </c>
      <c r="L10" s="2" t="s">
        <v>16</v>
      </c>
      <c r="M10" s="2" t="s">
        <v>15</v>
      </c>
      <c r="N10" s="2" t="s">
        <v>11</v>
      </c>
      <c r="O10" s="2" t="s">
        <v>14</v>
      </c>
      <c r="P10" s="2" t="s">
        <v>13</v>
      </c>
      <c r="Q10" s="2" t="s">
        <v>11</v>
      </c>
      <c r="R10" s="2" t="s">
        <v>12</v>
      </c>
      <c r="S10" s="2" t="s">
        <v>11</v>
      </c>
      <c r="T10" s="2" t="s">
        <v>16</v>
      </c>
      <c r="U10" s="2" t="s">
        <v>15</v>
      </c>
      <c r="V10" s="2" t="s">
        <v>11</v>
      </c>
      <c r="W10" s="2" t="s">
        <v>14</v>
      </c>
      <c r="X10" s="2" t="s">
        <v>13</v>
      </c>
      <c r="Y10" s="2" t="s">
        <v>11</v>
      </c>
      <c r="Z10" s="2" t="s">
        <v>12</v>
      </c>
      <c r="AA10" s="2" t="s">
        <v>11</v>
      </c>
      <c r="AB10" s="2" t="s">
        <v>16</v>
      </c>
      <c r="AC10" s="2" t="s">
        <v>15</v>
      </c>
      <c r="AD10" s="2" t="s">
        <v>11</v>
      </c>
      <c r="AE10" s="2" t="s">
        <v>14</v>
      </c>
      <c r="AF10" s="2" t="s">
        <v>13</v>
      </c>
      <c r="AG10" s="2" t="s">
        <v>11</v>
      </c>
      <c r="AH10" s="2" t="s">
        <v>12</v>
      </c>
      <c r="AI10" s="2" t="s">
        <v>11</v>
      </c>
      <c r="AJ10" s="2" t="s">
        <v>16</v>
      </c>
      <c r="AK10" s="2" t="s">
        <v>15</v>
      </c>
      <c r="AL10" s="2" t="s">
        <v>11</v>
      </c>
      <c r="AM10" s="2" t="s">
        <v>14</v>
      </c>
      <c r="AN10" s="2" t="s">
        <v>13</v>
      </c>
      <c r="AO10" s="2" t="s">
        <v>11</v>
      </c>
      <c r="AP10" s="2" t="s">
        <v>12</v>
      </c>
      <c r="AQ10" s="2" t="s">
        <v>11</v>
      </c>
    </row>
    <row r="11" spans="1:43" s="44" customFormat="1" x14ac:dyDescent="0.3">
      <c r="A11"/>
      <c r="B11"/>
      <c r="C11" s="2" t="s">
        <v>10</v>
      </c>
      <c r="D11" s="45">
        <v>1000</v>
      </c>
      <c r="E11" s="45">
        <f>(0.162*C25-0.098*C29)*$A$2</f>
        <v>5.3326000000000011</v>
      </c>
      <c r="F11" s="45"/>
      <c r="G11" s="45">
        <f t="shared" ref="G11:G16" si="2">D11*E11</f>
        <v>5332.6000000000013</v>
      </c>
      <c r="H11" s="45"/>
      <c r="I11" s="45"/>
      <c r="J11" s="45">
        <f>C25/C21</f>
        <v>0.63904494382022481</v>
      </c>
      <c r="K11" s="45"/>
      <c r="L11" s="45">
        <v>600</v>
      </c>
      <c r="M11" s="45">
        <f>(0.162*D25-0.098*D29)*$A$2</f>
        <v>6.2011041351987126</v>
      </c>
      <c r="N11" s="45"/>
      <c r="O11" s="45">
        <f t="shared" ref="O11:O16" si="3">L11*M11</f>
        <v>3720.6624811192278</v>
      </c>
      <c r="P11" s="45">
        <f t="shared" ref="P11:P16" si="4">O11/G11</f>
        <v>0.697720151730718</v>
      </c>
      <c r="Q11" s="45"/>
      <c r="R11" s="45">
        <f>D25/D21</f>
        <v>0.63742927397415927</v>
      </c>
      <c r="S11" s="45"/>
      <c r="T11" s="45">
        <v>700</v>
      </c>
      <c r="U11" s="45">
        <f>(0.162*E25-0.098*E29)*$A$2</f>
        <v>4.085</v>
      </c>
      <c r="V11" s="45"/>
      <c r="W11" s="45">
        <f t="shared" ref="W11:W16" si="5">T11*U11</f>
        <v>2859.5</v>
      </c>
      <c r="X11" s="45">
        <f t="shared" ref="X11:X16" si="6">W11/O11</f>
        <v>0.7685459281810002</v>
      </c>
      <c r="Y11" s="45"/>
      <c r="Z11" s="45">
        <f>E25/E21</f>
        <v>0.57073954983922826</v>
      </c>
      <c r="AA11" s="45"/>
      <c r="AB11" s="45">
        <v>100</v>
      </c>
      <c r="AC11" s="45">
        <f>(0.162*F25-0.098*F29)*10</f>
        <v>1.0882666340000001E-2</v>
      </c>
      <c r="AD11" s="45"/>
      <c r="AE11" s="45">
        <f t="shared" ref="AE11:AE16" si="7">AB11*AC11</f>
        <v>1.0882666340000002</v>
      </c>
      <c r="AF11" s="45">
        <f t="shared" ref="AF11:AF16" si="8">AE11/O11</f>
        <v>2.9249270513584299E-4</v>
      </c>
      <c r="AG11" s="45"/>
      <c r="AH11" s="45">
        <f>F25/F21</f>
        <v>3.5897435897435895E-2</v>
      </c>
      <c r="AI11" s="45"/>
      <c r="AJ11" s="45">
        <v>650</v>
      </c>
      <c r="AK11" s="45">
        <f>(0.162*G25-0.098*G29)*$A$2</f>
        <v>2.7959999999999998</v>
      </c>
      <c r="AL11" s="45"/>
      <c r="AM11" s="45">
        <f t="shared" ref="AM11:AM16" si="9">AJ11*AK11</f>
        <v>1817.3999999999999</v>
      </c>
      <c r="AN11" s="45">
        <f t="shared" ref="AN11:AN16" si="10">AM11/W11</f>
        <v>0.63556565833187617</v>
      </c>
      <c r="AO11" s="45"/>
      <c r="AP11" s="45">
        <f>G25/G21</f>
        <v>0.39393939393939392</v>
      </c>
      <c r="AQ11" s="45"/>
    </row>
    <row r="12" spans="1:43" s="44" customFormat="1" x14ac:dyDescent="0.3">
      <c r="A12"/>
      <c r="B12"/>
      <c r="C12" s="2" t="s">
        <v>9</v>
      </c>
      <c r="D12" s="45">
        <v>1000</v>
      </c>
      <c r="E12" s="45">
        <f>(0.162*C26-0.098*C30)*$A$2</f>
        <v>5.3036000000000012</v>
      </c>
      <c r="F12" s="45"/>
      <c r="G12" s="45">
        <f t="shared" si="2"/>
        <v>5303.6000000000013</v>
      </c>
      <c r="H12" s="45"/>
      <c r="I12" s="45"/>
      <c r="J12" s="45">
        <f>C26/C22</f>
        <v>0.63305322128851549</v>
      </c>
      <c r="K12" s="45"/>
      <c r="L12" s="45">
        <v>600</v>
      </c>
      <c r="M12" s="45">
        <f>(0.162*D26-0.098*D30)*$A$2</f>
        <v>5.2589388886585118</v>
      </c>
      <c r="N12" s="45"/>
      <c r="O12" s="45">
        <f t="shared" si="3"/>
        <v>3155.3633331951069</v>
      </c>
      <c r="P12" s="45">
        <f t="shared" si="4"/>
        <v>0.59494745704712004</v>
      </c>
      <c r="Q12" s="45"/>
      <c r="R12" s="45">
        <f>D26/D22</f>
        <v>0.63403062763566975</v>
      </c>
      <c r="S12" s="45"/>
      <c r="T12" s="45">
        <v>700</v>
      </c>
      <c r="U12" s="45">
        <f>(0.162*E26-0.098*E30)*$A$2</f>
        <v>5.2410000000000005</v>
      </c>
      <c r="V12" s="45"/>
      <c r="W12" s="45">
        <f t="shared" si="5"/>
        <v>3668.7000000000003</v>
      </c>
      <c r="X12" s="45">
        <f t="shared" si="6"/>
        <v>1.162687022887184</v>
      </c>
      <c r="Y12" s="45"/>
      <c r="Z12" s="45">
        <f>E26/E22</f>
        <v>0.5757575757575758</v>
      </c>
      <c r="AA12" s="45"/>
      <c r="AB12" s="45">
        <v>100</v>
      </c>
      <c r="AC12" s="45">
        <f>(0.162*F26-0.098*F30)*10</f>
        <v>9.0800000000000013E-3</v>
      </c>
      <c r="AD12" s="45"/>
      <c r="AE12" s="45">
        <f t="shared" si="7"/>
        <v>0.90800000000000014</v>
      </c>
      <c r="AF12" s="45">
        <f t="shared" si="8"/>
        <v>2.8776400817225804E-4</v>
      </c>
      <c r="AG12" s="45"/>
      <c r="AH12" s="45">
        <f>F26/F22</f>
        <v>2.4271844660194178E-2</v>
      </c>
      <c r="AI12" s="45"/>
      <c r="AJ12" s="45">
        <v>650</v>
      </c>
      <c r="AK12" s="45">
        <f>(0.162*G26-0.098*G30)*$A$2</f>
        <v>3.0505999999999998</v>
      </c>
      <c r="AL12" s="45"/>
      <c r="AM12" s="45">
        <f t="shared" si="9"/>
        <v>1982.8899999999999</v>
      </c>
      <c r="AN12" s="45">
        <f t="shared" si="10"/>
        <v>0.54048845640145005</v>
      </c>
      <c r="AO12" s="45"/>
      <c r="AP12" s="45">
        <f>G26/G22</f>
        <v>0.39565217391304353</v>
      </c>
      <c r="AQ12" s="45"/>
    </row>
    <row r="13" spans="1:43" s="44" customFormat="1" x14ac:dyDescent="0.3">
      <c r="A13"/>
      <c r="B13"/>
      <c r="C13" s="2" t="s">
        <v>8</v>
      </c>
      <c r="D13" s="45">
        <v>1000</v>
      </c>
      <c r="E13" s="45">
        <f>(0.162*C27-0.098*C31)*$A$2</f>
        <v>5.5296000000000003</v>
      </c>
      <c r="F13" s="45"/>
      <c r="G13" s="45">
        <f t="shared" si="2"/>
        <v>5529.6</v>
      </c>
      <c r="H13" s="45"/>
      <c r="I13" s="45"/>
      <c r="J13" s="45">
        <f>C27/C23</f>
        <v>0.63783783783783776</v>
      </c>
      <c r="K13" s="45"/>
      <c r="L13" s="45">
        <v>600</v>
      </c>
      <c r="M13" s="45">
        <f>(0.162*D27-0.098*D31)*$A$2</f>
        <v>5.5803338275124741</v>
      </c>
      <c r="N13" s="45"/>
      <c r="O13" s="45">
        <f t="shared" si="3"/>
        <v>3348.2002965074844</v>
      </c>
      <c r="P13" s="45">
        <f t="shared" si="4"/>
        <v>0.60550497260335001</v>
      </c>
      <c r="Q13" s="45"/>
      <c r="R13" s="45">
        <f>D27/D23</f>
        <v>0.6331209126644155</v>
      </c>
      <c r="S13" s="45"/>
      <c r="T13" s="45">
        <v>700</v>
      </c>
      <c r="U13" s="45">
        <f>(0.162*E27-0.098*E31)*$A$2</f>
        <v>5.3962000000000012</v>
      </c>
      <c r="V13" s="45"/>
      <c r="W13" s="45">
        <f t="shared" si="5"/>
        <v>3777.3400000000011</v>
      </c>
      <c r="X13" s="45">
        <f t="shared" si="6"/>
        <v>1.1281702602858477</v>
      </c>
      <c r="Y13" s="45"/>
      <c r="Z13" s="45">
        <f>E27/E23</f>
        <v>0.56865127582017017</v>
      </c>
      <c r="AA13" s="45"/>
      <c r="AB13" s="45">
        <v>100</v>
      </c>
      <c r="AC13" s="45">
        <f>(0.162*F27-0.098*F31)*10</f>
        <v>4.9399999999999982E-3</v>
      </c>
      <c r="AD13" s="45"/>
      <c r="AE13" s="45">
        <f t="shared" si="7"/>
        <v>0.49399999999999983</v>
      </c>
      <c r="AF13" s="45">
        <f t="shared" si="8"/>
        <v>1.4754194977979437E-4</v>
      </c>
      <c r="AG13" s="45"/>
      <c r="AH13" s="45">
        <f>F27/F23</f>
        <v>-1.4851485148514851E-2</v>
      </c>
      <c r="AI13" s="45"/>
      <c r="AJ13" s="45">
        <v>650</v>
      </c>
      <c r="AK13" s="45">
        <f>(0.162*G27-0.098*G31)*$A$2</f>
        <v>2.4506000000000001</v>
      </c>
      <c r="AL13" s="45"/>
      <c r="AM13" s="45">
        <f t="shared" si="9"/>
        <v>1592.89</v>
      </c>
      <c r="AN13" s="45">
        <f t="shared" si="10"/>
        <v>0.42169622009138696</v>
      </c>
      <c r="AO13" s="45"/>
      <c r="AP13" s="45">
        <f>G27/G23</f>
        <v>0.38918918918918916</v>
      </c>
      <c r="AQ13" s="45"/>
    </row>
    <row r="14" spans="1:43" s="44" customFormat="1" x14ac:dyDescent="0.3">
      <c r="A14"/>
      <c r="B14"/>
      <c r="C14" s="2" t="s">
        <v>7</v>
      </c>
      <c r="D14" s="45">
        <v>1000</v>
      </c>
      <c r="E14" s="45">
        <f>(0.162*J25-0.098*J29)*$A$2</f>
        <v>4.7113999999999994</v>
      </c>
      <c r="F14" s="45"/>
      <c r="G14" s="45">
        <f t="shared" si="2"/>
        <v>4711.3999999999996</v>
      </c>
      <c r="H14" s="45"/>
      <c r="I14" s="45"/>
      <c r="J14" s="45">
        <f>J25/J21</f>
        <v>0.58073654390934848</v>
      </c>
      <c r="K14" s="45"/>
      <c r="L14" s="45">
        <v>600</v>
      </c>
      <c r="M14" s="45">
        <f>(0.162*K25-0.098*K29)*$A$2</f>
        <v>5.4802</v>
      </c>
      <c r="N14" s="45"/>
      <c r="O14" s="45">
        <f t="shared" si="3"/>
        <v>3288.12</v>
      </c>
      <c r="P14" s="45">
        <f t="shared" si="4"/>
        <v>0.69790720380354043</v>
      </c>
      <c r="Q14" s="45"/>
      <c r="R14" s="45">
        <f>K25/K21</f>
        <v>0.57926829268292679</v>
      </c>
      <c r="S14" s="45"/>
      <c r="T14" s="45">
        <v>700</v>
      </c>
      <c r="U14" s="45">
        <f>(0.162*L25-0.098*L29)*$A$2</f>
        <v>3.9502000000000002</v>
      </c>
      <c r="V14" s="45"/>
      <c r="W14" s="45">
        <f t="shared" si="5"/>
        <v>2765.1400000000003</v>
      </c>
      <c r="X14" s="45">
        <f t="shared" si="6"/>
        <v>0.84094862717905683</v>
      </c>
      <c r="Y14" s="45"/>
      <c r="Z14" s="45">
        <f>L25/L21</f>
        <v>0.57804459691252152</v>
      </c>
      <c r="AA14" s="45"/>
      <c r="AB14" s="45">
        <v>100</v>
      </c>
      <c r="AC14" s="45">
        <f>(0.162*M25-0.098*M29)*$A$2</f>
        <v>4.7799999999999988E-2</v>
      </c>
      <c r="AD14" s="45"/>
      <c r="AE14" s="45">
        <f t="shared" si="7"/>
        <v>4.7799999999999985</v>
      </c>
      <c r="AF14" s="45">
        <f t="shared" si="8"/>
        <v>1.4537182341277078E-3</v>
      </c>
      <c r="AG14" s="45"/>
      <c r="AH14" s="45">
        <f>M25/M21</f>
        <v>4.0909090909090909E-2</v>
      </c>
      <c r="AI14" s="45"/>
      <c r="AJ14" s="45">
        <v>800</v>
      </c>
      <c r="AK14" s="45">
        <f>(0.162*N25-0.098*N29)*$A$2</f>
        <v>3.5853400000000009</v>
      </c>
      <c r="AL14" s="45"/>
      <c r="AM14" s="45">
        <f t="shared" si="9"/>
        <v>2868.2720000000008</v>
      </c>
      <c r="AN14" s="45">
        <f t="shared" si="10"/>
        <v>1.037297207374672</v>
      </c>
      <c r="AO14" s="45"/>
      <c r="AP14" s="45">
        <f>N25/N21</f>
        <v>0.58016877637130815</v>
      </c>
      <c r="AQ14" s="45"/>
    </row>
    <row r="15" spans="1:43" s="44" customFormat="1" x14ac:dyDescent="0.3">
      <c r="A15"/>
      <c r="B15"/>
      <c r="C15" s="2" t="s">
        <v>6</v>
      </c>
      <c r="D15" s="45">
        <v>1000</v>
      </c>
      <c r="E15" s="45">
        <f>(0.162*J26-0.098*J30)*$A$2</f>
        <v>5.293400000000001</v>
      </c>
      <c r="F15" s="45"/>
      <c r="G15" s="45">
        <f t="shared" si="2"/>
        <v>5293.4000000000005</v>
      </c>
      <c r="H15" s="45"/>
      <c r="I15" s="45"/>
      <c r="J15" s="45">
        <f>J26/J22</f>
        <v>0.56662515566625149</v>
      </c>
      <c r="K15" s="45"/>
      <c r="L15" s="45">
        <v>600</v>
      </c>
      <c r="M15" s="45">
        <f>(0.162*K26-0.098*K30)*$A$2</f>
        <v>5.2477999999999998</v>
      </c>
      <c r="N15" s="45"/>
      <c r="O15" s="45">
        <f t="shared" si="3"/>
        <v>3148.68</v>
      </c>
      <c r="P15" s="45">
        <f t="shared" si="4"/>
        <v>0.59483129935391232</v>
      </c>
      <c r="Q15" s="45"/>
      <c r="R15" s="45">
        <f>K26/K22</f>
        <v>0.5675</v>
      </c>
      <c r="S15" s="45"/>
      <c r="T15" s="45">
        <v>700</v>
      </c>
      <c r="U15" s="45">
        <f>(0.162*L26-0.098*L30)*$A$2</f>
        <v>4.6606000000000005</v>
      </c>
      <c r="V15" s="45"/>
      <c r="W15" s="45">
        <f t="shared" si="5"/>
        <v>3262.4200000000005</v>
      </c>
      <c r="X15" s="45">
        <f t="shared" si="6"/>
        <v>1.0361230737960037</v>
      </c>
      <c r="Y15" s="45"/>
      <c r="Z15" s="45">
        <f>L26/L22</f>
        <v>0.59909909909909909</v>
      </c>
      <c r="AA15" s="45"/>
      <c r="AB15" s="45">
        <v>100</v>
      </c>
      <c r="AC15" s="45">
        <f>(0.162*M26-0.098*M30)*$A$2</f>
        <v>0.11300000000000002</v>
      </c>
      <c r="AD15" s="45"/>
      <c r="AE15" s="45">
        <f t="shared" si="7"/>
        <v>11.300000000000002</v>
      </c>
      <c r="AF15" s="45">
        <f t="shared" si="8"/>
        <v>3.588805467688048E-3</v>
      </c>
      <c r="AG15" s="45"/>
      <c r="AH15" s="45">
        <f>M26/M22</f>
        <v>4.2735042735042736E-2</v>
      </c>
      <c r="AI15" s="45"/>
      <c r="AJ15" s="45">
        <v>800</v>
      </c>
      <c r="AK15" s="45">
        <f>(0.162*N26-0.098*N30)*$A$2</f>
        <v>3.5088900000000014</v>
      </c>
      <c r="AL15" s="45"/>
      <c r="AM15" s="45">
        <f t="shared" si="9"/>
        <v>2807.112000000001</v>
      </c>
      <c r="AN15" s="45">
        <f t="shared" si="10"/>
        <v>0.86043857014118375</v>
      </c>
      <c r="AO15" s="45"/>
      <c r="AP15" s="45">
        <f>N26/N22</f>
        <v>0.5795698924731183</v>
      </c>
      <c r="AQ15" s="45"/>
    </row>
    <row r="16" spans="1:43" s="44" customFormat="1" x14ac:dyDescent="0.3">
      <c r="A16"/>
      <c r="B16"/>
      <c r="C16" s="2" t="s">
        <v>5</v>
      </c>
      <c r="D16" s="45">
        <v>1000</v>
      </c>
      <c r="E16" s="45">
        <f>(0.162*J27-0.098*J31)*$A$2</f>
        <v>5.6515999999999993</v>
      </c>
      <c r="F16" s="45"/>
      <c r="G16" s="45">
        <f t="shared" si="2"/>
        <v>5651.5999999999995</v>
      </c>
      <c r="H16" s="45"/>
      <c r="I16" s="45"/>
      <c r="J16" s="45">
        <f>J27/J23</f>
        <v>0.5781990521327014</v>
      </c>
      <c r="K16" s="45"/>
      <c r="L16" s="45">
        <v>600</v>
      </c>
      <c r="M16" s="45">
        <f>(0.162*K27-0.098*K31)*$A$2</f>
        <v>5.7031999999999998</v>
      </c>
      <c r="N16" s="45"/>
      <c r="O16" s="45">
        <f t="shared" si="3"/>
        <v>3421.92</v>
      </c>
      <c r="P16" s="45">
        <f t="shared" si="4"/>
        <v>0.60547809469884639</v>
      </c>
      <c r="Q16" s="45"/>
      <c r="R16" s="45">
        <f>K27/K23</f>
        <v>0.57392316647264263</v>
      </c>
      <c r="S16" s="45"/>
      <c r="T16" s="45">
        <v>700</v>
      </c>
      <c r="U16" s="45">
        <f>(0.162*L27-0.098*L31)*$A$2</f>
        <v>4.4798000000000009</v>
      </c>
      <c r="V16" s="45"/>
      <c r="W16" s="45">
        <f t="shared" si="5"/>
        <v>3135.8600000000006</v>
      </c>
      <c r="X16" s="45">
        <f t="shared" si="6"/>
        <v>0.91640365642680144</v>
      </c>
      <c r="Y16" s="45"/>
      <c r="Z16" s="45">
        <f>L27/L23</f>
        <v>0.59657320872274144</v>
      </c>
      <c r="AA16" s="45"/>
      <c r="AB16" s="45">
        <v>100</v>
      </c>
      <c r="AC16" s="45">
        <f>(0.162*M27-0.098*M31)*$A$2</f>
        <v>0.10659999999999999</v>
      </c>
      <c r="AD16" s="45"/>
      <c r="AE16" s="45">
        <f t="shared" si="7"/>
        <v>10.659999999999998</v>
      </c>
      <c r="AF16" s="45">
        <f t="shared" si="8"/>
        <v>3.1152101744050119E-3</v>
      </c>
      <c r="AG16" s="45"/>
      <c r="AH16" s="45">
        <f>M27/M23</f>
        <v>3.9473684210526314E-2</v>
      </c>
      <c r="AI16" s="45"/>
      <c r="AJ16" s="45">
        <v>800</v>
      </c>
      <c r="AK16" s="45">
        <f>(0.162*N27-0.098*N31)*$A$2</f>
        <v>4.2166300000000003</v>
      </c>
      <c r="AL16" s="45"/>
      <c r="AM16" s="45">
        <f t="shared" si="9"/>
        <v>3373.3040000000001</v>
      </c>
      <c r="AN16" s="45">
        <f t="shared" si="10"/>
        <v>1.0757189415343795</v>
      </c>
      <c r="AO16" s="45"/>
      <c r="AP16" s="45">
        <f>N27/N23</f>
        <v>0.63392857142857151</v>
      </c>
      <c r="AQ16" s="45"/>
    </row>
    <row r="17" spans="1:20" s="44" customFormat="1" x14ac:dyDescent="0.3">
      <c r="A17"/>
      <c r="B17"/>
      <c r="C17"/>
    </row>
    <row r="19" spans="1:20" x14ac:dyDescent="0.3">
      <c r="B19" s="108" t="s">
        <v>66</v>
      </c>
      <c r="C19" s="108"/>
      <c r="D19" s="108"/>
      <c r="E19" s="108"/>
      <c r="F19" s="108"/>
      <c r="G19" s="108"/>
      <c r="I19" s="108" t="s">
        <v>66</v>
      </c>
      <c r="J19" s="108"/>
      <c r="K19" s="108"/>
      <c r="L19" s="108"/>
      <c r="M19" s="108"/>
      <c r="N19" s="108"/>
    </row>
    <row r="20" spans="1:20" x14ac:dyDescent="0.3">
      <c r="B20" s="2" t="s">
        <v>45</v>
      </c>
      <c r="C20" s="2" t="s">
        <v>0</v>
      </c>
      <c r="D20" s="42" t="s">
        <v>1</v>
      </c>
      <c r="E20" s="2" t="s">
        <v>2</v>
      </c>
      <c r="F20" s="2" t="s">
        <v>4</v>
      </c>
      <c r="G20" s="2" t="s">
        <v>3</v>
      </c>
      <c r="I20" s="2" t="s">
        <v>45</v>
      </c>
      <c r="J20" s="2" t="s">
        <v>0</v>
      </c>
      <c r="K20" s="2" t="s">
        <v>1</v>
      </c>
      <c r="L20" s="2" t="s">
        <v>2</v>
      </c>
      <c r="M20" s="2" t="s">
        <v>4</v>
      </c>
      <c r="N20" s="2" t="s">
        <v>3</v>
      </c>
      <c r="Q20" s="10"/>
      <c r="R20" s="10"/>
      <c r="S20" s="10"/>
      <c r="T20" s="10"/>
    </row>
    <row r="21" spans="1:20" x14ac:dyDescent="0.3">
      <c r="B21" s="2">
        <v>280</v>
      </c>
      <c r="C21" s="13">
        <v>0.71199999999999997</v>
      </c>
      <c r="D21" s="43">
        <f>K21/J21*C21</f>
        <v>0.82696883852691216</v>
      </c>
      <c r="E21" s="13">
        <v>0.622</v>
      </c>
      <c r="F21" s="13">
        <v>0.19500000000000001</v>
      </c>
      <c r="G21" s="13">
        <v>0.627</v>
      </c>
      <c r="I21" s="2">
        <v>280</v>
      </c>
      <c r="J21" s="13">
        <v>0.70599999999999996</v>
      </c>
      <c r="K21" s="13">
        <v>0.82</v>
      </c>
      <c r="L21" s="13">
        <v>0.58299999999999996</v>
      </c>
      <c r="M21" s="13">
        <v>0.22</v>
      </c>
      <c r="N21" s="13">
        <v>0.52139999999999997</v>
      </c>
      <c r="Q21" s="46"/>
      <c r="R21" s="46"/>
      <c r="S21" s="46"/>
      <c r="T21" s="10"/>
    </row>
    <row r="22" spans="1:20" x14ac:dyDescent="0.3">
      <c r="B22" s="2">
        <v>280</v>
      </c>
      <c r="C22" s="13">
        <v>0.71399999999999997</v>
      </c>
      <c r="D22" s="43">
        <f>K22/J22*C22</f>
        <v>0.71133250311332497</v>
      </c>
      <c r="E22" s="13">
        <v>0.79200000000000004</v>
      </c>
      <c r="F22" s="13">
        <v>0.20599999999999999</v>
      </c>
      <c r="G22" s="13">
        <v>0.69</v>
      </c>
      <c r="I22" s="2">
        <v>280</v>
      </c>
      <c r="J22" s="13">
        <v>0.80300000000000005</v>
      </c>
      <c r="K22" s="13">
        <v>0.8</v>
      </c>
      <c r="L22" s="13">
        <v>0.66600000000000004</v>
      </c>
      <c r="M22" s="13">
        <v>0.23400000000000001</v>
      </c>
      <c r="N22" s="13">
        <v>0.51150000000000007</v>
      </c>
      <c r="Q22" s="46"/>
      <c r="R22" s="46"/>
      <c r="S22" s="46"/>
      <c r="T22" s="10"/>
    </row>
    <row r="23" spans="1:20" x14ac:dyDescent="0.3">
      <c r="B23" s="2">
        <v>280</v>
      </c>
      <c r="C23" s="13">
        <v>0.74</v>
      </c>
      <c r="D23" s="43">
        <f>K23/J23*C23</f>
        <v>0.75315165876777246</v>
      </c>
      <c r="E23" s="13">
        <v>0.82299999999999995</v>
      </c>
      <c r="F23" s="13">
        <v>0.20200000000000001</v>
      </c>
      <c r="G23" s="13">
        <v>0.55500000000000005</v>
      </c>
      <c r="I23" s="2">
        <v>280</v>
      </c>
      <c r="J23" s="13">
        <v>0.84399999999999997</v>
      </c>
      <c r="K23" s="13">
        <v>0.85899999999999999</v>
      </c>
      <c r="L23" s="13">
        <v>0.64200000000000002</v>
      </c>
      <c r="M23" s="13">
        <v>0.22800000000000001</v>
      </c>
      <c r="N23" s="13">
        <v>0.5544</v>
      </c>
      <c r="Q23" s="46"/>
      <c r="R23" s="46"/>
      <c r="S23" s="46"/>
      <c r="T23" s="10"/>
    </row>
    <row r="24" spans="1:20" x14ac:dyDescent="0.3">
      <c r="B24" s="2"/>
      <c r="C24" s="2"/>
      <c r="D24" s="43"/>
      <c r="E24" s="2"/>
      <c r="F24" s="2"/>
      <c r="G24" s="2"/>
      <c r="I24" s="2"/>
      <c r="J24" s="13"/>
      <c r="K24" s="13"/>
      <c r="L24" s="13"/>
      <c r="M24" s="13"/>
      <c r="N24" s="13"/>
      <c r="Q24" s="10"/>
      <c r="R24" s="10"/>
      <c r="S24" s="10"/>
      <c r="T24" s="10"/>
    </row>
    <row r="25" spans="1:20" x14ac:dyDescent="0.3">
      <c r="B25" s="2">
        <v>620</v>
      </c>
      <c r="C25" s="13">
        <v>0.45500000000000002</v>
      </c>
      <c r="D25" s="43">
        <f>K25/J25*C25</f>
        <v>0.52713414634146338</v>
      </c>
      <c r="E25" s="13">
        <v>0.35499999999999998</v>
      </c>
      <c r="F25" s="13">
        <v>7.0000000000000001E-3</v>
      </c>
      <c r="G25" s="13">
        <v>0.247</v>
      </c>
      <c r="I25" s="2">
        <v>620</v>
      </c>
      <c r="J25" s="13">
        <v>0.41</v>
      </c>
      <c r="K25" s="13">
        <v>0.47499999999999998</v>
      </c>
      <c r="L25" s="13">
        <v>0.33700000000000002</v>
      </c>
      <c r="M25" s="13">
        <v>8.9999999999999993E-3</v>
      </c>
      <c r="N25" s="13">
        <v>0.30250000000000005</v>
      </c>
      <c r="Q25" s="46"/>
      <c r="R25" s="46"/>
      <c r="S25" s="46"/>
      <c r="T25" s="10"/>
    </row>
    <row r="26" spans="1:20" x14ac:dyDescent="0.3">
      <c r="B26" s="2">
        <v>620</v>
      </c>
      <c r="C26" s="13">
        <v>0.45200000000000001</v>
      </c>
      <c r="D26" s="43">
        <f>K26/J26*C26</f>
        <v>0.45100659340659344</v>
      </c>
      <c r="E26" s="13">
        <v>0.45600000000000002</v>
      </c>
      <c r="F26" s="13">
        <v>5.0000000000000001E-3</v>
      </c>
      <c r="G26" s="13">
        <v>0.27300000000000002</v>
      </c>
      <c r="I26" s="2">
        <v>620</v>
      </c>
      <c r="J26" s="13">
        <v>0.45500000000000002</v>
      </c>
      <c r="K26" s="13">
        <v>0.45400000000000001</v>
      </c>
      <c r="L26" s="13">
        <v>0.39900000000000002</v>
      </c>
      <c r="M26" s="13">
        <v>0.01</v>
      </c>
      <c r="N26" s="13">
        <v>0.29645000000000005</v>
      </c>
      <c r="Q26" s="46"/>
      <c r="R26" s="46"/>
      <c r="S26" s="46"/>
      <c r="T26" s="10"/>
    </row>
    <row r="27" spans="1:20" x14ac:dyDescent="0.3">
      <c r="B27" s="2">
        <v>620</v>
      </c>
      <c r="C27" s="13">
        <v>0.47199999999999998</v>
      </c>
      <c r="D27" s="43">
        <f>K27/J27*C27</f>
        <v>0.47683606557377051</v>
      </c>
      <c r="E27" s="13">
        <v>0.46800000000000003</v>
      </c>
      <c r="F27" s="13">
        <v>-3.0000000000000001E-3</v>
      </c>
      <c r="G27" s="13">
        <v>0.216</v>
      </c>
      <c r="I27" s="2">
        <v>620</v>
      </c>
      <c r="J27" s="13">
        <v>0.48799999999999999</v>
      </c>
      <c r="K27" s="13">
        <v>0.49299999999999999</v>
      </c>
      <c r="L27" s="13">
        <v>0.38300000000000001</v>
      </c>
      <c r="M27" s="13">
        <v>8.9999999999999993E-3</v>
      </c>
      <c r="N27" s="13">
        <v>0.35145000000000004</v>
      </c>
      <c r="Q27" s="46"/>
      <c r="R27" s="46"/>
      <c r="S27" s="46"/>
      <c r="T27" s="10"/>
    </row>
    <row r="28" spans="1:20" x14ac:dyDescent="0.3">
      <c r="B28" s="2"/>
      <c r="C28" s="2"/>
      <c r="D28" s="43"/>
      <c r="E28" s="2"/>
      <c r="F28" s="2"/>
      <c r="G28" s="2"/>
      <c r="I28" s="2"/>
      <c r="J28" s="2"/>
      <c r="K28" s="2"/>
      <c r="L28" s="13"/>
      <c r="M28" s="13"/>
      <c r="N28" s="2"/>
      <c r="Q28" s="10"/>
      <c r="R28" s="10"/>
      <c r="S28" s="10"/>
      <c r="T28" s="10"/>
    </row>
    <row r="29" spans="1:20" x14ac:dyDescent="0.3">
      <c r="B29" s="2">
        <v>650</v>
      </c>
      <c r="C29" s="13">
        <v>0.20799999999999999</v>
      </c>
      <c r="D29" s="43">
        <f>K29/J29*C29</f>
        <v>0.23861928934010149</v>
      </c>
      <c r="E29" s="13">
        <v>0.17</v>
      </c>
      <c r="F29" s="40">
        <v>4.6666699999999998E-4</v>
      </c>
      <c r="G29" s="13">
        <v>0.123</v>
      </c>
      <c r="I29" s="2">
        <v>650</v>
      </c>
      <c r="J29" s="13">
        <v>0.19700000000000001</v>
      </c>
      <c r="K29" s="13">
        <v>0.22600000000000001</v>
      </c>
      <c r="L29" s="13">
        <v>0.154</v>
      </c>
      <c r="M29" s="13">
        <v>0.01</v>
      </c>
      <c r="N29" s="13">
        <v>0.13419999999999999</v>
      </c>
      <c r="Q29" s="46"/>
      <c r="R29" s="46"/>
      <c r="S29" s="46"/>
      <c r="T29" s="10"/>
    </row>
    <row r="30" spans="1:20" x14ac:dyDescent="0.3">
      <c r="B30" s="2">
        <v>650</v>
      </c>
      <c r="C30" s="13">
        <v>0.20599999999999999</v>
      </c>
      <c r="D30" s="43">
        <f>K30/J30*C30</f>
        <v>0.20891509433962263</v>
      </c>
      <c r="E30" s="13">
        <v>0.219</v>
      </c>
      <c r="F30" s="13">
        <v>-1E-3</v>
      </c>
      <c r="G30" s="13">
        <v>0.14000000000000001</v>
      </c>
      <c r="I30" s="2">
        <v>650</v>
      </c>
      <c r="J30" s="13">
        <v>0.21199999999999999</v>
      </c>
      <c r="K30" s="13">
        <v>0.215</v>
      </c>
      <c r="L30" s="13">
        <v>0.184</v>
      </c>
      <c r="M30" s="13">
        <v>5.0000000000000001E-3</v>
      </c>
      <c r="N30" s="13">
        <v>0.13199999999999998</v>
      </c>
      <c r="Q30" s="46"/>
      <c r="R30" s="46"/>
      <c r="S30" s="46"/>
      <c r="T30" s="10"/>
    </row>
    <row r="31" spans="1:20" x14ac:dyDescent="0.3">
      <c r="B31" s="2">
        <v>650</v>
      </c>
      <c r="C31" s="13">
        <v>0.216</v>
      </c>
      <c r="D31" s="43">
        <f>K31/J31*C31</f>
        <v>0.2188173913043478</v>
      </c>
      <c r="E31" s="13">
        <v>0.223</v>
      </c>
      <c r="F31" s="13">
        <v>-0.01</v>
      </c>
      <c r="G31" s="13">
        <v>0.107</v>
      </c>
      <c r="I31" s="2">
        <v>650</v>
      </c>
      <c r="J31" s="13">
        <v>0.23</v>
      </c>
      <c r="K31" s="13">
        <v>0.23300000000000001</v>
      </c>
      <c r="L31" s="13">
        <v>0.17599999999999999</v>
      </c>
      <c r="M31" s="13">
        <v>4.0000000000000001E-3</v>
      </c>
      <c r="N31" s="13">
        <v>0.15070000000000003</v>
      </c>
      <c r="Q31" s="46"/>
      <c r="R31" s="46"/>
      <c r="S31" s="46"/>
      <c r="T31" s="10"/>
    </row>
    <row r="32" spans="1:20" x14ac:dyDescent="0.3">
      <c r="K32" s="19"/>
      <c r="L32" s="19"/>
      <c r="Q32" s="10"/>
      <c r="R32" s="10"/>
      <c r="S32" s="46"/>
      <c r="T32" s="10"/>
    </row>
    <row r="33" spans="17:20" x14ac:dyDescent="0.3">
      <c r="Q33" s="10"/>
      <c r="R33" s="10"/>
      <c r="S33" s="10"/>
      <c r="T33" s="10"/>
    </row>
    <row r="34" spans="17:20" x14ac:dyDescent="0.3">
      <c r="Q34" s="10"/>
      <c r="R34" s="10"/>
      <c r="S34" s="10"/>
      <c r="T34" s="10"/>
    </row>
    <row r="35" spans="17:20" x14ac:dyDescent="0.3">
      <c r="Q35" s="10"/>
      <c r="R35" s="10"/>
      <c r="S35" s="10"/>
      <c r="T35" s="10"/>
    </row>
    <row r="36" spans="17:20" x14ac:dyDescent="0.3">
      <c r="Q36" s="10"/>
      <c r="R36" s="10"/>
      <c r="S36" s="10"/>
      <c r="T36" s="10"/>
    </row>
  </sheetData>
  <mergeCells count="12">
    <mergeCell ref="AB2:AI2"/>
    <mergeCell ref="AJ2:AQ2"/>
    <mergeCell ref="D9:K9"/>
    <mergeCell ref="T9:AA9"/>
    <mergeCell ref="AB9:AI9"/>
    <mergeCell ref="AJ9:AQ9"/>
    <mergeCell ref="L9:S9"/>
    <mergeCell ref="B19:G19"/>
    <mergeCell ref="I19:N19"/>
    <mergeCell ref="D2:K2"/>
    <mergeCell ref="L2:S2"/>
    <mergeCell ref="T2:AA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4ADDE-D907-4845-B7B6-17087A02A4A2}">
  <dimension ref="A1:AQ36"/>
  <sheetViews>
    <sheetView zoomScale="55" zoomScaleNormal="55" workbookViewId="0">
      <selection activeCell="T24" sqref="T24:V26"/>
    </sheetView>
  </sheetViews>
  <sheetFormatPr defaultRowHeight="14.4" x14ac:dyDescent="0.3"/>
  <cols>
    <col min="4" max="4" width="12.44140625" bestFit="1" customWidth="1"/>
    <col min="5" max="5" width="9.21875" bestFit="1" customWidth="1"/>
    <col min="7" max="7" width="12.88671875" bestFit="1" customWidth="1"/>
    <col min="10" max="10" width="9.21875" bestFit="1" customWidth="1"/>
    <col min="12" max="12" width="11.6640625" bestFit="1" customWidth="1"/>
    <col min="13" max="13" width="9.21875" bestFit="1" customWidth="1"/>
    <col min="15" max="15" width="12.88671875" bestFit="1" customWidth="1"/>
    <col min="16" max="16" width="9.21875" bestFit="1" customWidth="1"/>
    <col min="18" max="18" width="9.21875" bestFit="1" customWidth="1"/>
    <col min="20" max="20" width="11.6640625" bestFit="1" customWidth="1"/>
    <col min="21" max="21" width="9.21875" bestFit="1" customWidth="1"/>
    <col min="23" max="23" width="12.88671875" bestFit="1" customWidth="1"/>
    <col min="24" max="24" width="9.21875" bestFit="1" customWidth="1"/>
    <col min="26" max="26" width="9.21875" bestFit="1" customWidth="1"/>
    <col min="28" max="28" width="11.21875" bestFit="1" customWidth="1"/>
    <col min="29" max="29" width="9.21875" bestFit="1" customWidth="1"/>
    <col min="31" max="31" width="10" bestFit="1" customWidth="1"/>
    <col min="32" max="32" width="9.21875" bestFit="1" customWidth="1"/>
    <col min="34" max="34" width="9.21875" bestFit="1" customWidth="1"/>
    <col min="36" max="36" width="11.6640625" bestFit="1" customWidth="1"/>
    <col min="37" max="37" width="9.21875" bestFit="1" customWidth="1"/>
    <col min="39" max="39" width="12.88671875" bestFit="1" customWidth="1"/>
    <col min="40" max="40" width="9.21875" bestFit="1" customWidth="1"/>
    <col min="42" max="42" width="9.21875" bestFit="1" customWidth="1"/>
  </cols>
  <sheetData>
    <row r="1" spans="1:43" x14ac:dyDescent="0.3">
      <c r="A1" t="s">
        <v>27</v>
      </c>
    </row>
    <row r="2" spans="1:43" x14ac:dyDescent="0.3">
      <c r="A2">
        <v>100</v>
      </c>
      <c r="B2" t="s">
        <v>28</v>
      </c>
      <c r="C2" s="2"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row>
    <row r="3" spans="1:43"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 t="s">
        <v>11</v>
      </c>
      <c r="T3" s="2"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row>
    <row r="4" spans="1:43" s="44" customFormat="1" x14ac:dyDescent="0.3">
      <c r="A4"/>
      <c r="B4"/>
      <c r="C4" s="2" t="s">
        <v>25</v>
      </c>
      <c r="D4" s="45">
        <v>1000</v>
      </c>
      <c r="E4" s="45">
        <f>AVERAGE(E12:E14)</f>
        <v>4.8099999999999996</v>
      </c>
      <c r="F4" s="45">
        <f>_xlfn.STDEV.S(E12:E14)</f>
        <v>0.22288589008728249</v>
      </c>
      <c r="G4" s="45">
        <f>D4*E4</f>
        <v>4810</v>
      </c>
      <c r="H4" s="45"/>
      <c r="I4" s="45"/>
      <c r="J4" s="45">
        <f>AVERAGE(J12:J14)</f>
        <v>0.55032034171930444</v>
      </c>
      <c r="K4" s="45">
        <f>_xlfn.STDEV.S(J12:J14)</f>
        <v>8.002979490654925E-3</v>
      </c>
      <c r="L4" s="45">
        <f>AVERAGE(L12:L14)</f>
        <v>600</v>
      </c>
      <c r="M4" s="45">
        <f>AVERAGE(M12:M14)</f>
        <v>5.1872482090592333</v>
      </c>
      <c r="N4" s="45">
        <f>_xlfn.STDEV.S(M12:M14)</f>
        <v>0.18055348443585437</v>
      </c>
      <c r="O4" s="45">
        <f>L4*M4</f>
        <v>3112.34892543554</v>
      </c>
      <c r="P4" s="45">
        <f>AVERAGE(P12:P14)</f>
        <v>0.68285468121299575</v>
      </c>
      <c r="Q4" s="45">
        <f>_xlfn.STDEV.S(P12:P14)</f>
        <v>5.6466419679476937E-2</v>
      </c>
      <c r="R4" s="45">
        <f>AVERAGE(R12:R14)</f>
        <v>0.55211799829489705</v>
      </c>
      <c r="S4" s="45">
        <f>_xlfn.STDEV.S(R12:R14)</f>
        <v>6.4673341698800735E-3</v>
      </c>
      <c r="T4" s="45">
        <f>AVERAGE(T12:T14)</f>
        <v>700</v>
      </c>
      <c r="U4" s="45">
        <f>AVERAGE(U12:U14)</f>
        <v>4.6877333333333331</v>
      </c>
      <c r="V4" s="45">
        <f>_xlfn.STDEV.S(U12:U14)</f>
        <v>0.92753467500322195</v>
      </c>
      <c r="W4" s="45">
        <f>T4*U4</f>
        <v>3281.413333333333</v>
      </c>
      <c r="X4" s="45">
        <f>AVERAGE(X12:X14)</f>
        <v>1.0554195284827081</v>
      </c>
      <c r="Y4" s="45">
        <f>_xlfn.STDEV.S(X12:X14)</f>
        <v>0.21709302367088026</v>
      </c>
      <c r="Z4" s="45">
        <f>AVERAGE(Z12:Z14)</f>
        <v>0.60062472013773083</v>
      </c>
      <c r="AA4" s="45">
        <f>_xlfn.STDEV.S(Z12:Z14)</f>
        <v>5.1368649237888446E-3</v>
      </c>
      <c r="AB4" s="45">
        <f>AVERAGE(AB12:AB14)</f>
        <v>120</v>
      </c>
      <c r="AC4" s="45">
        <f>AVERAGE(AC12:AC14)</f>
        <v>1.0410000000000001E-2</v>
      </c>
      <c r="AD4" s="45">
        <f>_xlfn.STDEV.S(AC12:AC14)</f>
        <v>2.0623782388301138E-3</v>
      </c>
      <c r="AE4" s="45">
        <f>AB4*AC4</f>
        <v>1.2492000000000001</v>
      </c>
      <c r="AF4" s="45">
        <f>AVERAGE(AF12:AF14)</f>
        <v>4.0088114733172821E-4</v>
      </c>
      <c r="AG4" s="45">
        <f>_xlfn.STDEV.S(AF12:AF14)</f>
        <v>7.6048982539551077E-5</v>
      </c>
      <c r="AH4" s="45">
        <f>AVERAGE(AH12:AH14)</f>
        <v>3.3425537469334202E-2</v>
      </c>
      <c r="AI4" s="45">
        <f>_xlfn.STDEV.S(AH12:AH14)</f>
        <v>9.1886320248029986E-3</v>
      </c>
      <c r="AJ4" s="45">
        <f>AVERAGE(AJ12:AJ14)</f>
        <v>700</v>
      </c>
      <c r="AK4" s="45">
        <f>AVERAGE(AK12:AK14)</f>
        <v>2.860066666666667</v>
      </c>
      <c r="AL4" s="45">
        <f>_xlfn.STDEV.S(AK12:AK14)</f>
        <v>0.27345159230352512</v>
      </c>
      <c r="AM4" s="45">
        <f>AJ4*AK4</f>
        <v>2002.0466666666669</v>
      </c>
      <c r="AN4" s="45">
        <f>AVERAGE(AN12:AN14)</f>
        <v>0.61938022529828352</v>
      </c>
      <c r="AO4" s="45">
        <f>_xlfn.STDEV.S(AN12:AN14)</f>
        <v>7.0240591887330908E-2</v>
      </c>
      <c r="AP4" s="45">
        <f>AVERAGE(AP12:AP14)</f>
        <v>0.45417129984936605</v>
      </c>
      <c r="AQ4" s="45">
        <f>_xlfn.STDEV.S(AP12:AP14)</f>
        <v>7.3667722876631803E-3</v>
      </c>
    </row>
    <row r="5" spans="1:43" s="44" customFormat="1" x14ac:dyDescent="0.3">
      <c r="A5"/>
      <c r="B5"/>
      <c r="C5" s="2" t="s">
        <v>24</v>
      </c>
      <c r="D5" s="45">
        <v>1000</v>
      </c>
      <c r="E5" s="45">
        <f>AVERAGE(E15:E17)</f>
        <v>5.4124000000000008</v>
      </c>
      <c r="F5" s="45">
        <f>_xlfn.STDEV.S(E15:E17)</f>
        <v>2.2742910983424923E-2</v>
      </c>
      <c r="G5" s="45">
        <f>D5*E5</f>
        <v>5412.4000000000005</v>
      </c>
      <c r="H5" s="45"/>
      <c r="I5" s="45"/>
      <c r="J5" s="45">
        <f>AVERAGE(J15:J17)</f>
        <v>0.59975034618902312</v>
      </c>
      <c r="K5" s="45">
        <f>_xlfn.STDEV.S(J15:J17)</f>
        <v>1.7890277324002688E-3</v>
      </c>
      <c r="L5" s="45">
        <f>AVERAGE(L15:L17)</f>
        <v>560</v>
      </c>
      <c r="M5" s="45">
        <f>AVERAGE(M15:M17)</f>
        <v>6.3660666666666677</v>
      </c>
      <c r="N5" s="45">
        <f>_xlfn.STDEV.S(M15:M17)</f>
        <v>0.20462984467895495</v>
      </c>
      <c r="O5" s="45">
        <f>L5*M5</f>
        <v>3564.9973333333337</v>
      </c>
      <c r="P5" s="45">
        <f>AVERAGE(P15:P17)</f>
        <v>0.68617760902112146</v>
      </c>
      <c r="Q5" s="45">
        <f>_xlfn.STDEV.S(P15:P17)</f>
        <v>2.4602457304950896E-2</v>
      </c>
      <c r="R5" s="45">
        <f>AVERAGE(R15:R17)</f>
        <v>0.61557501430773531</v>
      </c>
      <c r="S5" s="45">
        <f>_xlfn.STDEV.S(R15:R17)</f>
        <v>2.437630217108494E-3</v>
      </c>
      <c r="T5" s="45">
        <f>AVERAGE(T15:T17)</f>
        <v>700</v>
      </c>
      <c r="U5" s="45">
        <f>AVERAGE(U15:U17)</f>
        <v>5.9912666666666654</v>
      </c>
      <c r="V5" s="45">
        <f>_xlfn.STDEV.S(U15:U17)</f>
        <v>0.17557292881687003</v>
      </c>
      <c r="W5" s="45">
        <f>T5*U5</f>
        <v>4193.8866666666654</v>
      </c>
      <c r="X5" s="45">
        <f>AVERAGE(X15:X17)</f>
        <v>1.1773161108647205</v>
      </c>
      <c r="Y5" s="45">
        <f>_xlfn.STDEV.S(X15:X17)</f>
        <v>5.5117894466085886E-2</v>
      </c>
      <c r="Z5" s="45">
        <f>AVERAGE(Z15:Z17)</f>
        <v>0.67204908724958035</v>
      </c>
      <c r="AA5" s="45">
        <f>_xlfn.STDEV.S(Z15:Z17)</f>
        <v>8.4995510093301169E-2</v>
      </c>
      <c r="AB5" s="45">
        <f>AVERAGE(AB15:AB17)</f>
        <v>100</v>
      </c>
      <c r="AC5" s="45">
        <f>AVERAGE(AC15:AC17)</f>
        <v>8.426666666666667E-2</v>
      </c>
      <c r="AD5" s="45">
        <f>_xlfn.STDEV.S(AC15:AC17)</f>
        <v>1.6000416661241489E-2</v>
      </c>
      <c r="AE5" s="45">
        <f>AB5*AC5</f>
        <v>8.4266666666666676</v>
      </c>
      <c r="AF5" s="45">
        <f>AVERAGE(AF15:AF17)</f>
        <v>2.3709267072224535E-3</v>
      </c>
      <c r="AG5" s="45">
        <f>_xlfn.STDEV.S(AF15:AF17)</f>
        <v>4.8969685866951393E-4</v>
      </c>
      <c r="AH5" s="45">
        <f>AVERAGE(AH15:AH17)</f>
        <v>2.0348340159697813E-2</v>
      </c>
      <c r="AI5" s="45">
        <f>_xlfn.STDEV.S(AH15:AH17)</f>
        <v>1.009876368967033E-2</v>
      </c>
      <c r="AJ5" s="45">
        <f>AVERAGE(AJ15:AJ17)</f>
        <v>700</v>
      </c>
      <c r="AK5" s="45">
        <f>AVERAGE(AK15:AK17)</f>
        <v>3.3964666666666665</v>
      </c>
      <c r="AL5" s="45">
        <f>_xlfn.STDEV.S(AK15:AK17)</f>
        <v>6.7790953182067987E-2</v>
      </c>
      <c r="AM5" s="45">
        <f>AJ5*AK5</f>
        <v>2377.5266666666666</v>
      </c>
      <c r="AN5" s="45">
        <f>AVERAGE(AN15:AN17)</f>
        <v>0.56700786547031445</v>
      </c>
      <c r="AO5" s="45">
        <f>_xlfn.STDEV.S(AN15:AN17)</f>
        <v>5.372594402571272E-3</v>
      </c>
      <c r="AP5" s="45">
        <f>AVERAGE(AP15:AP17)</f>
        <v>0.51467222975384985</v>
      </c>
      <c r="AQ5" s="45">
        <f>_xlfn.STDEV.S(AP15:AP17)</f>
        <v>3.3372420181051331E-3</v>
      </c>
    </row>
    <row r="6" spans="1:43" s="44" customFormat="1" x14ac:dyDescent="0.3">
      <c r="A6"/>
      <c r="B6"/>
      <c r="C6" s="2" t="s">
        <v>53</v>
      </c>
      <c r="D6" s="45">
        <v>1000</v>
      </c>
      <c r="E6" s="45">
        <f>AVERAGE(E18:E20)</f>
        <v>5.2898666666666667</v>
      </c>
      <c r="F6" s="45">
        <f>_xlfn.STDEV.S(E18:E20)</f>
        <v>0.18495938292861283</v>
      </c>
      <c r="G6" s="45">
        <f>D6*E6</f>
        <v>5289.8666666666668</v>
      </c>
      <c r="H6" s="45"/>
      <c r="I6" s="45"/>
      <c r="J6" s="45">
        <f>AVERAGE(J18:J20)</f>
        <v>0.60613338164079034</v>
      </c>
      <c r="K6" s="45">
        <f>_xlfn.STDEV.S(J18:J20)</f>
        <v>1.4197649467000847E-3</v>
      </c>
      <c r="L6" s="45">
        <f>AVERAGE(L18:L20)</f>
        <v>600</v>
      </c>
      <c r="M6" s="45">
        <f>AVERAGE(M18:M20)</f>
        <v>5.7097333333333324</v>
      </c>
      <c r="N6" s="45">
        <f>_xlfn.STDEV.S(M18:M20)</f>
        <v>0.27706997912681419</v>
      </c>
      <c r="O6" s="45">
        <f>L6*M6</f>
        <v>3425.8399999999992</v>
      </c>
      <c r="P6" s="45">
        <f>AVERAGE(P18:P20)</f>
        <v>0.64884136887867483</v>
      </c>
      <c r="Q6" s="45">
        <f>_xlfn.STDEV.S(P18:P20)</f>
        <v>5.3844904726911724E-2</v>
      </c>
      <c r="R6" s="45">
        <f>AVERAGE(R18:R20)</f>
        <v>0.60813172461769593</v>
      </c>
      <c r="S6" s="45">
        <f>_xlfn.STDEV.S(R18:R20)</f>
        <v>2.8467649231978809E-3</v>
      </c>
      <c r="T6" s="45">
        <f>AVERAGE(T18:T20)</f>
        <v>750</v>
      </c>
      <c r="U6" s="45">
        <f>AVERAGE(U18:U20)</f>
        <v>4.779866666666666</v>
      </c>
      <c r="V6" s="45">
        <f>_xlfn.STDEV.S(U18:U20)</f>
        <v>0.81135632944677305</v>
      </c>
      <c r="W6" s="45">
        <f>T6*U6</f>
        <v>3584.8999999999996</v>
      </c>
      <c r="X6" s="45">
        <f>AVERAGE(X18:X20)</f>
        <v>1.044850488901657</v>
      </c>
      <c r="Y6" s="45">
        <f>_xlfn.STDEV.S(X18:X20)</f>
        <v>0.15862145037290648</v>
      </c>
      <c r="Z6" s="45">
        <f>AVERAGE(Z18:Z20)</f>
        <v>0.62898934239020032</v>
      </c>
      <c r="AA6" s="45">
        <f>_xlfn.STDEV.S(Z18:Z20)</f>
        <v>7.7670310557605669E-3</v>
      </c>
      <c r="AB6" s="45">
        <f>AVERAGE(AB18:AB20)</f>
        <v>100</v>
      </c>
      <c r="AC6" s="45">
        <f>AVERAGE(AC18:AC20)</f>
        <v>0.12160666666666665</v>
      </c>
      <c r="AD6" s="45">
        <f>_xlfn.STDEV.S(AC18:AC20)</f>
        <v>2.9757085430756308E-2</v>
      </c>
      <c r="AE6" s="45">
        <f>AB6*AC6</f>
        <v>12.160666666666666</v>
      </c>
      <c r="AF6" s="45">
        <f>AVERAGE(AF18:AF20)</f>
        <v>3.5327283936719468E-3</v>
      </c>
      <c r="AG6" s="45">
        <f>_xlfn.STDEV.S(AF18:AF20)</f>
        <v>7.3750832801054537E-4</v>
      </c>
      <c r="AH6" s="45">
        <f>AVERAGE(AH18:AH20)</f>
        <v>3.9618518333638379E-2</v>
      </c>
      <c r="AI6" s="45">
        <f>_xlfn.STDEV.S(AH18:AH20)</f>
        <v>1.2795071081252935E-2</v>
      </c>
      <c r="AJ6" s="45">
        <f>AVERAGE(AJ18:AJ20)</f>
        <v>690</v>
      </c>
      <c r="AK6" s="45">
        <f>AVERAGE(AK18:AK20)</f>
        <v>3.5349333333333335</v>
      </c>
      <c r="AL6" s="45">
        <f>_xlfn.STDEV.S(AK18:AK20)</f>
        <v>0.31930113268407545</v>
      </c>
      <c r="AM6" s="45">
        <f>AJ6*AK6</f>
        <v>2439.1040000000003</v>
      </c>
      <c r="AN6" s="45">
        <f>AVERAGE(AN18:AN20)</f>
        <v>0.70280773194690049</v>
      </c>
      <c r="AO6" s="45">
        <f>_xlfn.STDEV.S(AN18:AN20)</f>
        <v>0.19883616255536044</v>
      </c>
      <c r="AP6" s="45">
        <f>AVERAGE(AP18:AP20)</f>
        <v>0.483695041546574</v>
      </c>
      <c r="AQ6" s="45">
        <f>_xlfn.STDEV.S(AP18:AP20)</f>
        <v>9.990882336065177E-3</v>
      </c>
    </row>
    <row r="7" spans="1:43" s="44" customFormat="1" x14ac:dyDescent="0.3">
      <c r="A7"/>
      <c r="B7"/>
      <c r="C7" s="2" t="s">
        <v>23</v>
      </c>
      <c r="D7" s="45">
        <f t="shared" ref="D7:AQ7" si="0">AVERAGE(D4:D6)</f>
        <v>1000</v>
      </c>
      <c r="E7" s="45">
        <f t="shared" si="0"/>
        <v>5.170755555555556</v>
      </c>
      <c r="F7" s="45">
        <f t="shared" si="0"/>
        <v>0.14352939466644007</v>
      </c>
      <c r="G7" s="45">
        <f t="shared" si="0"/>
        <v>5170.7555555555564</v>
      </c>
      <c r="H7" s="45" t="e">
        <f t="shared" si="0"/>
        <v>#DIV/0!</v>
      </c>
      <c r="I7" s="45" t="e">
        <f t="shared" si="0"/>
        <v>#DIV/0!</v>
      </c>
      <c r="J7" s="45">
        <f t="shared" si="0"/>
        <v>0.5854013565163726</v>
      </c>
      <c r="K7" s="45">
        <f t="shared" si="0"/>
        <v>3.7372573899184264E-3</v>
      </c>
      <c r="L7" s="45">
        <f t="shared" si="0"/>
        <v>586.66666666666663</v>
      </c>
      <c r="M7" s="45">
        <f t="shared" si="0"/>
        <v>5.7543494030197451</v>
      </c>
      <c r="N7" s="45">
        <f t="shared" si="0"/>
        <v>0.22075110274720786</v>
      </c>
      <c r="O7" s="45">
        <f t="shared" si="0"/>
        <v>3367.7287529229579</v>
      </c>
      <c r="P7" s="45">
        <f t="shared" si="0"/>
        <v>0.67262455303759738</v>
      </c>
      <c r="Q7" s="45">
        <f t="shared" si="0"/>
        <v>4.4971260570446515E-2</v>
      </c>
      <c r="R7" s="45">
        <f t="shared" si="0"/>
        <v>0.5919415790734428</v>
      </c>
      <c r="S7" s="45">
        <f t="shared" si="0"/>
        <v>3.9172431033954831E-3</v>
      </c>
      <c r="T7" s="45">
        <f t="shared" si="0"/>
        <v>716.66666666666663</v>
      </c>
      <c r="U7" s="45">
        <f t="shared" si="0"/>
        <v>5.1529555555555548</v>
      </c>
      <c r="V7" s="45">
        <f t="shared" si="0"/>
        <v>0.63815464442228842</v>
      </c>
      <c r="W7" s="45">
        <f t="shared" si="0"/>
        <v>3686.7333333333322</v>
      </c>
      <c r="X7" s="45">
        <f t="shared" si="0"/>
        <v>1.0925287094163618</v>
      </c>
      <c r="Y7" s="45">
        <f t="shared" si="0"/>
        <v>0.14361078950329087</v>
      </c>
      <c r="Z7" s="45">
        <f t="shared" si="0"/>
        <v>0.63388771659250376</v>
      </c>
      <c r="AA7" s="45">
        <f t="shared" si="0"/>
        <v>3.263313535761686E-2</v>
      </c>
      <c r="AB7" s="45">
        <f t="shared" si="0"/>
        <v>106.66666666666667</v>
      </c>
      <c r="AC7" s="45">
        <f t="shared" si="0"/>
        <v>7.2094444444444447E-2</v>
      </c>
      <c r="AD7" s="45">
        <f t="shared" si="0"/>
        <v>1.5939960110275968E-2</v>
      </c>
      <c r="AE7" s="45">
        <f t="shared" si="0"/>
        <v>7.2788444444444451</v>
      </c>
      <c r="AF7" s="45">
        <f t="shared" si="0"/>
        <v>2.1015120827420426E-3</v>
      </c>
      <c r="AG7" s="45">
        <f t="shared" si="0"/>
        <v>4.3441805640653678E-4</v>
      </c>
      <c r="AH7" s="45">
        <f t="shared" si="0"/>
        <v>3.1130798654223468E-2</v>
      </c>
      <c r="AI7" s="45">
        <f t="shared" si="0"/>
        <v>1.069415559857542E-2</v>
      </c>
      <c r="AJ7" s="45">
        <f t="shared" si="0"/>
        <v>696.66666666666663</v>
      </c>
      <c r="AK7" s="45">
        <f t="shared" si="0"/>
        <v>3.2638222222222222</v>
      </c>
      <c r="AL7" s="45">
        <f t="shared" si="0"/>
        <v>0.22018122605655618</v>
      </c>
      <c r="AM7" s="45">
        <f t="shared" si="0"/>
        <v>2272.8924444444447</v>
      </c>
      <c r="AN7" s="45">
        <f t="shared" si="0"/>
        <v>0.62973194090516615</v>
      </c>
      <c r="AO7" s="45">
        <f t="shared" si="0"/>
        <v>9.1483116281754207E-2</v>
      </c>
      <c r="AP7" s="45">
        <f t="shared" si="0"/>
        <v>0.48417952371659662</v>
      </c>
      <c r="AQ7" s="45">
        <f t="shared" si="0"/>
        <v>6.8982988806111636E-3</v>
      </c>
    </row>
    <row r="8" spans="1:43" s="44" customFormat="1" x14ac:dyDescent="0.3">
      <c r="A8"/>
      <c r="B8"/>
      <c r="C8" s="2" t="s">
        <v>52</v>
      </c>
      <c r="D8" s="45">
        <f t="shared" ref="D8:AQ8" si="1">_xlfn.STDEV.S(D4:D6)</f>
        <v>0</v>
      </c>
      <c r="E8" s="45">
        <f t="shared" si="1"/>
        <v>0.31837404509883171</v>
      </c>
      <c r="F8" s="45">
        <f t="shared" si="1"/>
        <v>0.10630915278890438</v>
      </c>
      <c r="G8" s="45">
        <f t="shared" si="1"/>
        <v>318.3740450988314</v>
      </c>
      <c r="H8" s="45" t="e">
        <f t="shared" si="1"/>
        <v>#DIV/0!</v>
      </c>
      <c r="I8" s="45" t="e">
        <f t="shared" si="1"/>
        <v>#DIV/0!</v>
      </c>
      <c r="J8" s="45">
        <f t="shared" si="1"/>
        <v>3.0548223922001051E-2</v>
      </c>
      <c r="K8" s="45">
        <f t="shared" si="1"/>
        <v>3.6988346180600756E-3</v>
      </c>
      <c r="L8" s="45">
        <f t="shared" si="1"/>
        <v>23.094010767585029</v>
      </c>
      <c r="M8" s="45">
        <f t="shared" si="1"/>
        <v>0.59067434704301292</v>
      </c>
      <c r="N8" s="45">
        <f t="shared" si="1"/>
        <v>5.0237233782672842E-2</v>
      </c>
      <c r="O8" s="45">
        <f t="shared" si="1"/>
        <v>231.85196369825854</v>
      </c>
      <c r="P8" s="45">
        <f t="shared" si="1"/>
        <v>2.066374479268995E-2</v>
      </c>
      <c r="Q8" s="45">
        <f t="shared" si="1"/>
        <v>1.7688532867736091E-2</v>
      </c>
      <c r="R8" s="45">
        <f t="shared" si="1"/>
        <v>3.468845384088888E-2</v>
      </c>
      <c r="S8" s="45">
        <f t="shared" si="1"/>
        <v>2.2178979096106068E-3</v>
      </c>
      <c r="T8" s="45">
        <f t="shared" si="1"/>
        <v>28.867513459481287</v>
      </c>
      <c r="U8" s="45">
        <f t="shared" si="1"/>
        <v>0.72745878030100819</v>
      </c>
      <c r="V8" s="45">
        <f t="shared" si="1"/>
        <v>0.40479715253864801</v>
      </c>
      <c r="W8" s="45">
        <f t="shared" si="1"/>
        <v>464.68205995545622</v>
      </c>
      <c r="X8" s="45">
        <f t="shared" si="1"/>
        <v>7.3617957949744198E-2</v>
      </c>
      <c r="Y8" s="45">
        <f t="shared" si="1"/>
        <v>8.2024237729066501E-2</v>
      </c>
      <c r="Z8" s="45">
        <f t="shared" si="1"/>
        <v>3.5963253561119957E-2</v>
      </c>
      <c r="AA8" s="45">
        <f t="shared" si="1"/>
        <v>4.5366211649647534E-2</v>
      </c>
      <c r="AB8" s="45">
        <f t="shared" si="1"/>
        <v>11.547005383792516</v>
      </c>
      <c r="AC8" s="45">
        <f t="shared" si="1"/>
        <v>5.6588840903616447E-2</v>
      </c>
      <c r="AD8" s="45">
        <f t="shared" si="1"/>
        <v>1.3847452576468647E-2</v>
      </c>
      <c r="AE8" s="45">
        <f t="shared" si="1"/>
        <v>5.5455521000901964</v>
      </c>
      <c r="AF8" s="45">
        <f t="shared" si="1"/>
        <v>1.583210337736317E-3</v>
      </c>
      <c r="AG8" s="45">
        <f t="shared" si="1"/>
        <v>3.3417648916770167E-4</v>
      </c>
      <c r="AH8" s="45">
        <f t="shared" si="1"/>
        <v>9.8379017776167796E-3</v>
      </c>
      <c r="AI8" s="45">
        <f t="shared" si="1"/>
        <v>1.8754917517451557E-3</v>
      </c>
      <c r="AJ8" s="45">
        <f t="shared" si="1"/>
        <v>5.7735026918962573</v>
      </c>
      <c r="AK8" s="45">
        <f t="shared" si="1"/>
        <v>0.35645079032865928</v>
      </c>
      <c r="AL8" s="45">
        <f t="shared" si="1"/>
        <v>0.13395014571977013</v>
      </c>
      <c r="AM8" s="45">
        <f t="shared" si="1"/>
        <v>236.57138140558791</v>
      </c>
      <c r="AN8" s="45">
        <f t="shared" si="1"/>
        <v>6.8489192182190198E-2</v>
      </c>
      <c r="AO8" s="45">
        <f t="shared" si="1"/>
        <v>9.8465586285706813E-2</v>
      </c>
      <c r="AP8" s="45">
        <f t="shared" si="1"/>
        <v>3.0253374556512169E-2</v>
      </c>
      <c r="AQ8" s="45">
        <f t="shared" si="1"/>
        <v>3.3514672712160044E-3</v>
      </c>
    </row>
    <row r="10" spans="1:43" x14ac:dyDescent="0.3">
      <c r="C10" s="2" t="s">
        <v>22</v>
      </c>
      <c r="D10" s="105" t="s">
        <v>21</v>
      </c>
      <c r="E10" s="106"/>
      <c r="F10" s="106"/>
      <c r="G10" s="106"/>
      <c r="H10" s="106"/>
      <c r="I10" s="106"/>
      <c r="J10" s="106"/>
      <c r="K10" s="107"/>
      <c r="L10" s="108" t="s">
        <v>26</v>
      </c>
      <c r="M10" s="108"/>
      <c r="N10" s="108"/>
      <c r="O10" s="108"/>
      <c r="P10" s="108"/>
      <c r="Q10" s="108"/>
      <c r="R10" s="108"/>
      <c r="S10" s="108"/>
      <c r="T10" s="105" t="s">
        <v>20</v>
      </c>
      <c r="U10" s="106"/>
      <c r="V10" s="106"/>
      <c r="W10" s="106"/>
      <c r="X10" s="106"/>
      <c r="Y10" s="106"/>
      <c r="Z10" s="106"/>
      <c r="AA10" s="107"/>
      <c r="AB10" s="105" t="s">
        <v>19</v>
      </c>
      <c r="AC10" s="106"/>
      <c r="AD10" s="106"/>
      <c r="AE10" s="106"/>
      <c r="AF10" s="106"/>
      <c r="AG10" s="106"/>
      <c r="AH10" s="106"/>
      <c r="AI10" s="107"/>
      <c r="AJ10" s="105" t="s">
        <v>3</v>
      </c>
      <c r="AK10" s="106"/>
      <c r="AL10" s="106"/>
      <c r="AM10" s="106"/>
      <c r="AN10" s="106"/>
      <c r="AO10" s="106"/>
      <c r="AP10" s="106"/>
      <c r="AQ10" s="107"/>
    </row>
    <row r="11" spans="1:43" ht="15.75" customHeight="1" x14ac:dyDescent="0.3">
      <c r="C11" s="2" t="s">
        <v>17</v>
      </c>
      <c r="D11" s="2" t="s">
        <v>16</v>
      </c>
      <c r="E11" s="2" t="s">
        <v>15</v>
      </c>
      <c r="F11" s="2" t="s">
        <v>11</v>
      </c>
      <c r="G11" s="2" t="s">
        <v>14</v>
      </c>
      <c r="H11" s="2" t="s">
        <v>13</v>
      </c>
      <c r="I11" s="2" t="s">
        <v>11</v>
      </c>
      <c r="J11" s="2" t="s">
        <v>12</v>
      </c>
      <c r="K11" s="2" t="s">
        <v>11</v>
      </c>
      <c r="L11" s="2" t="s">
        <v>16</v>
      </c>
      <c r="M11" s="2" t="s">
        <v>15</v>
      </c>
      <c r="N11" s="2" t="s">
        <v>11</v>
      </c>
      <c r="O11" s="2" t="s">
        <v>14</v>
      </c>
      <c r="P11" s="2" t="s">
        <v>13</v>
      </c>
      <c r="Q11" s="2" t="s">
        <v>11</v>
      </c>
      <c r="R11" s="2" t="s">
        <v>12</v>
      </c>
      <c r="S11" s="2" t="s">
        <v>11</v>
      </c>
      <c r="T11" s="2" t="s">
        <v>16</v>
      </c>
      <c r="U11" s="2" t="s">
        <v>15</v>
      </c>
      <c r="V11" s="2" t="s">
        <v>11</v>
      </c>
      <c r="W11" s="2" t="s">
        <v>14</v>
      </c>
      <c r="X11" s="2" t="s">
        <v>13</v>
      </c>
      <c r="Y11" s="2" t="s">
        <v>11</v>
      </c>
      <c r="Z11" s="2" t="s">
        <v>12</v>
      </c>
      <c r="AA11" s="2" t="s">
        <v>11</v>
      </c>
      <c r="AB11" s="2" t="s">
        <v>16</v>
      </c>
      <c r="AC11" s="2" t="s">
        <v>15</v>
      </c>
      <c r="AD11" s="2" t="s">
        <v>11</v>
      </c>
      <c r="AE11" s="2" t="s">
        <v>14</v>
      </c>
      <c r="AF11" s="2" t="s">
        <v>13</v>
      </c>
      <c r="AG11" s="2" t="s">
        <v>11</v>
      </c>
      <c r="AH11" s="2" t="s">
        <v>12</v>
      </c>
      <c r="AI11" s="2" t="s">
        <v>11</v>
      </c>
      <c r="AJ11" s="2" t="s">
        <v>16</v>
      </c>
      <c r="AK11" s="2" t="s">
        <v>15</v>
      </c>
      <c r="AL11" s="2" t="s">
        <v>11</v>
      </c>
      <c r="AM11" s="2" t="s">
        <v>14</v>
      </c>
      <c r="AN11" s="2" t="s">
        <v>13</v>
      </c>
      <c r="AO11" s="2" t="s">
        <v>11</v>
      </c>
      <c r="AP11" s="2" t="s">
        <v>12</v>
      </c>
      <c r="AQ11" s="2" t="s">
        <v>11</v>
      </c>
    </row>
    <row r="12" spans="1:43" s="44" customFormat="1" x14ac:dyDescent="0.3">
      <c r="A12"/>
      <c r="B12"/>
      <c r="C12" s="2" t="s">
        <v>10</v>
      </c>
      <c r="D12" s="45">
        <v>950</v>
      </c>
      <c r="E12" s="45">
        <f>(0.162*B29-0.098*B33)*$A$2</f>
        <v>4.9102000000000006</v>
      </c>
      <c r="F12" s="45"/>
      <c r="G12" s="45">
        <f t="shared" ref="G12:G20" si="2">D12*E12</f>
        <v>4664.6900000000005</v>
      </c>
      <c r="H12" s="45"/>
      <c r="I12" s="45"/>
      <c r="J12" s="45">
        <f>B29/B25</f>
        <v>0.54329608938547491</v>
      </c>
      <c r="K12" s="45"/>
      <c r="L12" s="45">
        <v>600</v>
      </c>
      <c r="M12" s="45">
        <f>(0.162*C29-0.098*C33)*$A$2</f>
        <v>5.1408015180265654</v>
      </c>
      <c r="N12" s="45"/>
      <c r="O12" s="45">
        <f t="shared" ref="O12:O20" si="3">L12*M12</f>
        <v>3084.4809108159393</v>
      </c>
      <c r="P12" s="45">
        <f t="shared" ref="P12:P20" si="4">O12/G12</f>
        <v>0.66124027766388316</v>
      </c>
      <c r="Q12" s="45"/>
      <c r="R12" s="45">
        <f>C29/C25</f>
        <v>0.5471903935402942</v>
      </c>
      <c r="S12" s="45"/>
      <c r="T12" s="45">
        <v>700</v>
      </c>
      <c r="U12" s="45">
        <f>(0.162*D29-0.098*D33)*$A$2</f>
        <v>3.6533999999999995</v>
      </c>
      <c r="V12" s="45"/>
      <c r="W12" s="45">
        <f t="shared" ref="W12:W20" si="5">T12*U12</f>
        <v>2557.3799999999997</v>
      </c>
      <c r="X12" s="45">
        <f t="shared" ref="X12:X20" si="6">W12/O12</f>
        <v>0.82911195560730333</v>
      </c>
      <c r="Y12" s="45"/>
      <c r="Z12" s="45">
        <f>D29/D25</f>
        <v>0.60116731517509725</v>
      </c>
      <c r="AA12" s="45"/>
      <c r="AB12" s="45">
        <v>120</v>
      </c>
      <c r="AC12" s="45">
        <f>(0.162*E29-0.098*E33)*10</f>
        <v>1.2280000000000001E-2</v>
      </c>
      <c r="AD12" s="45"/>
      <c r="AE12" s="45">
        <f t="shared" ref="AE12:AE20" si="7">AB12*AC12</f>
        <v>1.4736</v>
      </c>
      <c r="AF12" s="45">
        <f t="shared" ref="AF12:AF20" si="8">AE12/O12</f>
        <v>4.7774651314349935E-4</v>
      </c>
      <c r="AG12" s="45"/>
      <c r="AH12" s="45">
        <f>E29/E25</f>
        <v>4.3668122270742356E-2</v>
      </c>
      <c r="AI12" s="45"/>
      <c r="AJ12" s="45">
        <v>700</v>
      </c>
      <c r="AK12" s="45">
        <f>(0.162*F29-0.098*F33)*$A$2</f>
        <v>2.5472000000000001</v>
      </c>
      <c r="AL12" s="45"/>
      <c r="AM12" s="45">
        <f t="shared" ref="AM12:AM20" si="9">AJ12*AK12</f>
        <v>1783.0400000000002</v>
      </c>
      <c r="AN12" s="45">
        <f t="shared" ref="AN12:AN20" si="10">AM12/W12</f>
        <v>0.69721355449718092</v>
      </c>
      <c r="AO12" s="45"/>
      <c r="AP12" s="45">
        <f>F29/F25</f>
        <v>0.44591611479028698</v>
      </c>
      <c r="AQ12" s="45"/>
    </row>
    <row r="13" spans="1:43" s="44" customFormat="1" x14ac:dyDescent="0.3">
      <c r="A13"/>
      <c r="B13"/>
      <c r="C13" s="2" t="s">
        <v>9</v>
      </c>
      <c r="D13" s="45">
        <v>950</v>
      </c>
      <c r="E13" s="45">
        <f>(0.162*B30-0.098*B34)*$A$2</f>
        <v>4.5545999999999998</v>
      </c>
      <c r="F13" s="45"/>
      <c r="G13" s="45">
        <f t="shared" si="2"/>
        <v>4326.87</v>
      </c>
      <c r="H13" s="45"/>
      <c r="I13" s="45"/>
      <c r="J13" s="45">
        <f>B30/B26</f>
        <v>0.54863221884498481</v>
      </c>
      <c r="K13" s="45"/>
      <c r="L13" s="45">
        <v>600</v>
      </c>
      <c r="M13" s="45">
        <f>(0.162*C30-0.098*C34)*$A$2</f>
        <v>5.3864874328678836</v>
      </c>
      <c r="N13" s="45"/>
      <c r="O13" s="45">
        <f t="shared" si="3"/>
        <v>3231.8924597207301</v>
      </c>
      <c r="P13" s="45">
        <f t="shared" si="4"/>
        <v>0.74693541976549571</v>
      </c>
      <c r="Q13" s="45"/>
      <c r="R13" s="45">
        <f>C30/C26</f>
        <v>0.5497222281805374</v>
      </c>
      <c r="S13" s="45"/>
      <c r="T13" s="45">
        <v>700</v>
      </c>
      <c r="U13" s="45">
        <f>(0.162*D30-0.098*D34)*$A$2</f>
        <v>4.9641999999999991</v>
      </c>
      <c r="V13" s="45"/>
      <c r="W13" s="45">
        <f t="shared" si="5"/>
        <v>3474.9399999999991</v>
      </c>
      <c r="X13" s="45">
        <f t="shared" si="6"/>
        <v>1.0752028550789932</v>
      </c>
      <c r="Y13" s="45"/>
      <c r="Z13" s="45">
        <f>D30/D26</f>
        <v>0.59523809523809523</v>
      </c>
      <c r="AA13" s="45"/>
      <c r="AB13" s="45">
        <v>120</v>
      </c>
      <c r="AC13" s="45">
        <f>(0.162*E30-0.098*E34)*10</f>
        <v>1.0752000000000001E-2</v>
      </c>
      <c r="AD13" s="45"/>
      <c r="AE13" s="45">
        <f t="shared" si="7"/>
        <v>1.2902400000000001</v>
      </c>
      <c r="AF13" s="45">
        <f t="shared" si="8"/>
        <v>3.9922120431924599E-4</v>
      </c>
      <c r="AG13" s="45"/>
      <c r="AH13" s="45">
        <f>E30/E26</f>
        <v>3.0701754385964911E-2</v>
      </c>
      <c r="AI13" s="45"/>
      <c r="AJ13" s="45">
        <v>700</v>
      </c>
      <c r="AK13" s="45">
        <f>(0.162*F30-0.098*F34)*$A$2</f>
        <v>2.9796000000000005</v>
      </c>
      <c r="AL13" s="45"/>
      <c r="AM13" s="45">
        <f t="shared" si="9"/>
        <v>2085.7200000000003</v>
      </c>
      <c r="AN13" s="45">
        <f t="shared" si="10"/>
        <v>0.60021755771322693</v>
      </c>
      <c r="AO13" s="45"/>
      <c r="AP13" s="45">
        <f>F30/F26</f>
        <v>0.46007604562737642</v>
      </c>
      <c r="AQ13" s="45"/>
    </row>
    <row r="14" spans="1:43" s="44" customFormat="1" x14ac:dyDescent="0.3">
      <c r="A14"/>
      <c r="B14"/>
      <c r="C14" s="2" t="s">
        <v>8</v>
      </c>
      <c r="D14" s="45">
        <v>950</v>
      </c>
      <c r="E14" s="45">
        <f>(0.162*B31-0.098*B35)*$A$2</f>
        <v>4.9652000000000003</v>
      </c>
      <c r="F14" s="45"/>
      <c r="G14" s="45">
        <f t="shared" si="2"/>
        <v>4716.9400000000005</v>
      </c>
      <c r="H14" s="45"/>
      <c r="I14" s="45"/>
      <c r="J14" s="45">
        <f>B31/B27</f>
        <v>0.55903271692745382</v>
      </c>
      <c r="K14" s="45"/>
      <c r="L14" s="45">
        <v>600</v>
      </c>
      <c r="M14" s="45">
        <f>(0.162*C31-0.098*C35)*$A$2</f>
        <v>5.0344556762832529</v>
      </c>
      <c r="N14" s="45"/>
      <c r="O14" s="45">
        <f t="shared" si="3"/>
        <v>3020.6734057699518</v>
      </c>
      <c r="P14" s="45">
        <f t="shared" si="4"/>
        <v>0.64038834620960872</v>
      </c>
      <c r="Q14" s="45"/>
      <c r="R14" s="45">
        <f>C31/C27</f>
        <v>0.55944137316385967</v>
      </c>
      <c r="S14" s="45"/>
      <c r="T14" s="45">
        <v>700</v>
      </c>
      <c r="U14" s="45">
        <f>(0.162*D31-0.098*D35)*$A$2</f>
        <v>5.4456000000000007</v>
      </c>
      <c r="V14" s="45"/>
      <c r="W14" s="45">
        <f t="shared" si="5"/>
        <v>3811.9200000000005</v>
      </c>
      <c r="X14" s="45">
        <f t="shared" si="6"/>
        <v>1.2619437747618283</v>
      </c>
      <c r="Y14" s="45"/>
      <c r="Z14" s="45">
        <f>D31/D27</f>
        <v>0.60546875</v>
      </c>
      <c r="AA14" s="45"/>
      <c r="AB14" s="45">
        <v>120</v>
      </c>
      <c r="AC14" s="45">
        <f>(0.162*E31-0.098*E35)*10</f>
        <v>8.1980000000000004E-3</v>
      </c>
      <c r="AD14" s="45"/>
      <c r="AE14" s="45">
        <f t="shared" si="7"/>
        <v>0.98376000000000008</v>
      </c>
      <c r="AF14" s="45">
        <f t="shared" si="8"/>
        <v>3.256757245324393E-4</v>
      </c>
      <c r="AG14" s="45"/>
      <c r="AH14" s="45">
        <f>E31/E27</f>
        <v>2.5906735751295335E-2</v>
      </c>
      <c r="AI14" s="45"/>
      <c r="AJ14" s="45">
        <v>700</v>
      </c>
      <c r="AK14" s="45">
        <f>(0.162*F31-0.098*F35)*$A$2</f>
        <v>3.0533999999999999</v>
      </c>
      <c r="AL14" s="45"/>
      <c r="AM14" s="45">
        <f t="shared" si="9"/>
        <v>2137.38</v>
      </c>
      <c r="AN14" s="45">
        <f t="shared" si="10"/>
        <v>0.56070956368444247</v>
      </c>
      <c r="AO14" s="45"/>
      <c r="AP14" s="45">
        <f>F31/F27</f>
        <v>0.45652173913043476</v>
      </c>
      <c r="AQ14" s="45"/>
    </row>
    <row r="15" spans="1:43" s="44" customFormat="1" x14ac:dyDescent="0.3">
      <c r="A15"/>
      <c r="B15"/>
      <c r="C15" s="2" t="s">
        <v>7</v>
      </c>
      <c r="D15" s="45">
        <v>960</v>
      </c>
      <c r="E15" s="45">
        <f>(0.162*H29-0.098*H33)*$A$2</f>
        <v>5.4286000000000003</v>
      </c>
      <c r="F15" s="45"/>
      <c r="G15" s="45">
        <f t="shared" si="2"/>
        <v>5211.4560000000001</v>
      </c>
      <c r="H15" s="45"/>
      <c r="I15" s="45"/>
      <c r="J15" s="45">
        <f>H29/H25</f>
        <v>0.59796437659033075</v>
      </c>
      <c r="K15" s="45"/>
      <c r="L15" s="45">
        <v>560</v>
      </c>
      <c r="M15" s="45">
        <f>(0.162*I29-0.098*I33)*$A$2</f>
        <v>6.3402000000000012</v>
      </c>
      <c r="N15" s="45"/>
      <c r="O15" s="45">
        <f t="shared" si="3"/>
        <v>3550.5120000000006</v>
      </c>
      <c r="P15" s="45">
        <f t="shared" si="4"/>
        <v>0.68128983531665632</v>
      </c>
      <c r="Q15" s="45"/>
      <c r="R15" s="45">
        <f>I29/I25</f>
        <v>0.61660978384527876</v>
      </c>
      <c r="S15" s="45"/>
      <c r="T15" s="45">
        <v>700</v>
      </c>
      <c r="U15" s="45">
        <f>(0.162*J29-0.098*J33)*$A$2</f>
        <v>5.7939999999999987</v>
      </c>
      <c r="V15" s="45"/>
      <c r="W15" s="45">
        <f t="shared" si="5"/>
        <v>4055.7999999999993</v>
      </c>
      <c r="X15" s="45">
        <f t="shared" si="6"/>
        <v>1.1423141225828835</v>
      </c>
      <c r="Y15" s="45"/>
      <c r="Z15" s="45">
        <f>J29/J25</f>
        <v>0.62641509433962261</v>
      </c>
      <c r="AA15" s="45"/>
      <c r="AB15" s="45">
        <v>100</v>
      </c>
      <c r="AC15" s="45">
        <f>(0.162*K29-0.098*K33)*$A$2</f>
        <v>0.10020000000000001</v>
      </c>
      <c r="AD15" s="45"/>
      <c r="AE15" s="45">
        <f t="shared" si="7"/>
        <v>10.020000000000001</v>
      </c>
      <c r="AF15" s="45">
        <f t="shared" si="8"/>
        <v>2.8221281888358637E-3</v>
      </c>
      <c r="AG15" s="45"/>
      <c r="AH15" s="45">
        <f>K29/K25</f>
        <v>3.1872509960159362E-2</v>
      </c>
      <c r="AI15" s="45"/>
      <c r="AJ15" s="45">
        <v>700</v>
      </c>
      <c r="AK15" s="45">
        <f>(0.162*L29-0.098*L33)*$A$2</f>
        <v>3.3199999999999994</v>
      </c>
      <c r="AL15" s="45"/>
      <c r="AM15" s="45">
        <f t="shared" si="9"/>
        <v>2323.9999999999995</v>
      </c>
      <c r="AN15" s="45">
        <f t="shared" si="10"/>
        <v>0.57300655850880222</v>
      </c>
      <c r="AO15" s="45"/>
      <c r="AP15" s="45">
        <f>L29/L25</f>
        <v>0.51254480286738346</v>
      </c>
      <c r="AQ15" s="45"/>
    </row>
    <row r="16" spans="1:43" s="44" customFormat="1" x14ac:dyDescent="0.3">
      <c r="A16"/>
      <c r="B16"/>
      <c r="C16" s="2" t="s">
        <v>6</v>
      </c>
      <c r="D16" s="45">
        <v>960</v>
      </c>
      <c r="E16" s="45">
        <f>(0.162*H30-0.098*H34)*$A$2</f>
        <v>5.422200000000001</v>
      </c>
      <c r="F16" s="45"/>
      <c r="G16" s="45">
        <f t="shared" si="2"/>
        <v>5205.3120000000008</v>
      </c>
      <c r="H16" s="45"/>
      <c r="I16" s="45"/>
      <c r="J16" s="45">
        <f>H30/H26</f>
        <v>0.59974424552429662</v>
      </c>
      <c r="K16" s="45"/>
      <c r="L16" s="45">
        <v>560</v>
      </c>
      <c r="M16" s="45">
        <f>(0.162*I30-0.098*I34)*$A$2</f>
        <v>6.1756000000000002</v>
      </c>
      <c r="N16" s="45"/>
      <c r="O16" s="45">
        <f t="shared" si="3"/>
        <v>3458.3360000000002</v>
      </c>
      <c r="P16" s="45">
        <f t="shared" si="4"/>
        <v>0.66438591961442461</v>
      </c>
      <c r="Q16" s="45"/>
      <c r="R16" s="45">
        <f>I30/I26</f>
        <v>0.61279069767441863</v>
      </c>
      <c r="S16" s="45"/>
      <c r="T16" s="45">
        <v>700</v>
      </c>
      <c r="U16" s="45">
        <f>(0.162*J30-0.098*J34)*$A$2</f>
        <v>6.1304000000000007</v>
      </c>
      <c r="V16" s="45"/>
      <c r="W16" s="45">
        <f t="shared" si="5"/>
        <v>4291.2800000000007</v>
      </c>
      <c r="X16" s="45">
        <f t="shared" si="6"/>
        <v>1.2408510913919297</v>
      </c>
      <c r="Y16" s="45"/>
      <c r="Z16" s="45">
        <f>J30/J26</f>
        <v>0.77011494252873569</v>
      </c>
      <c r="AA16" s="45"/>
      <c r="AB16" s="45">
        <v>100</v>
      </c>
      <c r="AC16" s="45">
        <f>(0.162*K30-0.098*K34)*$A$2</f>
        <v>8.4400000000000003E-2</v>
      </c>
      <c r="AD16" s="45"/>
      <c r="AE16" s="45">
        <f t="shared" si="7"/>
        <v>8.44</v>
      </c>
      <c r="AF16" s="45">
        <f t="shared" si="8"/>
        <v>2.4404800458949038E-3</v>
      </c>
      <c r="AG16" s="45"/>
      <c r="AH16" s="45">
        <f>K30/K26</f>
        <v>1.6129032258064516E-2</v>
      </c>
      <c r="AI16" s="45"/>
      <c r="AJ16" s="45">
        <v>700</v>
      </c>
      <c r="AK16" s="45">
        <f>(0.162*L30-0.098*L34)*$A$2</f>
        <v>3.4491999999999994</v>
      </c>
      <c r="AL16" s="45"/>
      <c r="AM16" s="45">
        <f t="shared" si="9"/>
        <v>2414.4399999999996</v>
      </c>
      <c r="AN16" s="45">
        <f t="shared" si="10"/>
        <v>0.56263865326895457</v>
      </c>
      <c r="AO16" s="45"/>
      <c r="AP16" s="45">
        <f>L30/L26</f>
        <v>0.51295336787564771</v>
      </c>
      <c r="AQ16" s="45"/>
    </row>
    <row r="17" spans="1:43" s="44" customFormat="1" x14ac:dyDescent="0.3">
      <c r="A17"/>
      <c r="B17"/>
      <c r="C17" s="2" t="s">
        <v>5</v>
      </c>
      <c r="D17" s="45">
        <v>960</v>
      </c>
      <c r="E17" s="45">
        <f>(0.162*H31-0.098*H35)*$A$2</f>
        <v>5.386400000000001</v>
      </c>
      <c r="F17" s="45"/>
      <c r="G17" s="45">
        <f t="shared" si="2"/>
        <v>5170.9440000000013</v>
      </c>
      <c r="H17" s="45"/>
      <c r="I17" s="45"/>
      <c r="J17" s="45">
        <f>H31/H27</f>
        <v>0.60154241645244222</v>
      </c>
      <c r="K17" s="45"/>
      <c r="L17" s="45">
        <v>560</v>
      </c>
      <c r="M17" s="45">
        <f>(0.162*I31-0.098*I35)*$A$2</f>
        <v>6.5823999999999998</v>
      </c>
      <c r="N17" s="45"/>
      <c r="O17" s="45">
        <f t="shared" si="3"/>
        <v>3686.1439999999998</v>
      </c>
      <c r="P17" s="45">
        <f t="shared" si="4"/>
        <v>0.71285707213228355</v>
      </c>
      <c r="Q17" s="45"/>
      <c r="R17" s="45">
        <f>I31/I27</f>
        <v>0.61732456140350866</v>
      </c>
      <c r="S17" s="45"/>
      <c r="T17" s="45">
        <v>700</v>
      </c>
      <c r="U17" s="45">
        <f>(0.162*J31-0.098*J35)*$A$2</f>
        <v>6.0494000000000003</v>
      </c>
      <c r="V17" s="45"/>
      <c r="W17" s="45">
        <f t="shared" si="5"/>
        <v>4234.58</v>
      </c>
      <c r="X17" s="45">
        <f t="shared" si="6"/>
        <v>1.1487831186193487</v>
      </c>
      <c r="Y17" s="45"/>
      <c r="Z17" s="45">
        <f>J31/J27</f>
        <v>0.61961722488038284</v>
      </c>
      <c r="AA17" s="45"/>
      <c r="AB17" s="45">
        <v>100</v>
      </c>
      <c r="AC17" s="45">
        <f>(0.162*K31-0.098*K35)*$A$2</f>
        <v>6.8200000000000011E-2</v>
      </c>
      <c r="AD17" s="45"/>
      <c r="AE17" s="45">
        <f t="shared" si="7"/>
        <v>6.8200000000000012</v>
      </c>
      <c r="AF17" s="45">
        <f t="shared" si="8"/>
        <v>1.8501718869365932E-3</v>
      </c>
      <c r="AG17" s="45"/>
      <c r="AH17" s="45">
        <f>K31/K27</f>
        <v>1.3043478260869565E-2</v>
      </c>
      <c r="AI17" s="45"/>
      <c r="AJ17" s="45">
        <v>700</v>
      </c>
      <c r="AK17" s="45">
        <f>(0.162*L31-0.098*L35)*$A$2</f>
        <v>3.4201999999999995</v>
      </c>
      <c r="AL17" s="45"/>
      <c r="AM17" s="45">
        <f t="shared" si="9"/>
        <v>2394.1399999999994</v>
      </c>
      <c r="AN17" s="45">
        <f t="shared" si="10"/>
        <v>0.56537838463318668</v>
      </c>
      <c r="AO17" s="45"/>
      <c r="AP17" s="45">
        <f>L31/L27</f>
        <v>0.51851851851851849</v>
      </c>
      <c r="AQ17" s="45"/>
    </row>
    <row r="18" spans="1:43" s="44" customFormat="1" x14ac:dyDescent="0.3">
      <c r="A18"/>
      <c r="B18"/>
      <c r="C18" s="2" t="s">
        <v>51</v>
      </c>
      <c r="D18" s="45">
        <v>1000</v>
      </c>
      <c r="E18" s="45">
        <f>(0.162*N29-0.098*N33)*$A$2</f>
        <v>5.3092000000000006</v>
      </c>
      <c r="F18" s="45"/>
      <c r="G18" s="45">
        <f t="shared" si="2"/>
        <v>5309.2000000000007</v>
      </c>
      <c r="H18" s="45"/>
      <c r="I18" s="45"/>
      <c r="J18" s="45">
        <f>N29/N25</f>
        <v>0.60634081902245707</v>
      </c>
      <c r="K18" s="45"/>
      <c r="L18" s="45">
        <v>600</v>
      </c>
      <c r="M18" s="45">
        <f>(0.162*O29-0.098*O33)*$A$2</f>
        <v>5.5611999999999995</v>
      </c>
      <c r="N18" s="45"/>
      <c r="O18" s="45">
        <f t="shared" si="3"/>
        <v>3336.72</v>
      </c>
      <c r="P18" s="45">
        <f t="shared" si="4"/>
        <v>0.62847886687259835</v>
      </c>
      <c r="Q18" s="45"/>
      <c r="R18" s="45">
        <f>O29/O25</f>
        <v>0.61068702290076327</v>
      </c>
      <c r="S18" s="45"/>
      <c r="T18" s="45">
        <v>750</v>
      </c>
      <c r="U18" s="45">
        <f>(0.162*P29-0.098*P33)*$A$2</f>
        <v>5.2187999999999999</v>
      </c>
      <c r="V18" s="45"/>
      <c r="W18" s="45">
        <f t="shared" si="5"/>
        <v>3914.1</v>
      </c>
      <c r="X18" s="45">
        <f t="shared" si="6"/>
        <v>1.1730381931957132</v>
      </c>
      <c r="Y18" s="45"/>
      <c r="Z18" s="45">
        <f>P29/P25</f>
        <v>0.62900976290097632</v>
      </c>
      <c r="AA18" s="45"/>
      <c r="AB18" s="45">
        <v>100</v>
      </c>
      <c r="AC18" s="45">
        <f>(0.162*Q29-0.098*Q33)*$A$2</f>
        <v>0.12619999999999998</v>
      </c>
      <c r="AD18" s="45"/>
      <c r="AE18" s="45">
        <f t="shared" si="7"/>
        <v>12.619999999999997</v>
      </c>
      <c r="AF18" s="45">
        <f t="shared" si="8"/>
        <v>3.7821573281545942E-3</v>
      </c>
      <c r="AG18" s="45"/>
      <c r="AH18" s="45">
        <f>Q29/Q25</f>
        <v>4.6153846153846149E-2</v>
      </c>
      <c r="AI18" s="45"/>
      <c r="AJ18" s="45">
        <v>690</v>
      </c>
      <c r="AK18" s="45">
        <f>(0.162*R29-0.098*R33)*$A$2</f>
        <v>3.2841999999999998</v>
      </c>
      <c r="AL18" s="45"/>
      <c r="AM18" s="45">
        <f t="shared" si="9"/>
        <v>2266.098</v>
      </c>
      <c r="AN18" s="45">
        <f t="shared" si="10"/>
        <v>0.57895761477734342</v>
      </c>
      <c r="AO18" s="45"/>
      <c r="AP18" s="45">
        <f>R29/R25</f>
        <v>0.473421926910299</v>
      </c>
      <c r="AQ18" s="45"/>
    </row>
    <row r="19" spans="1:43" s="44" customFormat="1" x14ac:dyDescent="0.3">
      <c r="A19"/>
      <c r="B19"/>
      <c r="C19" s="2" t="s">
        <v>50</v>
      </c>
      <c r="D19" s="45">
        <v>1000</v>
      </c>
      <c r="E19" s="45">
        <f>(0.162*N30-0.098*N34)*$A$2</f>
        <v>5.0960000000000001</v>
      </c>
      <c r="F19" s="45"/>
      <c r="G19" s="45">
        <f t="shared" si="2"/>
        <v>5096</v>
      </c>
      <c r="H19" s="45"/>
      <c r="I19" s="45"/>
      <c r="J19" s="45">
        <f>N30/N26</f>
        <v>0.6074380165289256</v>
      </c>
      <c r="K19" s="45"/>
      <c r="L19" s="45">
        <v>600</v>
      </c>
      <c r="M19" s="45">
        <f>(0.162*O30-0.098*O34)*$A$2</f>
        <v>6.0293999999999999</v>
      </c>
      <c r="N19" s="45"/>
      <c r="O19" s="45">
        <f t="shared" si="3"/>
        <v>3617.64</v>
      </c>
      <c r="P19" s="45">
        <f t="shared" si="4"/>
        <v>0.70989795918367349</v>
      </c>
      <c r="Q19" s="45"/>
      <c r="R19" s="45">
        <f>O30/O26</f>
        <v>0.60864485981308414</v>
      </c>
      <c r="S19" s="45"/>
      <c r="T19" s="45">
        <v>750</v>
      </c>
      <c r="U19" s="45">
        <f>(0.162*P30-0.098*P34)*$A$2</f>
        <v>5.2771999999999997</v>
      </c>
      <c r="V19" s="45"/>
      <c r="W19" s="45">
        <f t="shared" si="5"/>
        <v>3957.8999999999996</v>
      </c>
      <c r="X19" s="45">
        <f t="shared" si="6"/>
        <v>1.0940557932795967</v>
      </c>
      <c r="Y19" s="45"/>
      <c r="Z19" s="45">
        <f>P30/P26</f>
        <v>0.63674614305750354</v>
      </c>
      <c r="AA19" s="45"/>
      <c r="AB19" s="45">
        <v>100</v>
      </c>
      <c r="AC19" s="45">
        <f>(0.162*Q30-0.098*Q34)*$A$2</f>
        <v>0.14879999999999999</v>
      </c>
      <c r="AD19" s="45"/>
      <c r="AE19" s="45">
        <f t="shared" si="7"/>
        <v>14.879999999999999</v>
      </c>
      <c r="AF19" s="45">
        <f t="shared" si="8"/>
        <v>4.1131787574219657E-3</v>
      </c>
      <c r="AG19" s="45"/>
      <c r="AH19" s="45">
        <f>Q30/Q26</f>
        <v>4.7826086956521734E-2</v>
      </c>
      <c r="AI19" s="45"/>
      <c r="AJ19" s="45">
        <v>690</v>
      </c>
      <c r="AK19" s="45">
        <f>(0.162*R30-0.098*R34)*$A$2</f>
        <v>3.4262000000000001</v>
      </c>
      <c r="AL19" s="45"/>
      <c r="AM19" s="45">
        <f t="shared" si="9"/>
        <v>2364.078</v>
      </c>
      <c r="AN19" s="45">
        <f t="shared" si="10"/>
        <v>0.59730614719927244</v>
      </c>
      <c r="AO19" s="45"/>
      <c r="AP19" s="45">
        <f>R30/R26</f>
        <v>0.49337748344370858</v>
      </c>
      <c r="AQ19" s="45"/>
    </row>
    <row r="20" spans="1:43" s="44" customFormat="1" x14ac:dyDescent="0.3">
      <c r="A20"/>
      <c r="B20"/>
      <c r="C20" s="2" t="s">
        <v>49</v>
      </c>
      <c r="D20" s="45">
        <v>1000</v>
      </c>
      <c r="E20" s="45">
        <f>(0.162*N31-0.098*N35)*$A$2</f>
        <v>5.4643999999999995</v>
      </c>
      <c r="F20" s="45"/>
      <c r="G20" s="45">
        <f t="shared" si="2"/>
        <v>5464.4</v>
      </c>
      <c r="H20" s="45"/>
      <c r="I20" s="45"/>
      <c r="J20" s="45">
        <f>N31/N27</f>
        <v>0.60462130937098835</v>
      </c>
      <c r="K20" s="45"/>
      <c r="L20" s="45">
        <v>600</v>
      </c>
      <c r="M20" s="45">
        <f>(0.162*O31-0.098*O35)*$A$2</f>
        <v>5.5386000000000006</v>
      </c>
      <c r="N20" s="45"/>
      <c r="O20" s="45">
        <f t="shared" si="3"/>
        <v>3323.1600000000003</v>
      </c>
      <c r="P20" s="45">
        <f t="shared" si="4"/>
        <v>0.60814728057975265</v>
      </c>
      <c r="Q20" s="45"/>
      <c r="R20" s="45">
        <f>O31/O27</f>
        <v>0.6050632911392404</v>
      </c>
      <c r="S20" s="45"/>
      <c r="T20" s="45">
        <v>750</v>
      </c>
      <c r="U20" s="45">
        <f>(0.162*P31-0.098*P35)*$A$2</f>
        <v>3.8436000000000003</v>
      </c>
      <c r="V20" s="45"/>
      <c r="W20" s="45">
        <f t="shared" si="5"/>
        <v>2882.7000000000003</v>
      </c>
      <c r="X20" s="45">
        <f t="shared" si="6"/>
        <v>0.86745748022966096</v>
      </c>
      <c r="Y20" s="45"/>
      <c r="Z20" s="45">
        <f>P31/P27</f>
        <v>0.62121212121212122</v>
      </c>
      <c r="AA20" s="45"/>
      <c r="AB20" s="45">
        <v>100</v>
      </c>
      <c r="AC20" s="45">
        <f>(0.162*Q31-0.098*Q35)*$A$2</f>
        <v>8.9820000000000011E-2</v>
      </c>
      <c r="AD20" s="45"/>
      <c r="AE20" s="45">
        <f t="shared" si="7"/>
        <v>8.9820000000000011</v>
      </c>
      <c r="AF20" s="45">
        <f t="shared" si="8"/>
        <v>2.7028490954392808E-3</v>
      </c>
      <c r="AG20" s="45"/>
      <c r="AH20" s="45">
        <f>Q31/Q27</f>
        <v>2.4875621890547261E-2</v>
      </c>
      <c r="AI20" s="45"/>
      <c r="AJ20" s="45">
        <v>690</v>
      </c>
      <c r="AK20" s="45">
        <f>(0.162*R31-0.098*R35)*$A$2</f>
        <v>3.8944000000000005</v>
      </c>
      <c r="AL20" s="45"/>
      <c r="AM20" s="45">
        <f t="shared" si="9"/>
        <v>2687.1360000000004</v>
      </c>
      <c r="AN20" s="45">
        <f t="shared" si="10"/>
        <v>0.93215943386408584</v>
      </c>
      <c r="AO20" s="45"/>
      <c r="AP20" s="45">
        <f>R31/R27</f>
        <v>0.48428571428571437</v>
      </c>
      <c r="AQ20" s="45"/>
    </row>
    <row r="23" spans="1:43" x14ac:dyDescent="0.3">
      <c r="A23" s="108" t="s">
        <v>67</v>
      </c>
      <c r="B23" s="108"/>
      <c r="C23" s="108"/>
      <c r="D23" s="108"/>
      <c r="E23" s="108"/>
      <c r="F23" s="108"/>
      <c r="G23" s="108" t="s">
        <v>68</v>
      </c>
      <c r="H23" s="108"/>
      <c r="I23" s="108"/>
      <c r="J23" s="108"/>
      <c r="K23" s="108"/>
      <c r="L23" s="108"/>
      <c r="M23" s="108" t="s">
        <v>69</v>
      </c>
      <c r="N23" s="108"/>
      <c r="O23" s="108"/>
      <c r="P23" s="108"/>
      <c r="Q23" s="108"/>
      <c r="R23" s="108"/>
    </row>
    <row r="24" spans="1:43" x14ac:dyDescent="0.3">
      <c r="A24" s="2" t="s">
        <v>45</v>
      </c>
      <c r="B24" s="2" t="s">
        <v>0</v>
      </c>
      <c r="C24" s="2" t="s">
        <v>1</v>
      </c>
      <c r="D24" s="2" t="s">
        <v>2</v>
      </c>
      <c r="E24" s="2" t="s">
        <v>4</v>
      </c>
      <c r="F24" s="2" t="s">
        <v>3</v>
      </c>
      <c r="G24" s="2" t="s">
        <v>45</v>
      </c>
      <c r="H24" s="2" t="s">
        <v>0</v>
      </c>
      <c r="I24" s="2" t="s">
        <v>1</v>
      </c>
      <c r="J24" s="2" t="s">
        <v>2</v>
      </c>
      <c r="K24" s="2" t="s">
        <v>4</v>
      </c>
      <c r="L24" s="2" t="s">
        <v>3</v>
      </c>
      <c r="M24" s="2" t="s">
        <v>45</v>
      </c>
      <c r="N24" s="2" t="s">
        <v>0</v>
      </c>
      <c r="O24" s="2" t="s">
        <v>1</v>
      </c>
      <c r="P24" s="2" t="s">
        <v>2</v>
      </c>
      <c r="Q24" s="2" t="s">
        <v>4</v>
      </c>
      <c r="R24" s="2" t="s">
        <v>3</v>
      </c>
      <c r="T24" s="2" t="s">
        <v>80</v>
      </c>
      <c r="U24" s="2" t="s">
        <v>2</v>
      </c>
      <c r="V24" s="2" t="s">
        <v>4</v>
      </c>
    </row>
    <row r="25" spans="1:43" x14ac:dyDescent="0.3">
      <c r="A25" s="2">
        <v>280</v>
      </c>
      <c r="B25" s="13">
        <v>0.71599999999999997</v>
      </c>
      <c r="C25" s="13">
        <f>B25*O25/N25</f>
        <v>0.74342932628797898</v>
      </c>
      <c r="D25" s="13">
        <v>0.51400000000000001</v>
      </c>
      <c r="E25" s="13">
        <v>0.22900000000000001</v>
      </c>
      <c r="F25" s="13">
        <v>0.45300000000000001</v>
      </c>
      <c r="G25" s="2">
        <v>280</v>
      </c>
      <c r="H25" s="13">
        <v>0.78600000000000003</v>
      </c>
      <c r="I25" s="13">
        <v>0.879</v>
      </c>
      <c r="J25" s="13">
        <v>0.79500000000000004</v>
      </c>
      <c r="K25" s="13">
        <v>0.251</v>
      </c>
      <c r="L25" s="13">
        <v>0.55800000000000005</v>
      </c>
      <c r="M25" s="2">
        <v>280</v>
      </c>
      <c r="N25" s="13">
        <v>0.75700000000000001</v>
      </c>
      <c r="O25" s="13">
        <v>0.78600000000000003</v>
      </c>
      <c r="P25" s="13">
        <v>0.71699999999999997</v>
      </c>
      <c r="Q25" s="13">
        <v>0.19500000000000001</v>
      </c>
      <c r="R25" s="13">
        <v>0.60199999999999998</v>
      </c>
      <c r="T25" s="2" t="s">
        <v>48</v>
      </c>
      <c r="U25" s="2">
        <f>AVERAGE(D25:D27,J25:J27,P25:P27)</f>
        <v>0.71722222222222221</v>
      </c>
      <c r="V25" s="2">
        <f>AVERAGE(E25:E27,K25:K27,Q25:Q27)</f>
        <v>0.22277777777777777</v>
      </c>
    </row>
    <row r="26" spans="1:43" x14ac:dyDescent="0.3">
      <c r="A26" s="2">
        <v>280</v>
      </c>
      <c r="B26" s="13">
        <v>0.65800000000000003</v>
      </c>
      <c r="C26" s="13">
        <f>B26*O26/N26</f>
        <v>0.77582369146005503</v>
      </c>
      <c r="D26" s="13">
        <v>0.71399999999999997</v>
      </c>
      <c r="E26" s="13">
        <v>0.22800000000000001</v>
      </c>
      <c r="F26" s="13">
        <v>0.52600000000000002</v>
      </c>
      <c r="G26" s="2">
        <v>280</v>
      </c>
      <c r="H26" s="13">
        <v>0.78200000000000003</v>
      </c>
      <c r="I26" s="13">
        <v>0.86</v>
      </c>
      <c r="J26" s="13">
        <v>0.87</v>
      </c>
      <c r="K26" s="13">
        <v>0.248</v>
      </c>
      <c r="L26" s="13">
        <v>0.57899999999999996</v>
      </c>
      <c r="M26" s="2">
        <v>280</v>
      </c>
      <c r="N26" s="13">
        <v>0.72599999999999998</v>
      </c>
      <c r="O26" s="13">
        <v>0.85599999999999998</v>
      </c>
      <c r="P26" s="13">
        <v>0.71299999999999997</v>
      </c>
      <c r="Q26" s="13">
        <v>0.23</v>
      </c>
      <c r="R26" s="13">
        <v>0.60399999999999998</v>
      </c>
      <c r="T26" s="2" t="s">
        <v>72</v>
      </c>
      <c r="U26" s="2">
        <f>_xlfn.STDEV.S(D25:D27,J25:J27,P25:P27)</f>
        <v>0.1241015489204076</v>
      </c>
      <c r="V26" s="2">
        <f>_xlfn.STDEV.S(E25:E27,K25:K27,Q25:Q27)</f>
        <v>2.1608897344483922E-2</v>
      </c>
    </row>
    <row r="27" spans="1:43" x14ac:dyDescent="0.3">
      <c r="A27" s="2">
        <v>280</v>
      </c>
      <c r="B27" s="13">
        <v>0.70299999999999996</v>
      </c>
      <c r="C27" s="13">
        <f>B27*O27/N27</f>
        <v>0.71292682926829265</v>
      </c>
      <c r="D27" s="13">
        <v>0.76800000000000002</v>
      </c>
      <c r="E27" s="13">
        <v>0.193</v>
      </c>
      <c r="F27" s="13">
        <v>0.55200000000000005</v>
      </c>
      <c r="G27" s="2">
        <v>280</v>
      </c>
      <c r="H27" s="13">
        <v>0.77800000000000002</v>
      </c>
      <c r="I27" s="13">
        <v>0.91200000000000003</v>
      </c>
      <c r="J27" s="13">
        <v>0.83599999999999997</v>
      </c>
      <c r="K27" s="13">
        <v>0.23</v>
      </c>
      <c r="L27" s="13">
        <v>0.56699999999999995</v>
      </c>
      <c r="M27" s="2">
        <v>280</v>
      </c>
      <c r="N27" s="13">
        <v>0.77900000000000003</v>
      </c>
      <c r="O27" s="13">
        <v>0.79</v>
      </c>
      <c r="P27" s="13">
        <v>0.52800000000000002</v>
      </c>
      <c r="Q27" s="13">
        <v>0.20100000000000001</v>
      </c>
      <c r="R27" s="13">
        <v>0.7</v>
      </c>
    </row>
    <row r="28" spans="1:43" x14ac:dyDescent="0.3">
      <c r="A28" s="2"/>
      <c r="B28" s="2"/>
      <c r="C28" s="13"/>
      <c r="D28" s="2"/>
      <c r="E28" s="2"/>
      <c r="F28" s="2"/>
      <c r="G28" s="2"/>
      <c r="H28" s="2"/>
      <c r="I28" s="2"/>
      <c r="J28" s="2"/>
      <c r="K28" s="2"/>
      <c r="L28" s="2"/>
      <c r="M28" s="2"/>
      <c r="N28" s="2"/>
      <c r="O28" s="2"/>
      <c r="P28" s="2"/>
      <c r="Q28" s="2"/>
      <c r="R28" s="2"/>
    </row>
    <row r="29" spans="1:43" x14ac:dyDescent="0.3">
      <c r="A29" s="2">
        <v>620</v>
      </c>
      <c r="B29" s="13">
        <v>0.38900000000000001</v>
      </c>
      <c r="C29" s="13">
        <f>B29*O29/N29</f>
        <v>0.406797385620915</v>
      </c>
      <c r="D29" s="13">
        <v>0.309</v>
      </c>
      <c r="E29" s="13">
        <v>0.01</v>
      </c>
      <c r="F29" s="13">
        <v>0.20200000000000001</v>
      </c>
      <c r="G29" s="2">
        <v>620</v>
      </c>
      <c r="H29" s="13">
        <v>0.47</v>
      </c>
      <c r="I29" s="13">
        <v>0.54200000000000004</v>
      </c>
      <c r="J29" s="13">
        <v>0.498</v>
      </c>
      <c r="K29" s="13">
        <v>8.0000000000000002E-3</v>
      </c>
      <c r="L29" s="13">
        <v>0.28599999999999998</v>
      </c>
      <c r="M29" s="2">
        <v>620</v>
      </c>
      <c r="N29" s="13">
        <v>0.45900000000000002</v>
      </c>
      <c r="O29" s="13">
        <v>0.48</v>
      </c>
      <c r="P29" s="13">
        <v>0.45100000000000001</v>
      </c>
      <c r="Q29" s="13">
        <v>8.9999999999999993E-3</v>
      </c>
      <c r="R29" s="13">
        <v>0.28499999999999998</v>
      </c>
    </row>
    <row r="30" spans="1:43" x14ac:dyDescent="0.3">
      <c r="A30" s="2">
        <v>620</v>
      </c>
      <c r="B30" s="13">
        <v>0.36099999999999999</v>
      </c>
      <c r="C30" s="13">
        <f>B30*O30/N30</f>
        <v>0.42648752834467119</v>
      </c>
      <c r="D30" s="13">
        <v>0.42499999999999999</v>
      </c>
      <c r="E30" s="13">
        <v>7.0000000000000001E-3</v>
      </c>
      <c r="F30" s="13">
        <v>0.24199999999999999</v>
      </c>
      <c r="G30" s="2">
        <v>620</v>
      </c>
      <c r="H30" s="13">
        <v>0.46899999999999997</v>
      </c>
      <c r="I30" s="13">
        <v>0.52700000000000002</v>
      </c>
      <c r="J30" s="13">
        <v>0.67</v>
      </c>
      <c r="K30" s="13">
        <v>4.0000000000000001E-3</v>
      </c>
      <c r="L30" s="13">
        <v>0.29699999999999999</v>
      </c>
      <c r="M30" s="2">
        <v>620</v>
      </c>
      <c r="N30" s="13">
        <v>0.441</v>
      </c>
      <c r="O30" s="13">
        <v>0.52100000000000002</v>
      </c>
      <c r="P30" s="13">
        <v>0.45400000000000001</v>
      </c>
      <c r="Q30" s="13">
        <v>1.0999999999999999E-2</v>
      </c>
      <c r="R30" s="13">
        <v>0.29799999999999999</v>
      </c>
    </row>
    <row r="31" spans="1:43" x14ac:dyDescent="0.3">
      <c r="A31" s="2">
        <v>620</v>
      </c>
      <c r="B31" s="13">
        <v>0.39300000000000002</v>
      </c>
      <c r="C31" s="13">
        <f>B31*O31/N31</f>
        <v>0.39884076433121018</v>
      </c>
      <c r="D31" s="13">
        <v>0.46500000000000002</v>
      </c>
      <c r="E31" s="13">
        <v>5.0000000000000001E-3</v>
      </c>
      <c r="F31" s="13">
        <v>0.252</v>
      </c>
      <c r="G31" s="2">
        <v>620</v>
      </c>
      <c r="H31" s="13">
        <v>0.46800000000000003</v>
      </c>
      <c r="I31" s="13">
        <v>0.56299999999999994</v>
      </c>
      <c r="J31" s="13">
        <v>0.51800000000000002</v>
      </c>
      <c r="K31" s="13">
        <v>3.0000000000000001E-3</v>
      </c>
      <c r="L31" s="13">
        <v>0.29399999999999998</v>
      </c>
      <c r="M31" s="2">
        <v>620</v>
      </c>
      <c r="N31" s="13">
        <v>0.47099999999999997</v>
      </c>
      <c r="O31" s="13">
        <v>0.47799999999999998</v>
      </c>
      <c r="P31" s="13">
        <v>0.32800000000000001</v>
      </c>
      <c r="Q31" s="13">
        <v>5.0000000000000001E-3</v>
      </c>
      <c r="R31" s="13">
        <v>0.33900000000000002</v>
      </c>
    </row>
    <row r="32" spans="1:43" x14ac:dyDescent="0.3">
      <c r="A32" s="2"/>
      <c r="B32" s="2"/>
      <c r="C32" s="13"/>
      <c r="D32" s="2"/>
      <c r="E32" s="2"/>
      <c r="F32" s="2"/>
      <c r="G32" s="2"/>
      <c r="H32" s="2"/>
      <c r="I32" s="2"/>
      <c r="J32" s="2"/>
      <c r="K32" s="2"/>
      <c r="L32" s="2"/>
      <c r="M32" s="2"/>
      <c r="N32" s="2"/>
      <c r="O32" s="2"/>
      <c r="P32" s="2"/>
      <c r="Q32" s="2"/>
      <c r="R32" s="2"/>
    </row>
    <row r="33" spans="1:18" x14ac:dyDescent="0.3">
      <c r="A33" s="2">
        <v>650</v>
      </c>
      <c r="B33" s="13">
        <v>0.14199999999999999</v>
      </c>
      <c r="C33" s="13">
        <f>B33*O33/N33</f>
        <v>0.14788940092165898</v>
      </c>
      <c r="D33" s="13">
        <v>0.13800000000000001</v>
      </c>
      <c r="E33" s="13">
        <v>4.0000000000000001E-3</v>
      </c>
      <c r="F33" s="13">
        <v>7.3999999999999996E-2</v>
      </c>
      <c r="G33" s="2">
        <v>650</v>
      </c>
      <c r="H33" s="13">
        <v>0.223</v>
      </c>
      <c r="I33" s="13">
        <v>0.249</v>
      </c>
      <c r="J33" s="13">
        <v>0.23200000000000001</v>
      </c>
      <c r="K33" s="13">
        <v>3.0000000000000001E-3</v>
      </c>
      <c r="L33" s="13">
        <v>0.13400000000000001</v>
      </c>
      <c r="M33" s="2">
        <v>650</v>
      </c>
      <c r="N33" s="13">
        <v>0.217</v>
      </c>
      <c r="O33" s="13">
        <v>0.22600000000000001</v>
      </c>
      <c r="P33" s="13">
        <v>0.21299999999999999</v>
      </c>
      <c r="Q33" s="13">
        <v>2E-3</v>
      </c>
      <c r="R33" s="13">
        <v>0.13600000000000001</v>
      </c>
    </row>
    <row r="34" spans="1:18" x14ac:dyDescent="0.3">
      <c r="A34" s="2">
        <v>650</v>
      </c>
      <c r="B34" s="13">
        <v>0.13200000000000001</v>
      </c>
      <c r="C34" s="13">
        <f>B34*O34/N34</f>
        <v>0.1553684210526316</v>
      </c>
      <c r="D34" s="13">
        <v>0.19600000000000001</v>
      </c>
      <c r="E34" s="40">
        <v>5.9999999999999995E-4</v>
      </c>
      <c r="F34" s="13">
        <v>9.6000000000000002E-2</v>
      </c>
      <c r="G34" s="2">
        <v>650</v>
      </c>
      <c r="H34" s="13">
        <v>0.222</v>
      </c>
      <c r="I34" s="13">
        <v>0.24099999999999999</v>
      </c>
      <c r="J34" s="13">
        <v>0.48199999999999998</v>
      </c>
      <c r="K34" s="13">
        <v>-2E-3</v>
      </c>
      <c r="L34" s="13">
        <v>0.13900000000000001</v>
      </c>
      <c r="M34" s="2">
        <v>650</v>
      </c>
      <c r="N34" s="13">
        <v>0.20899999999999999</v>
      </c>
      <c r="O34" s="13">
        <v>0.246</v>
      </c>
      <c r="P34" s="13">
        <v>0.21199999999999999</v>
      </c>
      <c r="Q34" s="13">
        <v>3.0000000000000001E-3</v>
      </c>
      <c r="R34" s="13">
        <v>0.14299999999999999</v>
      </c>
    </row>
    <row r="35" spans="1:18" x14ac:dyDescent="0.3">
      <c r="A35" s="2">
        <v>650</v>
      </c>
      <c r="B35" s="13">
        <v>0.14299999999999999</v>
      </c>
      <c r="C35" s="13">
        <f>B35*O35/N35</f>
        <v>0.14558823529411763</v>
      </c>
      <c r="D35" s="13">
        <v>0.21299999999999999</v>
      </c>
      <c r="E35" s="40">
        <v>-1E-4</v>
      </c>
      <c r="F35" s="13">
        <v>0.105</v>
      </c>
      <c r="G35" s="2">
        <v>650</v>
      </c>
      <c r="H35" s="13">
        <v>0.224</v>
      </c>
      <c r="I35" s="13">
        <v>0.25900000000000001</v>
      </c>
      <c r="J35" s="13">
        <v>0.23899999999999999</v>
      </c>
      <c r="K35" s="13">
        <v>-2E-3</v>
      </c>
      <c r="L35" s="13">
        <v>0.13700000000000001</v>
      </c>
      <c r="M35" s="2">
        <v>650</v>
      </c>
      <c r="N35" s="13">
        <v>0.221</v>
      </c>
      <c r="O35" s="13">
        <v>0.22500000000000001</v>
      </c>
      <c r="P35" s="13">
        <v>0.15</v>
      </c>
      <c r="Q35" s="40">
        <v>-8.9999999999999998E-4</v>
      </c>
      <c r="R35" s="13">
        <v>0.16300000000000001</v>
      </c>
    </row>
    <row r="36" spans="1:18" x14ac:dyDescent="0.3">
      <c r="J36" s="19"/>
      <c r="K36" s="19"/>
      <c r="R36" s="19"/>
    </row>
  </sheetData>
  <mergeCells count="13">
    <mergeCell ref="T2:AA2"/>
    <mergeCell ref="AB2:AI2"/>
    <mergeCell ref="AJ2:AQ2"/>
    <mergeCell ref="D10:K10"/>
    <mergeCell ref="T10:AA10"/>
    <mergeCell ref="AB10:AI10"/>
    <mergeCell ref="AJ10:AQ10"/>
    <mergeCell ref="L10:S10"/>
    <mergeCell ref="A23:F23"/>
    <mergeCell ref="G23:L23"/>
    <mergeCell ref="M23:R23"/>
    <mergeCell ref="D2:K2"/>
    <mergeCell ref="L2:S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0A6C5-725C-4760-A28A-161804FE508F}">
  <dimension ref="A1:AQ33"/>
  <sheetViews>
    <sheetView zoomScale="70" zoomScaleNormal="70" workbookViewId="0">
      <selection activeCell="M42" sqref="M42"/>
    </sheetView>
  </sheetViews>
  <sheetFormatPr defaultRowHeight="14.4" x14ac:dyDescent="0.3"/>
  <cols>
    <col min="4" max="4" width="12.6640625" bestFit="1" customWidth="1"/>
    <col min="5" max="6" width="9.33203125" bestFit="1" customWidth="1"/>
    <col min="7" max="7" width="12.6640625" bestFit="1" customWidth="1"/>
    <col min="8" max="9" width="9.21875" bestFit="1" customWidth="1"/>
    <col min="10" max="11" width="9.33203125" bestFit="1" customWidth="1"/>
    <col min="12" max="12" width="11.5546875" bestFit="1" customWidth="1"/>
    <col min="13" max="14" width="9.33203125" bestFit="1" customWidth="1"/>
    <col min="15" max="15" width="12.6640625" bestFit="1" customWidth="1"/>
    <col min="16" max="19" width="9.33203125" bestFit="1" customWidth="1"/>
    <col min="20" max="20" width="11.5546875" bestFit="1" customWidth="1"/>
    <col min="21" max="22" width="9.33203125" bestFit="1" customWidth="1"/>
    <col min="23" max="23" width="12.6640625" bestFit="1" customWidth="1"/>
    <col min="24" max="27" width="9.33203125" bestFit="1" customWidth="1"/>
    <col min="28" max="28" width="11.5546875" bestFit="1" customWidth="1"/>
    <col min="29" max="30" width="9.33203125" bestFit="1" customWidth="1"/>
    <col min="31" max="31" width="10.44140625" bestFit="1" customWidth="1"/>
    <col min="32" max="35" width="9.33203125" bestFit="1" customWidth="1"/>
    <col min="36" max="36" width="11.5546875" bestFit="1" customWidth="1"/>
    <col min="37" max="38" width="9.33203125" bestFit="1" customWidth="1"/>
    <col min="39" max="39" width="12.6640625" bestFit="1" customWidth="1"/>
    <col min="40" max="43" width="9.33203125" bestFit="1" customWidth="1"/>
  </cols>
  <sheetData>
    <row r="1" spans="1:43" x14ac:dyDescent="0.3">
      <c r="A1" s="15" t="s">
        <v>27</v>
      </c>
      <c r="B1" s="15"/>
    </row>
    <row r="2" spans="1:43" x14ac:dyDescent="0.3">
      <c r="A2" s="15">
        <v>100</v>
      </c>
      <c r="B2" s="15" t="s">
        <v>28</v>
      </c>
      <c r="C2" s="14" t="s">
        <v>22</v>
      </c>
      <c r="D2" s="105" t="s">
        <v>21</v>
      </c>
      <c r="E2" s="106"/>
      <c r="F2" s="106"/>
      <c r="G2" s="106"/>
      <c r="H2" s="106"/>
      <c r="I2" s="106"/>
      <c r="J2" s="106"/>
      <c r="K2" s="107"/>
      <c r="L2" s="105" t="s">
        <v>26</v>
      </c>
      <c r="M2" s="106"/>
      <c r="N2" s="106"/>
      <c r="O2" s="106"/>
      <c r="P2" s="106"/>
      <c r="Q2" s="106"/>
      <c r="R2" s="106"/>
      <c r="S2" s="107"/>
      <c r="T2" s="105" t="s">
        <v>20</v>
      </c>
      <c r="U2" s="106"/>
      <c r="V2" s="106"/>
      <c r="W2" s="106"/>
      <c r="X2" s="106"/>
      <c r="Y2" s="106"/>
      <c r="Z2" s="106"/>
      <c r="AA2" s="107"/>
      <c r="AB2" s="105" t="s">
        <v>19</v>
      </c>
      <c r="AC2" s="106"/>
      <c r="AD2" s="106"/>
      <c r="AE2" s="106"/>
      <c r="AF2" s="106"/>
      <c r="AG2" s="106"/>
      <c r="AH2" s="106"/>
      <c r="AI2" s="107"/>
      <c r="AJ2" s="105" t="s">
        <v>3</v>
      </c>
      <c r="AK2" s="106"/>
      <c r="AL2" s="106"/>
      <c r="AM2" s="106"/>
      <c r="AN2" s="106"/>
      <c r="AO2" s="106"/>
      <c r="AP2" s="106"/>
      <c r="AQ2" s="107"/>
    </row>
    <row r="3" spans="1:43" x14ac:dyDescent="0.3">
      <c r="C3" s="2" t="s">
        <v>17</v>
      </c>
      <c r="D3" s="2" t="s">
        <v>16</v>
      </c>
      <c r="E3" s="2" t="s">
        <v>29</v>
      </c>
      <c r="F3" s="2" t="s">
        <v>11</v>
      </c>
      <c r="G3" s="2" t="s">
        <v>30</v>
      </c>
      <c r="H3" s="2" t="s">
        <v>13</v>
      </c>
      <c r="I3" s="2" t="s">
        <v>11</v>
      </c>
      <c r="J3" s="2" t="s">
        <v>12</v>
      </c>
      <c r="K3" s="2" t="s">
        <v>11</v>
      </c>
      <c r="L3" s="2" t="s">
        <v>16</v>
      </c>
      <c r="M3" s="2" t="s">
        <v>15</v>
      </c>
      <c r="N3" s="2" t="s">
        <v>11</v>
      </c>
      <c r="O3" s="2" t="s">
        <v>14</v>
      </c>
      <c r="P3" s="2" t="s">
        <v>13</v>
      </c>
      <c r="Q3" s="2" t="s">
        <v>11</v>
      </c>
      <c r="R3" s="2" t="s">
        <v>12</v>
      </c>
      <c r="S3" s="2" t="s">
        <v>11</v>
      </c>
      <c r="T3" s="2" t="s">
        <v>16</v>
      </c>
      <c r="U3" s="2" t="s">
        <v>15</v>
      </c>
      <c r="V3" s="2" t="s">
        <v>11</v>
      </c>
      <c r="W3" s="2" t="s">
        <v>14</v>
      </c>
      <c r="X3" s="2" t="s">
        <v>13</v>
      </c>
      <c r="Y3" s="2" t="s">
        <v>11</v>
      </c>
      <c r="Z3" s="2" t="s">
        <v>12</v>
      </c>
      <c r="AA3" s="2" t="s">
        <v>11</v>
      </c>
      <c r="AB3" s="2" t="s">
        <v>16</v>
      </c>
      <c r="AC3" s="2" t="s">
        <v>15</v>
      </c>
      <c r="AD3" s="2" t="s">
        <v>11</v>
      </c>
      <c r="AE3" s="2" t="s">
        <v>14</v>
      </c>
      <c r="AF3" s="2" t="s">
        <v>13</v>
      </c>
      <c r="AG3" s="2" t="s">
        <v>11</v>
      </c>
      <c r="AH3" s="2" t="s">
        <v>12</v>
      </c>
      <c r="AI3" s="2" t="s">
        <v>11</v>
      </c>
      <c r="AJ3" s="2" t="s">
        <v>16</v>
      </c>
      <c r="AK3" s="2" t="s">
        <v>15</v>
      </c>
      <c r="AL3" s="2" t="s">
        <v>11</v>
      </c>
      <c r="AM3" s="2" t="s">
        <v>14</v>
      </c>
      <c r="AN3" s="2" t="s">
        <v>13</v>
      </c>
      <c r="AO3" s="2" t="s">
        <v>11</v>
      </c>
      <c r="AP3" s="2" t="s">
        <v>12</v>
      </c>
      <c r="AQ3" s="2" t="s">
        <v>11</v>
      </c>
    </row>
    <row r="4" spans="1:43" x14ac:dyDescent="0.3">
      <c r="C4" s="2" t="s">
        <v>25</v>
      </c>
      <c r="D4" s="45">
        <v>1000</v>
      </c>
      <c r="E4" s="45">
        <f>AVERAGE(E11:E13)</f>
        <v>4.9384666666666668</v>
      </c>
      <c r="F4" s="45">
        <f>_xlfn.STDEV.S(E11:E13)</f>
        <v>0.24357014047976661</v>
      </c>
      <c r="G4" s="45">
        <f>D4*E4</f>
        <v>4938.4666666666672</v>
      </c>
      <c r="H4" s="45"/>
      <c r="I4" s="45"/>
      <c r="J4" s="45">
        <f>AVERAGE(J11:J13)</f>
        <v>0.54235995954822036</v>
      </c>
      <c r="K4" s="45">
        <f>_xlfn.STDEV.S(J11:J13)</f>
        <v>5.9320636083335359E-3</v>
      </c>
      <c r="L4" s="45">
        <v>668</v>
      </c>
      <c r="M4" s="45">
        <f>AVERAGE(M11:M13)</f>
        <v>5.0483333333333338</v>
      </c>
      <c r="N4" s="45">
        <f>_xlfn.STDEV.S(M11:M13)</f>
        <v>0.16008277025755613</v>
      </c>
      <c r="O4" s="45">
        <f>L4*M4</f>
        <v>3372.2866666666669</v>
      </c>
      <c r="P4" s="45">
        <f>AVERAGE(P11:P13)</f>
        <v>0.68412184542732313</v>
      </c>
      <c r="Q4" s="45">
        <f>_xlfn.STDEV.S(P11:P13)</f>
        <v>4.3659860051486324E-2</v>
      </c>
      <c r="R4" s="45">
        <f>AVERAGE(R11:R13)</f>
        <v>0.53993976437419677</v>
      </c>
      <c r="S4" s="45">
        <f>_xlfn.STDEV.S(R11:R13)</f>
        <v>7.2368900742388028E-3</v>
      </c>
      <c r="T4" s="45">
        <v>410</v>
      </c>
      <c r="U4" s="45">
        <f>AVERAGE(U11:U13)</f>
        <v>7.819399999999999</v>
      </c>
      <c r="V4" s="45">
        <f>_xlfn.STDEV.S(U11:U13)</f>
        <v>0.39251624170217453</v>
      </c>
      <c r="W4" s="45">
        <f>T4*U4</f>
        <v>3205.9539999999997</v>
      </c>
      <c r="X4" s="45">
        <f>AVERAGE(X11:X13)</f>
        <v>0.95228087743555223</v>
      </c>
      <c r="Y4" s="45">
        <f>_xlfn.STDEV.S(X11:X13)</f>
        <v>7.6271824672186156E-2</v>
      </c>
      <c r="Z4" s="45">
        <f>AVERAGE(Z11:Z13)</f>
        <v>0.64966925108815343</v>
      </c>
      <c r="AA4" s="45">
        <f>_xlfn.STDEV.S(Z11:Z13)</f>
        <v>1.9079363588144676E-3</v>
      </c>
      <c r="AB4" s="45">
        <v>400</v>
      </c>
      <c r="AC4" s="45">
        <f>AVERAGE(AC11:AC13)</f>
        <v>1.5393333333333335E-2</v>
      </c>
      <c r="AD4" s="45">
        <f>_xlfn.STDEV.S(AC11:AC13)</f>
        <v>3.6950417228136063E-3</v>
      </c>
      <c r="AE4" s="45">
        <f>AB4*AC4</f>
        <v>6.1573333333333338</v>
      </c>
      <c r="AF4" s="45">
        <f>AVERAGE(AF11:AF13)</f>
        <v>1.8179981560411517E-3</v>
      </c>
      <c r="AG4" s="45">
        <f>_xlfn.STDEV.S(AF11:AF13)</f>
        <v>3.7408111115777223E-4</v>
      </c>
      <c r="AH4" s="45">
        <f>AVERAGE(AH11:AH13)</f>
        <v>4.8903717398387524E-2</v>
      </c>
      <c r="AI4" s="45">
        <f>_xlfn.STDEV.S(AH11:AH13)</f>
        <v>1.9953225521293094E-2</v>
      </c>
      <c r="AJ4" s="45">
        <f>AVERAGE(AJ11:AJ13)</f>
        <v>375</v>
      </c>
      <c r="AK4" s="45">
        <f>AVERAGE(AK11:AK13)</f>
        <v>5.7115333333333327</v>
      </c>
      <c r="AL4" s="45">
        <f>_xlfn.STDEV.S(AK11:AK13)</f>
        <v>9.5336316969627341E-2</v>
      </c>
      <c r="AM4" s="45">
        <f>AJ4*AK4</f>
        <v>2141.8249999999998</v>
      </c>
      <c r="AN4" s="45">
        <f>AVERAGE(AN11:AN13)</f>
        <v>0.66937849050586917</v>
      </c>
      <c r="AO4" s="45">
        <f>_xlfn.STDEV.S(AN11:AN13)</f>
        <v>4.0095701318599707E-2</v>
      </c>
      <c r="AP4" s="45">
        <f>AVERAGE(AP11:AP13)</f>
        <v>0.59438323457563225</v>
      </c>
      <c r="AQ4" s="45">
        <f>_xlfn.STDEV.S(AP11:AP13)</f>
        <v>9.3255868368572557E-3</v>
      </c>
    </row>
    <row r="5" spans="1:43" x14ac:dyDescent="0.3">
      <c r="C5" s="2" t="s">
        <v>24</v>
      </c>
      <c r="D5" s="45">
        <v>1000</v>
      </c>
      <c r="E5" s="45">
        <f>AVERAGE(E14:E16)</f>
        <v>5.0628000000000002</v>
      </c>
      <c r="F5" s="45">
        <f>_xlfn.STDEV.S(E14:E16)</f>
        <v>0.3166835644614347</v>
      </c>
      <c r="G5" s="45">
        <f>D5*E5</f>
        <v>5062.8</v>
      </c>
      <c r="H5" s="45"/>
      <c r="I5" s="45"/>
      <c r="J5" s="45">
        <f>AVERAGE(J14:J16)</f>
        <v>0.55570793345882719</v>
      </c>
      <c r="K5" s="45">
        <f>_xlfn.STDEV.S(J14:J16)</f>
        <v>7.5224942650512884E-3</v>
      </c>
      <c r="L5" s="45">
        <v>643</v>
      </c>
      <c r="M5" s="45">
        <f>AVERAGE(M14:M16)</f>
        <v>5.3554666666666675</v>
      </c>
      <c r="N5" s="45">
        <f>_xlfn.STDEV.S(M14:M16)</f>
        <v>0.19907750584466694</v>
      </c>
      <c r="O5" s="45">
        <f>L5*M5</f>
        <v>3443.565066666667</v>
      </c>
      <c r="P5" s="45">
        <f>AVERAGE(P14:P16)</f>
        <v>0.68094391885639016</v>
      </c>
      <c r="Q5" s="45">
        <f>_xlfn.STDEV.S(P14:P16)</f>
        <v>1.9271808118181574E-2</v>
      </c>
      <c r="R5" s="45">
        <f>AVERAGE(R14:R16)</f>
        <v>0.5679982558217761</v>
      </c>
      <c r="S5" s="45">
        <f>_xlfn.STDEV.S(R14:R16)</f>
        <v>1.4313793721374177E-3</v>
      </c>
      <c r="T5" s="45">
        <v>405</v>
      </c>
      <c r="U5" s="45">
        <f>AVERAGE(U14:U16)</f>
        <v>7.8053333333333335</v>
      </c>
      <c r="V5" s="45">
        <f>_xlfn.STDEV.S(U14:U16)</f>
        <v>0.30333363369948391</v>
      </c>
      <c r="W5" s="45">
        <f>T5*U5</f>
        <v>3161.16</v>
      </c>
      <c r="X5" s="45">
        <f>AVERAGE(X14:X16)</f>
        <v>0.91916624512329503</v>
      </c>
      <c r="Y5" s="45">
        <f>_xlfn.STDEV.S(X14:X16)</f>
        <v>5.7314420271422473E-2</v>
      </c>
      <c r="Z5" s="45">
        <f>AVERAGE(Z14:Z16)</f>
        <v>0.64886773429333144</v>
      </c>
      <c r="AA5" s="45">
        <f>_xlfn.STDEV.S(Z14:Z16)</f>
        <v>1.3273615742991898E-3</v>
      </c>
      <c r="AB5" s="45">
        <v>400</v>
      </c>
      <c r="AC5" s="45">
        <f>AVERAGE(AC14:AC16)</f>
        <v>8.3533333333333348E-2</v>
      </c>
      <c r="AD5" s="45">
        <f>_xlfn.STDEV.S(AC14:AC16)</f>
        <v>3.7432784204936342E-2</v>
      </c>
      <c r="AE5" s="45">
        <f>AB5*AC5</f>
        <v>33.413333333333341</v>
      </c>
      <c r="AF5" s="45">
        <f>AVERAGE(AF14:AF16)</f>
        <v>9.6039812099025339E-3</v>
      </c>
      <c r="AG5" s="45">
        <f>_xlfn.STDEV.S(AF14:AF16)</f>
        <v>4.0494775899294977E-3</v>
      </c>
      <c r="AH5" s="45">
        <f>AVERAGE(AH14:AH16)</f>
        <v>9.1056219450393154E-3</v>
      </c>
      <c r="AI5" s="45">
        <f>_xlfn.STDEV.S(AH14:AH16)</f>
        <v>2.1038962408834613E-2</v>
      </c>
      <c r="AJ5" s="45">
        <f>AVERAGE(AJ14:AJ16)</f>
        <v>400</v>
      </c>
      <c r="AK5" s="45">
        <f>AVERAGE(AK14:AK16)</f>
        <v>5.9442666666666666</v>
      </c>
      <c r="AL5" s="45">
        <f>_xlfn.STDEV.S(AK14:AK16)</f>
        <v>0.66953408675983928</v>
      </c>
      <c r="AM5" s="45">
        <f>AJ5*AK5</f>
        <v>2377.7066666666665</v>
      </c>
      <c r="AN5" s="45">
        <f>AVERAGE(AN14:AN16)</f>
        <v>0.75462603245460358</v>
      </c>
      <c r="AO5" s="45">
        <f>_xlfn.STDEV.S(AN14:AN16)</f>
        <v>0.11096493398492094</v>
      </c>
      <c r="AP5" s="45">
        <f>AVERAGE(AP14:AP16)</f>
        <v>0.69603950159457806</v>
      </c>
      <c r="AQ5" s="45">
        <f>_xlfn.STDEV.S(AP14:AP16)</f>
        <v>7.5835108967224557E-3</v>
      </c>
    </row>
    <row r="6" spans="1:43" x14ac:dyDescent="0.3">
      <c r="C6" s="2" t="s">
        <v>23</v>
      </c>
      <c r="D6" s="45">
        <f t="shared" ref="D6:AQ6" si="0">AVERAGE(D4:D5)</f>
        <v>1000</v>
      </c>
      <c r="E6" s="45">
        <f t="shared" si="0"/>
        <v>5.000633333333333</v>
      </c>
      <c r="F6" s="45">
        <f t="shared" si="0"/>
        <v>0.28012685247060065</v>
      </c>
      <c r="G6" s="45">
        <f t="shared" si="0"/>
        <v>5000.6333333333332</v>
      </c>
      <c r="H6" s="45" t="e">
        <f t="shared" si="0"/>
        <v>#DIV/0!</v>
      </c>
      <c r="I6" s="45" t="e">
        <f t="shared" si="0"/>
        <v>#DIV/0!</v>
      </c>
      <c r="J6" s="45">
        <f t="shared" si="0"/>
        <v>0.54903394650352377</v>
      </c>
      <c r="K6" s="45">
        <f t="shared" si="0"/>
        <v>6.7272789366924126E-3</v>
      </c>
      <c r="L6" s="45">
        <f t="shared" si="0"/>
        <v>655.5</v>
      </c>
      <c r="M6" s="45">
        <f t="shared" si="0"/>
        <v>5.2019000000000002</v>
      </c>
      <c r="N6" s="45">
        <f t="shared" si="0"/>
        <v>0.17958013805111153</v>
      </c>
      <c r="O6" s="45">
        <f t="shared" si="0"/>
        <v>3407.9258666666669</v>
      </c>
      <c r="P6" s="45">
        <f t="shared" si="0"/>
        <v>0.68253288214185659</v>
      </c>
      <c r="Q6" s="45">
        <f t="shared" si="0"/>
        <v>3.146583408483395E-2</v>
      </c>
      <c r="R6" s="45">
        <f t="shared" si="0"/>
        <v>0.55396901009798638</v>
      </c>
      <c r="S6" s="45">
        <f t="shared" si="0"/>
        <v>4.33413472318811E-3</v>
      </c>
      <c r="T6" s="45">
        <f t="shared" si="0"/>
        <v>407.5</v>
      </c>
      <c r="U6" s="45">
        <f t="shared" si="0"/>
        <v>7.8123666666666658</v>
      </c>
      <c r="V6" s="45">
        <f t="shared" si="0"/>
        <v>0.34792493770082922</v>
      </c>
      <c r="W6" s="45">
        <f t="shared" si="0"/>
        <v>3183.5569999999998</v>
      </c>
      <c r="X6" s="45">
        <f t="shared" si="0"/>
        <v>0.93572356127942369</v>
      </c>
      <c r="Y6" s="45">
        <f t="shared" si="0"/>
        <v>6.6793122471804314E-2</v>
      </c>
      <c r="Z6" s="45">
        <f t="shared" si="0"/>
        <v>0.64926849269074238</v>
      </c>
      <c r="AA6" s="45">
        <f t="shared" si="0"/>
        <v>1.6176489665568287E-3</v>
      </c>
      <c r="AB6" s="45">
        <f t="shared" si="0"/>
        <v>400</v>
      </c>
      <c r="AC6" s="45">
        <f t="shared" si="0"/>
        <v>4.9463333333333345E-2</v>
      </c>
      <c r="AD6" s="45">
        <f t="shared" si="0"/>
        <v>2.0563912963874973E-2</v>
      </c>
      <c r="AE6" s="45">
        <f t="shared" si="0"/>
        <v>19.785333333333337</v>
      </c>
      <c r="AF6" s="45">
        <f t="shared" si="0"/>
        <v>5.7109896829718428E-3</v>
      </c>
      <c r="AG6" s="45">
        <f t="shared" si="0"/>
        <v>2.211779350543635E-3</v>
      </c>
      <c r="AH6" s="45">
        <f t="shared" si="0"/>
        <v>2.9004669671713418E-2</v>
      </c>
      <c r="AI6" s="45">
        <f t="shared" si="0"/>
        <v>2.0496093965063855E-2</v>
      </c>
      <c r="AJ6" s="45">
        <f t="shared" si="0"/>
        <v>387.5</v>
      </c>
      <c r="AK6" s="45">
        <f t="shared" si="0"/>
        <v>5.8278999999999996</v>
      </c>
      <c r="AL6" s="45">
        <f t="shared" si="0"/>
        <v>0.38243520186473329</v>
      </c>
      <c r="AM6" s="45">
        <f t="shared" si="0"/>
        <v>2259.7658333333329</v>
      </c>
      <c r="AN6" s="45">
        <f t="shared" si="0"/>
        <v>0.71200226148023638</v>
      </c>
      <c r="AO6" s="45">
        <f t="shared" si="0"/>
        <v>7.5530317651760326E-2</v>
      </c>
      <c r="AP6" s="45">
        <f t="shared" si="0"/>
        <v>0.64521136808510515</v>
      </c>
      <c r="AQ6" s="45">
        <f t="shared" si="0"/>
        <v>8.4545488667898561E-3</v>
      </c>
    </row>
    <row r="7" spans="1:43" x14ac:dyDescent="0.3">
      <c r="C7" s="12" t="s">
        <v>11</v>
      </c>
      <c r="D7" s="45">
        <f>_xlfn.STDEV.S(D4:D5)</f>
        <v>0</v>
      </c>
      <c r="E7" s="45">
        <f t="shared" ref="E7:AQ7" si="1">_xlfn.STDEV.S(E4:E5)</f>
        <v>8.7916943127527458E-2</v>
      </c>
      <c r="F7" s="45">
        <f t="shared" si="1"/>
        <v>5.1698997893204549E-2</v>
      </c>
      <c r="G7" s="45">
        <f t="shared" si="1"/>
        <v>87.91694312752719</v>
      </c>
      <c r="H7" s="45" t="e">
        <f t="shared" si="1"/>
        <v>#DIV/0!</v>
      </c>
      <c r="I7" s="45" t="e">
        <f t="shared" si="1"/>
        <v>#DIV/0!</v>
      </c>
      <c r="J7" s="45">
        <f t="shared" si="1"/>
        <v>9.4384428672912059E-3</v>
      </c>
      <c r="K7" s="45">
        <f t="shared" si="1"/>
        <v>1.1246043023720969E-3</v>
      </c>
      <c r="L7" s="45">
        <f t="shared" si="1"/>
        <v>17.677669529663689</v>
      </c>
      <c r="M7" s="45">
        <f t="shared" si="1"/>
        <v>0.21717606272842857</v>
      </c>
      <c r="N7" s="45">
        <f t="shared" si="1"/>
        <v>2.7573441964222452E-2</v>
      </c>
      <c r="O7" s="45">
        <f t="shared" si="1"/>
        <v>50.401439992127315</v>
      </c>
      <c r="P7" s="45">
        <f t="shared" si="1"/>
        <v>2.2471334284196115E-3</v>
      </c>
      <c r="Q7" s="45">
        <f t="shared" si="1"/>
        <v>1.7244956901969477E-2</v>
      </c>
      <c r="R7" s="45">
        <f t="shared" si="1"/>
        <v>1.9840349572448089E-2</v>
      </c>
      <c r="S7" s="45">
        <f t="shared" si="1"/>
        <v>4.1051159857069643E-3</v>
      </c>
      <c r="T7" s="45">
        <f t="shared" si="1"/>
        <v>3.5355339059327378</v>
      </c>
      <c r="U7" s="45">
        <f t="shared" si="1"/>
        <v>9.946635388689987E-3</v>
      </c>
      <c r="V7" s="45">
        <f t="shared" si="1"/>
        <v>6.3061626882604277E-2</v>
      </c>
      <c r="W7" s="45">
        <f t="shared" si="1"/>
        <v>31.674141156470117</v>
      </c>
      <c r="X7" s="45">
        <f t="shared" si="1"/>
        <v>2.3415581064496226E-2</v>
      </c>
      <c r="Y7" s="45">
        <f t="shared" si="1"/>
        <v>1.3404909205475742E-2</v>
      </c>
      <c r="Z7" s="45">
        <f t="shared" si="1"/>
        <v>5.6675796085353441E-4</v>
      </c>
      <c r="AA7" s="45">
        <f t="shared" si="1"/>
        <v>4.1052836711667149E-4</v>
      </c>
      <c r="AB7" s="45">
        <f t="shared" si="1"/>
        <v>0</v>
      </c>
      <c r="AC7" s="45">
        <f t="shared" si="1"/>
        <v>4.8182256070051353E-2</v>
      </c>
      <c r="AD7" s="45">
        <f t="shared" si="1"/>
        <v>2.3856186491034454E-2</v>
      </c>
      <c r="AE7" s="45">
        <f t="shared" si="1"/>
        <v>19.272902428020547</v>
      </c>
      <c r="AF7" s="45">
        <f t="shared" si="1"/>
        <v>5.5055214155889272E-3</v>
      </c>
      <c r="AG7" s="45">
        <f t="shared" si="1"/>
        <v>2.5988977736886459E-3</v>
      </c>
      <c r="AH7" s="45">
        <f t="shared" si="1"/>
        <v>2.8141503173372034E-2</v>
      </c>
      <c r="AI7" s="45">
        <f t="shared" si="1"/>
        <v>7.6773191576498458E-4</v>
      </c>
      <c r="AJ7" s="45">
        <f t="shared" si="1"/>
        <v>17.677669529663689</v>
      </c>
      <c r="AK7" s="45">
        <f t="shared" si="1"/>
        <v>0.16456731820814957</v>
      </c>
      <c r="AL7" s="45">
        <f t="shared" si="1"/>
        <v>0.40601913676085105</v>
      </c>
      <c r="AM7" s="45">
        <f t="shared" si="1"/>
        <v>166.79352605758478</v>
      </c>
      <c r="AN7" s="45">
        <f t="shared" si="1"/>
        <v>6.0279114991434769E-2</v>
      </c>
      <c r="AO7" s="45">
        <f t="shared" si="1"/>
        <v>5.0112114995842914E-2</v>
      </c>
      <c r="AP7" s="45">
        <f t="shared" si="1"/>
        <v>7.1881835759206966E-2</v>
      </c>
      <c r="AQ7" s="45">
        <f t="shared" si="1"/>
        <v>1.231833710611247E-3</v>
      </c>
    </row>
    <row r="9" spans="1:43" x14ac:dyDescent="0.3">
      <c r="C9" s="2" t="s">
        <v>22</v>
      </c>
      <c r="D9" s="105" t="s">
        <v>21</v>
      </c>
      <c r="E9" s="106"/>
      <c r="F9" s="106"/>
      <c r="G9" s="106"/>
      <c r="H9" s="106"/>
      <c r="I9" s="106"/>
      <c r="J9" s="106"/>
      <c r="K9" s="107"/>
      <c r="L9" s="108" t="s">
        <v>26</v>
      </c>
      <c r="M9" s="108"/>
      <c r="N9" s="108"/>
      <c r="O9" s="108"/>
      <c r="P9" s="108"/>
      <c r="Q9" s="108"/>
      <c r="R9" s="108"/>
      <c r="S9" s="108"/>
      <c r="T9" s="105" t="s">
        <v>20</v>
      </c>
      <c r="U9" s="106"/>
      <c r="V9" s="106"/>
      <c r="W9" s="106"/>
      <c r="X9" s="106"/>
      <c r="Y9" s="106"/>
      <c r="Z9" s="106"/>
      <c r="AA9" s="107"/>
      <c r="AB9" s="105" t="s">
        <v>19</v>
      </c>
      <c r="AC9" s="106"/>
      <c r="AD9" s="106"/>
      <c r="AE9" s="106"/>
      <c r="AF9" s="106"/>
      <c r="AG9" s="106"/>
      <c r="AH9" s="106"/>
      <c r="AI9" s="107"/>
      <c r="AJ9" s="105" t="s">
        <v>3</v>
      </c>
      <c r="AK9" s="106"/>
      <c r="AL9" s="106"/>
      <c r="AM9" s="106"/>
      <c r="AN9" s="106"/>
      <c r="AO9" s="106"/>
      <c r="AP9" s="106"/>
      <c r="AQ9" s="107"/>
    </row>
    <row r="10" spans="1:43" ht="15.75" customHeight="1" x14ac:dyDescent="0.3">
      <c r="C10" s="2" t="s">
        <v>17</v>
      </c>
      <c r="D10" s="2" t="s">
        <v>16</v>
      </c>
      <c r="E10" s="2" t="s">
        <v>15</v>
      </c>
      <c r="F10" s="2" t="s">
        <v>11</v>
      </c>
      <c r="G10" s="2" t="s">
        <v>14</v>
      </c>
      <c r="H10" s="2" t="s">
        <v>13</v>
      </c>
      <c r="I10" s="2" t="s">
        <v>11</v>
      </c>
      <c r="J10" s="2" t="s">
        <v>12</v>
      </c>
      <c r="K10" s="2" t="s">
        <v>11</v>
      </c>
      <c r="L10" s="2" t="s">
        <v>16</v>
      </c>
      <c r="M10" s="2" t="s">
        <v>15</v>
      </c>
      <c r="N10" s="2" t="s">
        <v>11</v>
      </c>
      <c r="O10" s="2" t="s">
        <v>14</v>
      </c>
      <c r="P10" s="2" t="s">
        <v>13</v>
      </c>
      <c r="Q10" s="2" t="s">
        <v>11</v>
      </c>
      <c r="R10" s="2" t="s">
        <v>12</v>
      </c>
      <c r="S10" s="2" t="s">
        <v>11</v>
      </c>
      <c r="T10" s="2" t="s">
        <v>16</v>
      </c>
      <c r="U10" s="2" t="s">
        <v>15</v>
      </c>
      <c r="V10" s="2" t="s">
        <v>11</v>
      </c>
      <c r="W10" s="2" t="s">
        <v>14</v>
      </c>
      <c r="X10" s="2" t="s">
        <v>13</v>
      </c>
      <c r="Y10" s="2" t="s">
        <v>11</v>
      </c>
      <c r="Z10" s="2" t="s">
        <v>12</v>
      </c>
      <c r="AA10" s="2" t="s">
        <v>11</v>
      </c>
      <c r="AB10" s="2" t="s">
        <v>16</v>
      </c>
      <c r="AC10" s="2" t="s">
        <v>15</v>
      </c>
      <c r="AD10" s="2" t="s">
        <v>11</v>
      </c>
      <c r="AE10" s="2" t="s">
        <v>14</v>
      </c>
      <c r="AF10" s="2" t="s">
        <v>13</v>
      </c>
      <c r="AG10" s="2" t="s">
        <v>11</v>
      </c>
      <c r="AH10" s="2" t="s">
        <v>12</v>
      </c>
      <c r="AI10" s="2" t="s">
        <v>11</v>
      </c>
      <c r="AJ10" s="2" t="s">
        <v>16</v>
      </c>
      <c r="AK10" s="2" t="s">
        <v>15</v>
      </c>
      <c r="AL10" s="2" t="s">
        <v>11</v>
      </c>
      <c r="AM10" s="2" t="s">
        <v>14</v>
      </c>
      <c r="AN10" s="2" t="s">
        <v>13</v>
      </c>
      <c r="AO10" s="2" t="s">
        <v>11</v>
      </c>
      <c r="AP10" s="2" t="s">
        <v>12</v>
      </c>
      <c r="AQ10" s="2" t="s">
        <v>11</v>
      </c>
    </row>
    <row r="11" spans="1:43" x14ac:dyDescent="0.3">
      <c r="C11" s="2" t="s">
        <v>10</v>
      </c>
      <c r="D11" s="45">
        <v>1000</v>
      </c>
      <c r="E11" s="45">
        <f>(0.162*C26-0.098*C30)*$A$2</f>
        <v>4.7612000000000005</v>
      </c>
      <c r="F11" s="45"/>
      <c r="G11" s="45">
        <f t="shared" ref="G11:G16" si="2">D11*E11</f>
        <v>4761.2000000000007</v>
      </c>
      <c r="H11" s="45"/>
      <c r="I11" s="45"/>
      <c r="J11" s="45">
        <f>C26/C22</f>
        <v>0.53580901856763929</v>
      </c>
      <c r="K11" s="45"/>
      <c r="L11" s="45">
        <v>668</v>
      </c>
      <c r="M11" s="45">
        <f>(0.162*D26-0.098*D30)*$A$2</f>
        <v>4.9416000000000002</v>
      </c>
      <c r="N11" s="45"/>
      <c r="O11" s="45">
        <f>L11*M11</f>
        <v>3300.9888000000001</v>
      </c>
      <c r="P11" s="45">
        <f>O11/G11</f>
        <v>0.6933102579181718</v>
      </c>
      <c r="Q11" s="45"/>
      <c r="R11" s="45">
        <f>D26/D22</f>
        <v>0.54721862871927551</v>
      </c>
      <c r="S11" s="45"/>
      <c r="T11" s="45">
        <v>410</v>
      </c>
      <c r="U11" s="45">
        <f>(0.162*E26-0.098*E30)*$A$2</f>
        <v>8.0164000000000009</v>
      </c>
      <c r="V11" s="45"/>
      <c r="W11" s="45">
        <f t="shared" ref="W11:W16" si="3">T11*U11</f>
        <v>3286.7240000000002</v>
      </c>
      <c r="X11" s="45">
        <f t="shared" ref="X11:X16" si="4">W11/O11</f>
        <v>0.99567862817347341</v>
      </c>
      <c r="Y11" s="45"/>
      <c r="Z11" s="45">
        <f>E26/E22</f>
        <v>0.64962121212121215</v>
      </c>
      <c r="AA11" s="45"/>
      <c r="AB11" s="45">
        <v>400</v>
      </c>
      <c r="AC11" s="45">
        <f>(0.162*F26-0.098*F30)*10</f>
        <v>1.3260000000000001E-2</v>
      </c>
      <c r="AD11" s="45"/>
      <c r="AE11" s="45">
        <f t="shared" ref="AE11:AE16" si="5">AB11*AC11</f>
        <v>5.3040000000000003</v>
      </c>
      <c r="AF11" s="45">
        <f t="shared" ref="AF11:AF16" si="6">AE11/O11</f>
        <v>1.6067912741782099E-3</v>
      </c>
      <c r="AG11" s="45"/>
      <c r="AH11" s="45">
        <f>F26/F22</f>
        <v>3.7593984962406013E-2</v>
      </c>
      <c r="AI11" s="45"/>
      <c r="AJ11" s="45">
        <v>375</v>
      </c>
      <c r="AK11" s="45">
        <f>(0.162*G26-0.098*G30)*$A$2</f>
        <v>5.7850000000000001</v>
      </c>
      <c r="AL11" s="45"/>
      <c r="AM11" s="45">
        <f t="shared" ref="AM11:AM16" si="7">AJ11*AK11</f>
        <v>2169.375</v>
      </c>
      <c r="AN11" s="45">
        <f>AM11/W11</f>
        <v>0.66004173152354739</v>
      </c>
      <c r="AO11" s="45"/>
      <c r="AP11" s="45">
        <f>G26/G22</f>
        <v>0.58362989323843417</v>
      </c>
      <c r="AQ11" s="2"/>
    </row>
    <row r="12" spans="1:43" x14ac:dyDescent="0.3">
      <c r="C12" s="2" t="s">
        <v>9</v>
      </c>
      <c r="D12" s="45">
        <v>1000</v>
      </c>
      <c r="E12" s="45">
        <f>(0.162*C27-0.098*C31)*$A$2</f>
        <v>4.8379999999999992</v>
      </c>
      <c r="F12" s="45"/>
      <c r="G12" s="45">
        <f t="shared" si="2"/>
        <v>4837.9999999999991</v>
      </c>
      <c r="H12" s="45"/>
      <c r="I12" s="45"/>
      <c r="J12" s="45">
        <f>C27/C23</f>
        <v>0.5473684210526315</v>
      </c>
      <c r="K12" s="45"/>
      <c r="L12" s="45">
        <v>668</v>
      </c>
      <c r="M12" s="45">
        <f>(0.162*D27-0.098*D31)*$A$2</f>
        <v>5.2324000000000011</v>
      </c>
      <c r="N12" s="45"/>
      <c r="O12" s="45">
        <f t="shared" ref="O12:O16" si="8">L12*M12</f>
        <v>3495.2432000000008</v>
      </c>
      <c r="P12" s="45">
        <f t="shared" ref="P12:P16" si="9">O12/G12</f>
        <v>0.72245622157916523</v>
      </c>
      <c r="Q12" s="45"/>
      <c r="R12" s="45">
        <f>D27/D23</f>
        <v>0.53985507246376818</v>
      </c>
      <c r="S12" s="45"/>
      <c r="T12" s="45">
        <v>410</v>
      </c>
      <c r="U12" s="45">
        <f>(0.162*E27-0.098*E31)*$A$2</f>
        <v>7.3673999999999999</v>
      </c>
      <c r="V12" s="45"/>
      <c r="W12" s="45">
        <f t="shared" si="3"/>
        <v>3020.634</v>
      </c>
      <c r="X12" s="45">
        <f t="shared" si="4"/>
        <v>0.8642128250188712</v>
      </c>
      <c r="Y12" s="45"/>
      <c r="Z12" s="45">
        <f>E27/E23</f>
        <v>0.64778578784757979</v>
      </c>
      <c r="AA12" s="45"/>
      <c r="AB12" s="45">
        <v>400</v>
      </c>
      <c r="AC12" s="45">
        <f>(0.162*F27-0.098*F31)*10</f>
        <v>1.9660000000000004E-2</v>
      </c>
      <c r="AD12" s="45"/>
      <c r="AE12" s="45">
        <f t="shared" si="5"/>
        <v>7.8640000000000017</v>
      </c>
      <c r="AF12" s="45">
        <f t="shared" si="6"/>
        <v>2.2499149701514331E-3</v>
      </c>
      <c r="AG12" s="45"/>
      <c r="AH12" s="45">
        <f>F27/F23</f>
        <v>7.1942446043165464E-2</v>
      </c>
      <c r="AI12" s="45"/>
      <c r="AJ12" s="45">
        <v>375</v>
      </c>
      <c r="AK12" s="45">
        <f>(0.162*G27-0.098*G31)*$A$2</f>
        <v>5.7457999999999991</v>
      </c>
      <c r="AL12" s="45"/>
      <c r="AM12" s="45">
        <f t="shared" si="7"/>
        <v>2154.6749999999997</v>
      </c>
      <c r="AN12" s="45">
        <f t="shared" ref="AN12:AN16" si="10">AM12/W12</f>
        <v>0.71331879333941139</v>
      </c>
      <c r="AO12" s="45"/>
      <c r="AP12" s="45">
        <f>G27/G23</f>
        <v>0.59926918392204631</v>
      </c>
      <c r="AQ12" s="2"/>
    </row>
    <row r="13" spans="1:43" x14ac:dyDescent="0.3">
      <c r="C13" s="2" t="s">
        <v>8</v>
      </c>
      <c r="D13" s="45">
        <v>1000</v>
      </c>
      <c r="E13" s="45">
        <f>(0.162*C28-0.098*C32)*$A$2</f>
        <v>5.2161999999999997</v>
      </c>
      <c r="F13" s="45"/>
      <c r="G13" s="45">
        <f t="shared" si="2"/>
        <v>5216.2</v>
      </c>
      <c r="H13" s="45"/>
      <c r="I13" s="45"/>
      <c r="J13" s="45">
        <f>C28/C24</f>
        <v>0.54390243902439028</v>
      </c>
      <c r="K13" s="45"/>
      <c r="L13" s="45">
        <v>668</v>
      </c>
      <c r="M13" s="45">
        <f>(0.162*D28-0.098*D32)*$A$2</f>
        <v>4.9710000000000001</v>
      </c>
      <c r="N13" s="45"/>
      <c r="O13" s="45">
        <f t="shared" si="8"/>
        <v>3320.6280000000002</v>
      </c>
      <c r="P13" s="45">
        <f t="shared" si="9"/>
        <v>0.63659905678463258</v>
      </c>
      <c r="Q13" s="45"/>
      <c r="R13" s="45">
        <f>D28/D24</f>
        <v>0.53274559193954651</v>
      </c>
      <c r="S13" s="45"/>
      <c r="T13" s="45">
        <v>410</v>
      </c>
      <c r="U13" s="45">
        <f>(0.162*E28-0.098*E32)*$A$2</f>
        <v>8.0743999999999989</v>
      </c>
      <c r="V13" s="45"/>
      <c r="W13" s="45">
        <f t="shared" si="3"/>
        <v>3310.5039999999995</v>
      </c>
      <c r="X13" s="45">
        <f t="shared" si="4"/>
        <v>0.99695117911431186</v>
      </c>
      <c r="Y13" s="45"/>
      <c r="Z13" s="45">
        <f>E28/E24</f>
        <v>0.65160075329566847</v>
      </c>
      <c r="AA13" s="45"/>
      <c r="AB13" s="45">
        <v>400</v>
      </c>
      <c r="AC13" s="45">
        <f>(0.162*F28-0.098*F32)*10</f>
        <v>1.3260000000000001E-2</v>
      </c>
      <c r="AD13" s="45"/>
      <c r="AE13" s="45">
        <f t="shared" si="5"/>
        <v>5.3040000000000003</v>
      </c>
      <c r="AF13" s="45">
        <f t="shared" si="6"/>
        <v>1.5972882237938126E-3</v>
      </c>
      <c r="AG13" s="45"/>
      <c r="AH13" s="45">
        <f>F28/F24</f>
        <v>3.717472118959108E-2</v>
      </c>
      <c r="AI13" s="45"/>
      <c r="AJ13" s="45">
        <v>375</v>
      </c>
      <c r="AK13" s="45">
        <f>(0.162*G28-0.098*G32)*$A$2</f>
        <v>5.6038000000000006</v>
      </c>
      <c r="AL13" s="45"/>
      <c r="AM13" s="45">
        <f t="shared" si="7"/>
        <v>2101.4250000000002</v>
      </c>
      <c r="AN13" s="45">
        <f t="shared" si="10"/>
        <v>0.63477494665464851</v>
      </c>
      <c r="AO13" s="45"/>
      <c r="AP13" s="45">
        <f>G28/G24</f>
        <v>0.60025062656641603</v>
      </c>
      <c r="AQ13" s="2"/>
    </row>
    <row r="14" spans="1:43" x14ac:dyDescent="0.3">
      <c r="C14" s="2" t="s">
        <v>7</v>
      </c>
      <c r="D14" s="45">
        <v>1000</v>
      </c>
      <c r="E14" s="45">
        <f>(0.162*J26-0.098*J30)*$A$2</f>
        <v>4.6972000000000014</v>
      </c>
      <c r="F14" s="45"/>
      <c r="G14" s="45">
        <f t="shared" si="2"/>
        <v>4697.2000000000016</v>
      </c>
      <c r="H14" s="45"/>
      <c r="I14" s="45"/>
      <c r="J14" s="45">
        <f>J26/J22</f>
        <v>0.54722222222222228</v>
      </c>
      <c r="K14" s="45"/>
      <c r="L14" s="45">
        <v>643</v>
      </c>
      <c r="M14" s="45">
        <f>(0.162*K26-0.098*K30)*$A$2</f>
        <v>5.13</v>
      </c>
      <c r="N14" s="45"/>
      <c r="O14" s="45">
        <f t="shared" si="8"/>
        <v>3298.59</v>
      </c>
      <c r="P14" s="45">
        <f t="shared" si="9"/>
        <v>0.70224601890487925</v>
      </c>
      <c r="Q14" s="45"/>
      <c r="R14" s="45">
        <f>K26/K22</f>
        <v>0.56636005256241784</v>
      </c>
      <c r="S14" s="45"/>
      <c r="T14" s="45">
        <v>405</v>
      </c>
      <c r="U14" s="45">
        <f>(0.162*L26-0.098*L30)*$A$2</f>
        <v>7.8650000000000011</v>
      </c>
      <c r="V14" s="45"/>
      <c r="W14" s="45">
        <f t="shared" si="3"/>
        <v>3185.3250000000003</v>
      </c>
      <c r="X14" s="45">
        <f t="shared" si="4"/>
        <v>0.96566260129327985</v>
      </c>
      <c r="Y14" s="45"/>
      <c r="Z14" s="45">
        <f>L26/L22</f>
        <v>0.64734299516908222</v>
      </c>
      <c r="AA14" s="45"/>
      <c r="AB14" s="45">
        <v>400</v>
      </c>
      <c r="AC14" s="45">
        <f>(0.162*M26-0.098*M30)*$A$2</f>
        <v>4.2999999999999997E-2</v>
      </c>
      <c r="AD14" s="45"/>
      <c r="AE14" s="45">
        <f t="shared" si="5"/>
        <v>17.2</v>
      </c>
      <c r="AF14" s="45">
        <f t="shared" si="6"/>
        <v>5.2143491613083157E-3</v>
      </c>
      <c r="AG14" s="45"/>
      <c r="AH14" s="45">
        <f>M26/M22</f>
        <v>-1.5151515151515152E-2</v>
      </c>
      <c r="AI14" s="45"/>
      <c r="AJ14" s="45">
        <v>400</v>
      </c>
      <c r="AK14" s="45">
        <f>(0.162*N26-0.098*N30)*$A$2</f>
        <v>5.3420000000000005</v>
      </c>
      <c r="AL14" s="45"/>
      <c r="AM14" s="45">
        <f t="shared" si="7"/>
        <v>2136.8000000000002</v>
      </c>
      <c r="AN14" s="45">
        <f t="shared" si="10"/>
        <v>0.67082636779606475</v>
      </c>
      <c r="AO14" s="45"/>
      <c r="AP14" s="45">
        <f>N26/N22</f>
        <v>0.69079939668174961</v>
      </c>
      <c r="AQ14" s="2"/>
    </row>
    <row r="15" spans="1:43" x14ac:dyDescent="0.3">
      <c r="C15" s="2" t="s">
        <v>6</v>
      </c>
      <c r="D15" s="45">
        <v>1000</v>
      </c>
      <c r="E15" s="45">
        <f>(0.162*J27-0.098*J31)*$A$2</f>
        <v>5.2520000000000007</v>
      </c>
      <c r="F15" s="45"/>
      <c r="G15" s="45">
        <f t="shared" si="2"/>
        <v>5252.0000000000009</v>
      </c>
      <c r="H15" s="45"/>
      <c r="I15" s="45"/>
      <c r="J15" s="45">
        <f>J27/J23</f>
        <v>0.56155778894472363</v>
      </c>
      <c r="K15" s="45"/>
      <c r="L15" s="45">
        <v>643</v>
      </c>
      <c r="M15" s="45">
        <f>(0.162*K27-0.098*K31)*$A$2</f>
        <v>5.4294000000000011</v>
      </c>
      <c r="N15" s="45"/>
      <c r="O15" s="45">
        <f t="shared" si="8"/>
        <v>3491.1042000000007</v>
      </c>
      <c r="P15" s="45">
        <f t="shared" si="9"/>
        <v>0.66471900228484393</v>
      </c>
      <c r="Q15" s="45"/>
      <c r="R15" s="45">
        <f>K27/K23</f>
        <v>0.56862745098039225</v>
      </c>
      <c r="S15" s="45"/>
      <c r="T15" s="45">
        <v>405</v>
      </c>
      <c r="U15" s="45">
        <f>(0.162*L27-0.098*L31)*$A$2</f>
        <v>8.0743999999999989</v>
      </c>
      <c r="V15" s="45"/>
      <c r="W15" s="45">
        <f t="shared" si="3"/>
        <v>3270.1319999999996</v>
      </c>
      <c r="X15" s="45">
        <f t="shared" si="4"/>
        <v>0.93670420951628974</v>
      </c>
      <c r="Y15" s="45"/>
      <c r="Z15" s="45">
        <f>L27/L23</f>
        <v>0.64976525821596243</v>
      </c>
      <c r="AA15" s="45"/>
      <c r="AB15" s="45">
        <v>400</v>
      </c>
      <c r="AC15" s="45">
        <f>(0.162*M27-0.098*M31)*$A$2</f>
        <v>9.0800000000000006E-2</v>
      </c>
      <c r="AD15" s="45"/>
      <c r="AE15" s="45">
        <f t="shared" si="5"/>
        <v>36.32</v>
      </c>
      <c r="AF15" s="45">
        <f t="shared" si="6"/>
        <v>1.0403585203787384E-2</v>
      </c>
      <c r="AG15" s="45"/>
      <c r="AH15" s="45">
        <f>M27/M23</f>
        <v>2.0080321285140562E-2</v>
      </c>
      <c r="AI15" s="45"/>
      <c r="AJ15" s="45">
        <v>400</v>
      </c>
      <c r="AK15" s="45">
        <f>(0.162*N27-0.098*N31)*$A$2</f>
        <v>5.8256000000000006</v>
      </c>
      <c r="AL15" s="45"/>
      <c r="AM15" s="45">
        <f t="shared" si="7"/>
        <v>2330.2400000000002</v>
      </c>
      <c r="AN15" s="45">
        <f t="shared" si="10"/>
        <v>0.71258285598257209</v>
      </c>
      <c r="AO15" s="45"/>
      <c r="AP15" s="45">
        <f>N27/N23</f>
        <v>0.70473537604456826</v>
      </c>
      <c r="AQ15" s="2"/>
    </row>
    <row r="16" spans="1:43" x14ac:dyDescent="0.3">
      <c r="C16" s="2" t="s">
        <v>5</v>
      </c>
      <c r="D16" s="45">
        <v>1000</v>
      </c>
      <c r="E16" s="45">
        <f>(0.162*J28-0.098*J32)*$A$2</f>
        <v>5.2392000000000003</v>
      </c>
      <c r="F16" s="45"/>
      <c r="G16" s="45">
        <f t="shared" si="2"/>
        <v>5239.2000000000007</v>
      </c>
      <c r="H16" s="45"/>
      <c r="I16" s="45"/>
      <c r="J16" s="45">
        <f>J28/J24</f>
        <v>0.55834378920953576</v>
      </c>
      <c r="K16" s="45"/>
      <c r="L16" s="45">
        <v>643</v>
      </c>
      <c r="M16" s="45">
        <f>(0.162*K28-0.098*K32)*$A$2</f>
        <v>5.5069999999999997</v>
      </c>
      <c r="N16" s="45"/>
      <c r="O16" s="45">
        <f t="shared" si="8"/>
        <v>3541.0009999999997</v>
      </c>
      <c r="P16" s="45">
        <f t="shared" si="9"/>
        <v>0.67586673537944708</v>
      </c>
      <c r="Q16" s="45"/>
      <c r="R16" s="45">
        <f>K28/K24</f>
        <v>0.5690072639225181</v>
      </c>
      <c r="S16" s="45"/>
      <c r="T16" s="45">
        <v>405</v>
      </c>
      <c r="U16" s="45">
        <f>(0.162*L28-0.098*L32)*$A$2</f>
        <v>7.4766000000000012</v>
      </c>
      <c r="V16" s="45"/>
      <c r="W16" s="45">
        <f t="shared" si="3"/>
        <v>3028.0230000000006</v>
      </c>
      <c r="X16" s="45">
        <f t="shared" si="4"/>
        <v>0.85513192456031528</v>
      </c>
      <c r="Y16" s="45"/>
      <c r="Z16" s="45">
        <f>L28/L24</f>
        <v>0.64949494949494957</v>
      </c>
      <c r="AA16" s="45"/>
      <c r="AB16" s="45">
        <v>400</v>
      </c>
      <c r="AC16" s="45">
        <f>(0.162*M28-0.098*M32)*$A$2</f>
        <v>0.11680000000000001</v>
      </c>
      <c r="AD16" s="45"/>
      <c r="AE16" s="45">
        <f t="shared" si="5"/>
        <v>46.720000000000006</v>
      </c>
      <c r="AF16" s="45">
        <f t="shared" si="6"/>
        <v>1.3194009264611901E-2</v>
      </c>
      <c r="AG16" s="45"/>
      <c r="AH16" s="45">
        <f>M28/M24</f>
        <v>2.2388059701492536E-2</v>
      </c>
      <c r="AI16" s="45"/>
      <c r="AJ16" s="45">
        <v>400</v>
      </c>
      <c r="AK16" s="45">
        <f>(0.162*N28-0.098*N32)*$A$2</f>
        <v>6.6651999999999987</v>
      </c>
      <c r="AL16" s="45"/>
      <c r="AM16" s="45">
        <f t="shared" si="7"/>
        <v>2666.0799999999995</v>
      </c>
      <c r="AN16" s="45">
        <f t="shared" si="10"/>
        <v>0.88046887358517389</v>
      </c>
      <c r="AO16" s="45"/>
      <c r="AP16" s="45">
        <f>N28/N24</f>
        <v>0.6925837320574163</v>
      </c>
      <c r="AQ16" s="2"/>
    </row>
    <row r="19" spans="2:21" x14ac:dyDescent="0.3">
      <c r="H19" s="9"/>
      <c r="I19" s="9"/>
    </row>
    <row r="20" spans="2:21" x14ac:dyDescent="0.3">
      <c r="B20" s="105" t="s">
        <v>76</v>
      </c>
      <c r="C20" s="106"/>
      <c r="D20" s="106"/>
      <c r="E20" s="106"/>
      <c r="F20" s="106"/>
      <c r="G20" s="107"/>
      <c r="H20" s="9"/>
      <c r="I20" s="109" t="s">
        <v>77</v>
      </c>
      <c r="J20" s="110"/>
      <c r="K20" s="110"/>
      <c r="L20" s="110"/>
      <c r="M20" s="110"/>
      <c r="N20" s="111"/>
    </row>
    <row r="21" spans="2:21" x14ac:dyDescent="0.3">
      <c r="B21" s="2" t="s">
        <v>45</v>
      </c>
      <c r="C21" s="2" t="s">
        <v>0</v>
      </c>
      <c r="D21" s="12" t="s">
        <v>1</v>
      </c>
      <c r="E21" s="12" t="s">
        <v>2</v>
      </c>
      <c r="F21" s="12" t="s">
        <v>4</v>
      </c>
      <c r="G21" s="12" t="s">
        <v>3</v>
      </c>
      <c r="I21" s="2" t="s">
        <v>45</v>
      </c>
      <c r="J21" s="12" t="s">
        <v>0</v>
      </c>
      <c r="K21" s="12" t="s">
        <v>1</v>
      </c>
      <c r="L21" s="2" t="s">
        <v>2</v>
      </c>
      <c r="M21" s="2" t="s">
        <v>4</v>
      </c>
      <c r="N21" s="2" t="s">
        <v>3</v>
      </c>
      <c r="P21" s="3"/>
      <c r="Q21" s="11"/>
      <c r="R21" s="11"/>
      <c r="S21" s="11"/>
      <c r="T21" s="3"/>
      <c r="U21" s="3"/>
    </row>
    <row r="22" spans="2:21" x14ac:dyDescent="0.3">
      <c r="B22" s="2">
        <v>280</v>
      </c>
      <c r="C22" s="13">
        <v>0.754</v>
      </c>
      <c r="D22" s="13">
        <v>0.77300000000000002</v>
      </c>
      <c r="E22" s="13">
        <v>1.056</v>
      </c>
      <c r="F22" s="2">
        <v>0.26600000000000001</v>
      </c>
      <c r="G22" s="13">
        <v>0.84299999999999997</v>
      </c>
      <c r="I22" s="2">
        <v>280</v>
      </c>
      <c r="J22" s="13">
        <v>0.72</v>
      </c>
      <c r="K22" s="13">
        <v>0.76100000000000001</v>
      </c>
      <c r="L22" s="13">
        <v>1.0349999999999999</v>
      </c>
      <c r="M22" s="13">
        <v>0.26400000000000001</v>
      </c>
      <c r="N22" s="13">
        <v>0.66300000000000003</v>
      </c>
      <c r="P22" s="3"/>
      <c r="Q22" s="1"/>
      <c r="R22" s="1"/>
      <c r="S22" s="1"/>
      <c r="T22" s="3"/>
      <c r="U22" s="3"/>
    </row>
    <row r="23" spans="2:21" x14ac:dyDescent="0.3">
      <c r="B23" s="2">
        <v>280</v>
      </c>
      <c r="C23" s="13">
        <v>0.76</v>
      </c>
      <c r="D23" s="13">
        <v>0.82799999999999996</v>
      </c>
      <c r="E23" s="13">
        <v>0.97099999999999997</v>
      </c>
      <c r="F23" s="2">
        <v>0.27800000000000002</v>
      </c>
      <c r="G23" s="13">
        <v>0.82099999999999995</v>
      </c>
      <c r="I23" s="2">
        <v>280</v>
      </c>
      <c r="J23" s="13">
        <v>0.79600000000000004</v>
      </c>
      <c r="K23" s="13">
        <v>0.81599999999999995</v>
      </c>
      <c r="L23" s="13">
        <v>1.0649999999999999</v>
      </c>
      <c r="M23" s="13">
        <v>0.249</v>
      </c>
      <c r="N23" s="13">
        <v>0.71799999999999997</v>
      </c>
      <c r="P23" s="3"/>
      <c r="Q23" s="1"/>
      <c r="R23" s="1"/>
      <c r="S23" s="1"/>
      <c r="T23" s="3"/>
      <c r="U23" s="3"/>
    </row>
    <row r="24" spans="2:21" x14ac:dyDescent="0.3">
      <c r="B24" s="2">
        <v>280</v>
      </c>
      <c r="C24" s="13">
        <v>0.82</v>
      </c>
      <c r="D24" s="13">
        <v>0.79400000000000004</v>
      </c>
      <c r="E24" s="13">
        <v>1.0620000000000001</v>
      </c>
      <c r="F24" s="2">
        <v>0.26900000000000002</v>
      </c>
      <c r="G24" s="13">
        <v>0.79800000000000004</v>
      </c>
      <c r="I24" s="2">
        <v>280</v>
      </c>
      <c r="J24" s="13">
        <v>0.79700000000000004</v>
      </c>
      <c r="K24" s="13">
        <v>0.82599999999999996</v>
      </c>
      <c r="L24" s="13">
        <v>0.99</v>
      </c>
      <c r="M24" s="13">
        <v>0.26800000000000002</v>
      </c>
      <c r="N24" s="13">
        <v>0.83599999999999997</v>
      </c>
      <c r="P24" s="3"/>
      <c r="Q24" s="1"/>
      <c r="R24" s="1"/>
      <c r="S24" s="1"/>
      <c r="T24" s="3"/>
      <c r="U24" s="3"/>
    </row>
    <row r="25" spans="2:21" x14ac:dyDescent="0.3">
      <c r="B25" s="2"/>
      <c r="C25" s="13"/>
      <c r="D25" s="13"/>
      <c r="E25" s="2"/>
      <c r="F25" s="2"/>
      <c r="G25" s="13"/>
      <c r="I25" s="2"/>
      <c r="J25" s="2"/>
      <c r="K25" s="2"/>
      <c r="L25" s="2"/>
      <c r="M25" s="2"/>
      <c r="N25" s="2"/>
      <c r="P25" s="3"/>
      <c r="Q25" s="3"/>
      <c r="R25" s="3"/>
      <c r="S25" s="3"/>
      <c r="T25" s="3"/>
      <c r="U25" s="3"/>
    </row>
    <row r="26" spans="2:21" x14ac:dyDescent="0.3">
      <c r="B26" s="2">
        <v>620</v>
      </c>
      <c r="C26" s="13">
        <v>0.40400000000000003</v>
      </c>
      <c r="D26" s="13">
        <v>0.42299999999999999</v>
      </c>
      <c r="E26" s="13">
        <v>0.68600000000000005</v>
      </c>
      <c r="F26" s="2">
        <v>0.01</v>
      </c>
      <c r="G26" s="13">
        <v>0.49199999999999999</v>
      </c>
      <c r="I26" s="2">
        <v>620</v>
      </c>
      <c r="J26" s="13">
        <v>0.39400000000000002</v>
      </c>
      <c r="K26" s="13">
        <v>0.43099999999999999</v>
      </c>
      <c r="L26" s="13">
        <v>0.67</v>
      </c>
      <c r="M26" s="13">
        <v>-4.0000000000000001E-3</v>
      </c>
      <c r="N26" s="13">
        <v>0.45800000000000002</v>
      </c>
      <c r="P26" s="3"/>
      <c r="Q26" s="1"/>
      <c r="R26" s="1"/>
      <c r="S26" s="1"/>
      <c r="T26" s="3"/>
      <c r="U26" s="3"/>
    </row>
    <row r="27" spans="2:21" x14ac:dyDescent="0.3">
      <c r="B27" s="2">
        <v>620</v>
      </c>
      <c r="C27" s="13">
        <v>0.41599999999999998</v>
      </c>
      <c r="D27" s="13">
        <v>0.44700000000000001</v>
      </c>
      <c r="E27" s="13">
        <v>0.629</v>
      </c>
      <c r="F27" s="2">
        <v>0.02</v>
      </c>
      <c r="G27" s="13">
        <v>0.49199999999999999</v>
      </c>
      <c r="I27" s="2">
        <v>620</v>
      </c>
      <c r="J27" s="13">
        <v>0.44700000000000001</v>
      </c>
      <c r="K27" s="13">
        <v>0.46400000000000002</v>
      </c>
      <c r="L27" s="13">
        <v>0.69199999999999995</v>
      </c>
      <c r="M27" s="13">
        <v>5.0000000000000001E-3</v>
      </c>
      <c r="N27" s="13">
        <v>0.50600000000000001</v>
      </c>
      <c r="P27" s="3"/>
      <c r="Q27" s="1"/>
      <c r="R27" s="1"/>
      <c r="S27" s="1"/>
      <c r="T27" s="3"/>
      <c r="U27" s="3"/>
    </row>
    <row r="28" spans="2:21" x14ac:dyDescent="0.3">
      <c r="B28" s="2">
        <v>620</v>
      </c>
      <c r="C28" s="13">
        <v>0.44600000000000001</v>
      </c>
      <c r="D28" s="13">
        <v>0.42299999999999999</v>
      </c>
      <c r="E28" s="13">
        <v>0.69199999999999995</v>
      </c>
      <c r="F28" s="2">
        <v>0.01</v>
      </c>
      <c r="G28" s="13">
        <v>0.47899999999999998</v>
      </c>
      <c r="I28" s="2">
        <v>620</v>
      </c>
      <c r="J28" s="13">
        <v>0.44500000000000001</v>
      </c>
      <c r="K28" s="13">
        <v>0.47</v>
      </c>
      <c r="L28" s="13">
        <v>0.64300000000000002</v>
      </c>
      <c r="M28" s="13">
        <v>6.0000000000000001E-3</v>
      </c>
      <c r="N28" s="13">
        <v>0.57899999999999996</v>
      </c>
      <c r="P28" s="3"/>
      <c r="Q28" s="1"/>
      <c r="R28" s="1"/>
      <c r="S28" s="1"/>
      <c r="T28" s="3"/>
      <c r="U28" s="3"/>
    </row>
    <row r="29" spans="2:21" x14ac:dyDescent="0.3">
      <c r="B29" s="2"/>
      <c r="C29" s="13"/>
      <c r="D29" s="13"/>
      <c r="E29" s="2"/>
      <c r="F29" s="2"/>
      <c r="G29" s="13"/>
      <c r="I29" s="2"/>
      <c r="J29" s="13"/>
      <c r="K29" s="13"/>
      <c r="L29" s="13"/>
      <c r="M29" s="13"/>
      <c r="N29" s="13"/>
      <c r="P29" s="3"/>
      <c r="Q29" s="3"/>
      <c r="R29" s="3"/>
      <c r="S29" s="3"/>
      <c r="T29" s="3"/>
      <c r="U29" s="3"/>
    </row>
    <row r="30" spans="2:21" x14ac:dyDescent="0.3">
      <c r="B30" s="2">
        <v>650</v>
      </c>
      <c r="C30" s="13">
        <v>0.182</v>
      </c>
      <c r="D30" s="13">
        <v>0.19500000000000001</v>
      </c>
      <c r="E30" s="13">
        <v>0.316</v>
      </c>
      <c r="F30" s="2">
        <v>3.0000000000000001E-3</v>
      </c>
      <c r="G30" s="13">
        <v>0.223</v>
      </c>
      <c r="I30" s="2">
        <v>650</v>
      </c>
      <c r="J30" s="13">
        <v>0.17199999999999999</v>
      </c>
      <c r="K30" s="13">
        <v>0.189</v>
      </c>
      <c r="L30" s="13">
        <v>0.30499999999999999</v>
      </c>
      <c r="M30" s="13">
        <v>-1.0999999999999999E-2</v>
      </c>
      <c r="N30" s="13">
        <v>0.21199999999999999</v>
      </c>
      <c r="P30" s="3"/>
      <c r="Q30" s="1"/>
      <c r="R30" s="1"/>
      <c r="S30" s="1"/>
      <c r="T30" s="3"/>
      <c r="U30" s="3"/>
    </row>
    <row r="31" spans="2:21" x14ac:dyDescent="0.3">
      <c r="B31" s="2">
        <v>650</v>
      </c>
      <c r="C31" s="13">
        <v>0.19400000000000001</v>
      </c>
      <c r="D31" s="13">
        <v>0.20499999999999999</v>
      </c>
      <c r="E31" s="13">
        <v>0.28799999999999998</v>
      </c>
      <c r="F31" s="2">
        <v>1.2999999999999999E-2</v>
      </c>
      <c r="G31" s="13">
        <v>0.22700000000000001</v>
      </c>
      <c r="I31" s="2">
        <v>650</v>
      </c>
      <c r="J31" s="13">
        <v>0.20300000000000001</v>
      </c>
      <c r="K31" s="13">
        <v>0.21299999999999999</v>
      </c>
      <c r="L31" s="13">
        <v>0.32</v>
      </c>
      <c r="M31" s="13">
        <v>-1E-3</v>
      </c>
      <c r="N31" s="13">
        <v>0.24199999999999999</v>
      </c>
      <c r="P31" s="3"/>
      <c r="Q31" s="1"/>
      <c r="R31" s="1"/>
      <c r="S31" s="1"/>
      <c r="T31" s="3"/>
      <c r="U31" s="3"/>
    </row>
    <row r="32" spans="2:21" x14ac:dyDescent="0.3">
      <c r="B32" s="2">
        <v>650</v>
      </c>
      <c r="C32" s="13">
        <v>0.20499999999999999</v>
      </c>
      <c r="D32" s="13">
        <v>0.192</v>
      </c>
      <c r="E32" s="13">
        <v>0.32</v>
      </c>
      <c r="F32" s="2">
        <v>3.0000000000000001E-3</v>
      </c>
      <c r="G32" s="13">
        <v>0.22</v>
      </c>
      <c r="I32" s="2">
        <v>650</v>
      </c>
      <c r="J32" s="13">
        <v>0.20100000000000001</v>
      </c>
      <c r="K32" s="13">
        <v>0.215</v>
      </c>
      <c r="L32" s="13">
        <v>0.3</v>
      </c>
      <c r="M32" s="13">
        <v>-2E-3</v>
      </c>
      <c r="N32" s="13">
        <v>0.27700000000000002</v>
      </c>
      <c r="Q32" s="1"/>
      <c r="R32" s="1"/>
      <c r="S32" s="1"/>
    </row>
    <row r="33" spans="11:19" x14ac:dyDescent="0.3">
      <c r="K33" s="1"/>
      <c r="L33" s="1"/>
      <c r="S33" s="1"/>
    </row>
  </sheetData>
  <mergeCells count="12">
    <mergeCell ref="B20:G20"/>
    <mergeCell ref="I20:N20"/>
    <mergeCell ref="D9:K9"/>
    <mergeCell ref="T9:AA9"/>
    <mergeCell ref="AB9:AI9"/>
    <mergeCell ref="AJ9:AQ9"/>
    <mergeCell ref="L9:S9"/>
    <mergeCell ref="D2:K2"/>
    <mergeCell ref="L2:S2"/>
    <mergeCell ref="T2:AA2"/>
    <mergeCell ref="AB2:AI2"/>
    <mergeCell ref="AJ2:AQ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46584D94221548B0A15FA545F36AFC" ma:contentTypeVersion="10" ma:contentTypeDescription="Create a new document." ma:contentTypeScope="" ma:versionID="290b5b2a46ad0f8afc2388c418bb707b">
  <xsd:schema xmlns:xsd="http://www.w3.org/2001/XMLSchema" xmlns:xs="http://www.w3.org/2001/XMLSchema" xmlns:p="http://schemas.microsoft.com/office/2006/metadata/properties" xmlns:ns3="63fd02ab-cfc4-4f9e-a638-b2ef7d8e85ad" xmlns:ns4="9e4cadc0-eff7-4d89-90e3-26cb00012714" targetNamespace="http://schemas.microsoft.com/office/2006/metadata/properties" ma:root="true" ma:fieldsID="8732e139883400d1d0542eccae0582b2" ns3:_="" ns4:_="">
    <xsd:import namespace="63fd02ab-cfc4-4f9e-a638-b2ef7d8e85ad"/>
    <xsd:import namespace="9e4cadc0-eff7-4d89-90e3-26cb0001271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fd02ab-cfc4-4f9e-a638-b2ef7d8e85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4cadc0-eff7-4d89-90e3-26cb0001271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AAC2DA-D2EE-4462-BCC3-B8F952FD72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fd02ab-cfc4-4f9e-a638-b2ef7d8e85ad"/>
    <ds:schemaRef ds:uri="9e4cadc0-eff7-4d89-90e3-26cb00012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16BAF0-361B-4578-A38E-7EACAA38BF40}">
  <ds:schemaRefs>
    <ds:schemaRef ds:uri="http://schemas.microsoft.com/sharepoint/v3/contenttype/forms"/>
  </ds:schemaRefs>
</ds:datastoreItem>
</file>

<file path=customXml/itemProps3.xml><?xml version="1.0" encoding="utf-8"?>
<ds:datastoreItem xmlns:ds="http://schemas.openxmlformats.org/officeDocument/2006/customXml" ds:itemID="{01732542-E7DE-4F35-AC5F-589A798DD205}">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3fd02ab-cfc4-4f9e-a638-b2ef7d8e85ad"/>
    <ds:schemaRef ds:uri="http://purl.org/dc/terms/"/>
    <ds:schemaRef ds:uri="9e4cadc0-eff7-4d89-90e3-26cb0001271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Summary; PEG 10000 ATPS results</vt:lpstr>
      <vt:lpstr>Summary of MW study</vt:lpstr>
      <vt:lpstr>Method</vt:lpstr>
      <vt:lpstr>Data (PEG10000 30%-5%-)</vt:lpstr>
      <vt:lpstr>Data (PEG10000 20%-9%-)</vt:lpstr>
      <vt:lpstr>Data (PEG10000 25%-9%-)</vt:lpstr>
      <vt:lpstr>Data (PEG10000 30%-9%-)</vt:lpstr>
      <vt:lpstr>Data (PEG10000 30%-7%-)</vt:lpstr>
      <vt:lpstr>Data (PEG 20000)</vt:lpstr>
      <vt:lpstr>Data (PEG 6000)</vt:lpstr>
      <vt:lpstr>Method!_Ref48126196</vt:lpstr>
      <vt:lpstr>Method!_Ref50632891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Hockey</dc:creator>
  <cp:lastModifiedBy>James Hockey</cp:lastModifiedBy>
  <dcterms:created xsi:type="dcterms:W3CDTF">2019-11-11T13:00:02Z</dcterms:created>
  <dcterms:modified xsi:type="dcterms:W3CDTF">2021-09-06T11:43:51Z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0x0101006546584D94221548B0A15FA545F36AFC</vt:lpwstr>
  </property>
</Properties>
</file>