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meta0"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harpj\Documents\1Masters\¬Publication\Con Sci and Pract\Round 1\"/>
    </mc:Choice>
  </mc:AlternateContent>
  <xr:revisionPtr revIDLastSave="0" documentId="13_ncr:1_{F6540306-AA74-4069-8A83-685B0E21619F}" xr6:coauthVersionLast="47" xr6:coauthVersionMax="47" xr10:uidLastSave="{00000000-0000-0000-0000-000000000000}"/>
  <bookViews>
    <workbookView xWindow="-110" yWindow="-110" windowWidth="19420" windowHeight="10420" xr2:uid="{00000000-000D-0000-FFFF-FFFF00000000}"/>
  </bookViews>
  <sheets>
    <sheet name="Trait Criteria" sheetId="8" r:id="rId1"/>
    <sheet name="Data" sheetId="1" r:id="rId2"/>
    <sheet name="References" sheetId="11" r:id="rId3"/>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4" i="1" l="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3" i="1"/>
  <c r="AK4" i="1"/>
  <c r="AK5" i="1"/>
  <c r="AK6" i="1"/>
  <c r="AK7" i="1"/>
  <c r="AK8" i="1"/>
  <c r="AK9"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3" i="1"/>
  <c r="AC46" i="1" l="1"/>
  <c r="AC45" i="1" s="1"/>
  <c r="O46" i="1" l="1"/>
  <c r="BF46" i="1" l="1"/>
  <c r="BF45" i="1" s="1"/>
  <c r="AY46" i="1"/>
  <c r="AY45" i="1" s="1"/>
  <c r="AT46" i="1"/>
  <c r="AT45" i="1" s="1"/>
  <c r="AP4" i="1"/>
  <c r="AP5" i="1"/>
  <c r="AP6" i="1"/>
  <c r="AP7" i="1"/>
  <c r="AP8" i="1"/>
  <c r="AP9" i="1"/>
  <c r="AP10" i="1"/>
  <c r="AP11" i="1"/>
  <c r="AP12" i="1"/>
  <c r="AP13" i="1"/>
  <c r="AP14" i="1"/>
  <c r="AP15" i="1"/>
  <c r="AP17" i="1"/>
  <c r="AP18" i="1"/>
  <c r="AP19" i="1"/>
  <c r="AP20" i="1"/>
  <c r="AP21" i="1"/>
  <c r="AP22" i="1"/>
  <c r="AP23" i="1"/>
  <c r="AP24" i="1"/>
  <c r="AP25" i="1"/>
  <c r="AP26" i="1"/>
  <c r="AP27" i="1"/>
  <c r="AP28" i="1"/>
  <c r="AP29" i="1"/>
  <c r="AP30" i="1"/>
  <c r="AP33" i="1"/>
  <c r="AP34" i="1"/>
  <c r="AP35" i="1"/>
  <c r="AP36" i="1"/>
  <c r="AP37" i="1"/>
  <c r="AP38" i="1"/>
  <c r="AP39" i="1"/>
  <c r="AP40" i="1"/>
  <c r="AP41" i="1"/>
  <c r="AP42" i="1"/>
  <c r="AP43" i="1"/>
  <c r="AP3" i="1"/>
  <c r="T46" i="1"/>
  <c r="T45" i="1" s="1"/>
  <c r="Z46" i="1"/>
  <c r="Z45" i="1" s="1"/>
  <c r="X25" i="1"/>
  <c r="X26" i="1"/>
  <c r="X27" i="1"/>
  <c r="X28" i="1"/>
  <c r="X29" i="1"/>
  <c r="X30" i="1"/>
  <c r="X31" i="1"/>
  <c r="X32" i="1"/>
  <c r="X33" i="1"/>
  <c r="X34" i="1"/>
  <c r="X35" i="1"/>
  <c r="X36" i="1"/>
  <c r="X37" i="1"/>
  <c r="X38" i="1"/>
  <c r="X39" i="1"/>
  <c r="X40" i="1"/>
  <c r="X41" i="1"/>
  <c r="X42" i="1"/>
  <c r="X43" i="1"/>
  <c r="X5" i="1"/>
  <c r="X6" i="1"/>
  <c r="X7" i="1"/>
  <c r="X8" i="1"/>
  <c r="X9" i="1"/>
  <c r="X10" i="1"/>
  <c r="X11" i="1"/>
  <c r="X12" i="1"/>
  <c r="X13" i="1"/>
  <c r="X14" i="1"/>
  <c r="X15" i="1"/>
  <c r="X16" i="1"/>
  <c r="X17" i="1"/>
  <c r="X18" i="1"/>
  <c r="X19" i="1"/>
  <c r="X20" i="1"/>
  <c r="X21" i="1"/>
  <c r="X22" i="1"/>
  <c r="X23" i="1"/>
  <c r="X24" i="1"/>
  <c r="X4" i="1"/>
  <c r="X3" i="1"/>
  <c r="X46" i="1" s="1"/>
  <c r="X45" i="1" s="1"/>
  <c r="K46" i="1" l="1"/>
  <c r="K45" i="1" s="1"/>
  <c r="AJ46" i="1" l="1"/>
  <c r="AJ45" i="1" s="1"/>
  <c r="BL4" i="1" l="1"/>
  <c r="BL5" i="1"/>
  <c r="BL6" i="1"/>
  <c r="BL7" i="1"/>
  <c r="BL8" i="1"/>
  <c r="BL9" i="1"/>
  <c r="BL10" i="1"/>
  <c r="BL11" i="1"/>
  <c r="BL12" i="1"/>
  <c r="BL13" i="1"/>
  <c r="BL14" i="1"/>
  <c r="BL15" i="1"/>
  <c r="BL16" i="1"/>
  <c r="BL17" i="1"/>
  <c r="BL18" i="1"/>
  <c r="BL19" i="1"/>
  <c r="BL20" i="1"/>
  <c r="BL21" i="1"/>
  <c r="BL22" i="1"/>
  <c r="BL23" i="1"/>
  <c r="BL24" i="1"/>
  <c r="BL25" i="1"/>
  <c r="BL26" i="1"/>
  <c r="BL27" i="1"/>
  <c r="BL28" i="1"/>
  <c r="BL29" i="1"/>
  <c r="BL30" i="1"/>
  <c r="BL31" i="1"/>
  <c r="BL32" i="1"/>
  <c r="BL33" i="1"/>
  <c r="BL34" i="1"/>
  <c r="BL35" i="1"/>
  <c r="BL36" i="1"/>
  <c r="BL37" i="1"/>
  <c r="BL38" i="1"/>
  <c r="BL39" i="1"/>
  <c r="BL40" i="1"/>
  <c r="BL41" i="1"/>
  <c r="BL42" i="1"/>
  <c r="BL43" i="1"/>
  <c r="BL3" i="1"/>
  <c r="CA3" i="1" l="1"/>
  <c r="CB4" i="1"/>
  <c r="CB5" i="1"/>
  <c r="CB6" i="1"/>
  <c r="CB7" i="1"/>
  <c r="CB8" i="1"/>
  <c r="CB9" i="1"/>
  <c r="CB10" i="1"/>
  <c r="CB11" i="1"/>
  <c r="CB12" i="1"/>
  <c r="CB13" i="1"/>
  <c r="CB14" i="1"/>
  <c r="CB15" i="1"/>
  <c r="CB16" i="1"/>
  <c r="CB17" i="1"/>
  <c r="CB18" i="1"/>
  <c r="CB19" i="1"/>
  <c r="CB20" i="1"/>
  <c r="CB22" i="1"/>
  <c r="CB23" i="1"/>
  <c r="CB24" i="1"/>
  <c r="CB25" i="1"/>
  <c r="CB26" i="1"/>
  <c r="CB27" i="1"/>
  <c r="CB28" i="1"/>
  <c r="CB29" i="1"/>
  <c r="CB30" i="1"/>
  <c r="CB31" i="1"/>
  <c r="CB32" i="1"/>
  <c r="CB33" i="1"/>
  <c r="CB34" i="1"/>
  <c r="CB35" i="1"/>
  <c r="CB36" i="1"/>
  <c r="CB37" i="1"/>
  <c r="CB38" i="1"/>
  <c r="CB39" i="1"/>
  <c r="CB40" i="1"/>
  <c r="CB41" i="1"/>
  <c r="CB42" i="1"/>
  <c r="CB43" i="1"/>
  <c r="CB3" i="1"/>
  <c r="CA4" i="1"/>
  <c r="CA5" i="1"/>
  <c r="CA6" i="1"/>
  <c r="CA7" i="1"/>
  <c r="CA8" i="1"/>
  <c r="CA9" i="1"/>
  <c r="CA10" i="1"/>
  <c r="CA11" i="1"/>
  <c r="CA12" i="1"/>
  <c r="CA13" i="1"/>
  <c r="CA14" i="1"/>
  <c r="CA15" i="1"/>
  <c r="CA16" i="1"/>
  <c r="CA17" i="1"/>
  <c r="CA18" i="1"/>
  <c r="CA19" i="1"/>
  <c r="CA20" i="1"/>
  <c r="CA21" i="1"/>
  <c r="CA22" i="1"/>
  <c r="CA23" i="1"/>
  <c r="CA24" i="1"/>
  <c r="CA25" i="1"/>
  <c r="CA26" i="1"/>
  <c r="CA27" i="1"/>
  <c r="CA28" i="1"/>
  <c r="CA29" i="1"/>
  <c r="CA30" i="1"/>
  <c r="CA31" i="1"/>
  <c r="CA32" i="1"/>
  <c r="CA33" i="1"/>
  <c r="CA34" i="1"/>
  <c r="CA35" i="1"/>
  <c r="CA36" i="1"/>
  <c r="CA37" i="1"/>
  <c r="CA38" i="1"/>
  <c r="CA39" i="1"/>
  <c r="CA40" i="1"/>
  <c r="CA41" i="1"/>
  <c r="CA42" i="1"/>
  <c r="CA43" i="1"/>
  <c r="BZ23" i="1"/>
  <c r="BR9" i="1"/>
  <c r="BZ9" i="1" s="1"/>
  <c r="BR7" i="1"/>
  <c r="BZ7" i="1" s="1"/>
  <c r="BR8" i="1"/>
  <c r="BZ8" i="1" s="1"/>
  <c r="AI8" i="1" l="1"/>
  <c r="AI9" i="1"/>
  <c r="AI10" i="1"/>
  <c r="AI11" i="1"/>
  <c r="AI12" i="1"/>
  <c r="AI13" i="1"/>
  <c r="AI14" i="1"/>
  <c r="AI15" i="1"/>
  <c r="AI16" i="1"/>
  <c r="AI17" i="1"/>
  <c r="AI18" i="1"/>
  <c r="AI19" i="1"/>
  <c r="AI20" i="1"/>
  <c r="AI21" i="1"/>
  <c r="AI22" i="1"/>
  <c r="AI23" i="1"/>
  <c r="AI24" i="1"/>
  <c r="AI25" i="1"/>
  <c r="AI26" i="1"/>
  <c r="AI27" i="1"/>
  <c r="AI28" i="1"/>
  <c r="AI29" i="1"/>
  <c r="AI30" i="1"/>
  <c r="AI31" i="1"/>
  <c r="AI32" i="1"/>
  <c r="AI33" i="1"/>
  <c r="AI34" i="1"/>
  <c r="AI35" i="1"/>
  <c r="AI38" i="1"/>
  <c r="AI39" i="1"/>
  <c r="AI40" i="1"/>
  <c r="AI41" i="1"/>
  <c r="AI42" i="1"/>
  <c r="AI7" i="1"/>
  <c r="AI4" i="1"/>
  <c r="AI5" i="1"/>
  <c r="AI3" i="1"/>
  <c r="BQ8" i="1"/>
  <c r="BQ9" i="1"/>
  <c r="BQ10" i="1"/>
  <c r="BQ11" i="1"/>
  <c r="BQ13" i="1"/>
  <c r="BQ14" i="1"/>
  <c r="BQ15" i="1"/>
  <c r="BQ16" i="1"/>
  <c r="BQ17" i="1"/>
  <c r="BQ18" i="1"/>
  <c r="BQ19" i="1"/>
  <c r="BQ20" i="1"/>
  <c r="BQ21" i="1"/>
  <c r="BQ22" i="1"/>
  <c r="BQ23" i="1"/>
  <c r="BQ24" i="1"/>
  <c r="BQ25" i="1"/>
  <c r="BQ26" i="1"/>
  <c r="BQ27" i="1"/>
  <c r="BQ28" i="1"/>
  <c r="BQ29" i="1"/>
  <c r="BQ30" i="1"/>
  <c r="BQ31" i="1"/>
  <c r="BQ32" i="1"/>
  <c r="BQ33" i="1"/>
  <c r="BQ34" i="1"/>
  <c r="BQ35" i="1"/>
  <c r="BQ36" i="1"/>
  <c r="BQ37" i="1"/>
  <c r="BQ38" i="1"/>
  <c r="BQ39" i="1"/>
  <c r="BQ40" i="1"/>
  <c r="BQ41" i="1"/>
  <c r="BQ43" i="1"/>
  <c r="BQ7" i="1"/>
  <c r="Q5" i="1"/>
  <c r="Q6" i="1"/>
  <c r="Q7" i="1"/>
  <c r="Q8" i="1"/>
  <c r="Q9" i="1"/>
  <c r="Q10" i="1"/>
  <c r="Q11" i="1"/>
  <c r="Q12" i="1"/>
  <c r="Q14" i="1"/>
  <c r="Q15" i="1"/>
  <c r="Q17" i="1"/>
  <c r="Q19" i="1"/>
  <c r="Q20" i="1"/>
  <c r="Q21" i="1"/>
  <c r="Q22" i="1"/>
  <c r="Q23" i="1"/>
  <c r="Q24" i="1"/>
  <c r="Q27" i="1"/>
  <c r="Q28" i="1"/>
  <c r="Q30" i="1"/>
  <c r="Q31" i="1"/>
  <c r="Q32" i="1"/>
  <c r="Q33" i="1"/>
  <c r="Q34" i="1"/>
  <c r="Q35" i="1"/>
  <c r="Q37" i="1"/>
  <c r="Q39" i="1"/>
  <c r="Q42" i="1"/>
  <c r="Q43" i="1"/>
  <c r="BR55" i="1" l="1"/>
  <c r="BR54" i="1"/>
  <c r="BR53" i="1"/>
  <c r="AL53" i="1"/>
  <c r="BR52" i="1"/>
  <c r="BR51" i="1"/>
  <c r="BE51" i="1"/>
  <c r="BR50" i="1"/>
  <c r="BR49" i="1"/>
  <c r="BR48" i="1"/>
  <c r="CY46" i="1"/>
  <c r="CY45" i="1" s="1"/>
  <c r="CW46" i="1"/>
  <c r="CW45" i="1" s="1"/>
  <c r="CU46" i="1"/>
  <c r="CU45" i="1" s="1"/>
  <c r="CS46" i="1"/>
  <c r="CS45" i="1" s="1"/>
  <c r="CQ46" i="1"/>
  <c r="CQ45" i="1" s="1"/>
  <c r="CG46" i="1"/>
  <c r="CG45" i="1" s="1"/>
  <c r="CE46" i="1"/>
  <c r="CE45" i="1" s="1"/>
  <c r="BY46" i="1"/>
  <c r="BW46" i="1"/>
  <c r="BW45" i="1" s="1"/>
  <c r="BT46" i="1"/>
  <c r="BT45" i="1" s="1"/>
  <c r="BJ46" i="1"/>
  <c r="BJ45" i="1" s="1"/>
  <c r="BH46" i="1"/>
  <c r="AW46" i="1"/>
  <c r="AW45" i="1" s="1"/>
  <c r="AU46" i="1"/>
  <c r="AU45" i="1" s="1"/>
  <c r="R46" i="1"/>
  <c r="R45" i="1" s="1"/>
  <c r="DA46" i="1"/>
  <c r="DA45" i="1" s="1"/>
  <c r="AG46" i="1"/>
  <c r="AG45" i="1" s="1"/>
  <c r="AD46" i="1"/>
  <c r="AD45" i="1" s="1"/>
  <c r="BO46" i="1"/>
  <c r="BO45" i="1" s="1"/>
  <c r="BN46" i="1"/>
  <c r="BN45" i="1" s="1"/>
  <c r="BM46" i="1"/>
  <c r="BM45" i="1" s="1"/>
  <c r="O45" i="1"/>
  <c r="N46" i="1"/>
  <c r="N45" i="1" s="1"/>
  <c r="M46" i="1"/>
  <c r="M45" i="1" s="1"/>
  <c r="L46" i="1"/>
  <c r="L45" i="1" s="1"/>
  <c r="J46" i="1"/>
  <c r="J45" i="1" s="1"/>
  <c r="I46" i="1"/>
  <c r="I45" i="1" s="1"/>
  <c r="BY45" i="1"/>
  <c r="BH45" i="1"/>
  <c r="BR43" i="1"/>
  <c r="BZ43" i="1" s="1"/>
  <c r="BR42" i="1"/>
  <c r="BZ42" i="1" s="1"/>
  <c r="BR41" i="1"/>
  <c r="BZ41" i="1" s="1"/>
  <c r="BR40" i="1"/>
  <c r="BZ40" i="1" s="1"/>
  <c r="BR39" i="1"/>
  <c r="BZ39" i="1" s="1"/>
  <c r="BR38" i="1"/>
  <c r="BZ38" i="1" s="1"/>
  <c r="BR37" i="1"/>
  <c r="BZ37" i="1" s="1"/>
  <c r="BR36" i="1"/>
  <c r="BZ36" i="1" s="1"/>
  <c r="BR35" i="1"/>
  <c r="BZ35" i="1" s="1"/>
  <c r="BR34" i="1"/>
  <c r="BZ34" i="1" s="1"/>
  <c r="BR33" i="1"/>
  <c r="BZ33" i="1" s="1"/>
  <c r="BR32" i="1"/>
  <c r="BZ32" i="1" s="1"/>
  <c r="AL32" i="1"/>
  <c r="AP32" i="1" s="1"/>
  <c r="BR31" i="1"/>
  <c r="BZ31" i="1" s="1"/>
  <c r="AL31" i="1"/>
  <c r="AP31" i="1" s="1"/>
  <c r="BR30" i="1"/>
  <c r="BZ30" i="1" s="1"/>
  <c r="BR29" i="1"/>
  <c r="BZ29" i="1" s="1"/>
  <c r="BR28" i="1"/>
  <c r="BZ28" i="1" s="1"/>
  <c r="BR27" i="1"/>
  <c r="BZ27" i="1" s="1"/>
  <c r="BR26" i="1"/>
  <c r="BZ26" i="1" s="1"/>
  <c r="BR25" i="1"/>
  <c r="BZ25" i="1" s="1"/>
  <c r="BR24" i="1"/>
  <c r="BZ24" i="1" s="1"/>
  <c r="BR22" i="1"/>
  <c r="BZ22" i="1" s="1"/>
  <c r="BR21" i="1"/>
  <c r="BZ21" i="1" s="1"/>
  <c r="BR20" i="1"/>
  <c r="BZ20" i="1" s="1"/>
  <c r="BR19" i="1"/>
  <c r="BZ19" i="1" s="1"/>
  <c r="BR18" i="1"/>
  <c r="BZ18" i="1" s="1"/>
  <c r="BR17" i="1"/>
  <c r="BZ17" i="1" s="1"/>
  <c r="BR16" i="1"/>
  <c r="BZ16" i="1" s="1"/>
  <c r="AL16" i="1"/>
  <c r="AP16" i="1" s="1"/>
  <c r="BR15" i="1"/>
  <c r="BZ15" i="1" s="1"/>
  <c r="BR14" i="1"/>
  <c r="BZ14" i="1" s="1"/>
  <c r="BR13" i="1"/>
  <c r="BZ13" i="1" s="1"/>
  <c r="BR12" i="1"/>
  <c r="BZ12" i="1" s="1"/>
  <c r="BR11" i="1"/>
  <c r="BZ11" i="1" s="1"/>
  <c r="BR10" i="1"/>
  <c r="BZ10" i="1" s="1"/>
  <c r="BR6" i="1"/>
  <c r="BZ6" i="1" s="1"/>
  <c r="BR5" i="1"/>
  <c r="BZ5" i="1" s="1"/>
  <c r="BR4" i="1"/>
  <c r="BZ4" i="1" s="1"/>
  <c r="BR3" i="1"/>
  <c r="BZ3" i="1" s="1"/>
  <c r="BR46" i="1" l="1"/>
  <c r="BR4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Jack Harper</author>
    <author/>
  </authors>
  <commentList>
    <comment ref="AL1" authorId="0" shapeId="0" xr:uid="{57B616C6-F85F-4859-87AC-5ABDECE907FD}">
      <text>
        <r>
          <rPr>
            <b/>
            <sz val="9"/>
            <color indexed="81"/>
            <rFont val="Tahoma"/>
            <family val="2"/>
          </rPr>
          <t>Jack Harper:</t>
        </r>
        <r>
          <rPr>
            <sz val="9"/>
            <color indexed="81"/>
            <rFont val="Tahoma"/>
            <family val="2"/>
          </rPr>
          <t xml:space="preserve">
Removed as a trait but used used in analysis</t>
        </r>
      </text>
    </comment>
    <comment ref="BC1" authorId="1" shapeId="0" xr:uid="{00000000-0006-0000-0000-000002000000}">
      <text>
        <r>
          <rPr>
            <sz val="11"/>
            <color theme="1"/>
            <rFont val="Arial"/>
            <family val="2"/>
          </rPr>
          <t>Anon:
So I think that your default here for snakes (unless you have other evidence for multiple clutches in a year, should be Yes.
======</t>
        </r>
      </text>
    </comment>
    <comment ref="BD1" authorId="1" shapeId="0" xr:uid="{00000000-0006-0000-0000-000003000000}">
      <text>
        <r>
          <rPr>
            <sz val="11"/>
            <color theme="1"/>
            <rFont val="Arial"/>
            <family val="2"/>
          </rPr>
          <t>Anon:
All of these unknowns are probably No, but limited emperical evidence to support.
======</t>
        </r>
      </text>
    </comment>
    <comment ref="DA1" authorId="1" shapeId="0" xr:uid="{00000000-0006-0000-0000-000001000000}">
      <text>
        <r>
          <rPr>
            <sz val="11"/>
            <color theme="1"/>
            <rFont val="Arial"/>
            <family val="2"/>
          </rPr>
          <t>Anon:
I would be cautious here. Breeding can correlate with environmental variables but we have no studies that can identify if breeding is dependent on those cues. My gut feeling is to say unknown for all, but I realise that doesn’t help you much.
======</t>
        </r>
      </text>
    </comment>
    <comment ref="BD5" authorId="1" shapeId="0" xr:uid="{00000000-0006-0000-0000-00003A000000}">
      <text>
        <r>
          <rPr>
            <sz val="11"/>
            <color theme="1"/>
            <rFont val="Arial"/>
            <family val="2"/>
          </rPr>
          <t>======
ID#AAAAD-LTShI
Jack Harper    (2019-11-26 11:50:02)
Not all females synchronised in reproductive condition (van Wyk 1984)</t>
        </r>
      </text>
    </comment>
    <comment ref="AA7" authorId="1" shapeId="0" xr:uid="{00000000-0006-0000-0000-000004000000}">
      <text>
        <r>
          <rPr>
            <sz val="11"/>
            <color theme="1"/>
            <rFont val="Arial"/>
            <family val="2"/>
          </rPr>
          <t>Anon:
Unknown but probably low given diversity of habitats inhabited. Confident that fire mortalities happen but I have never heard of big die-offs. Gauteng snakes associate with burrows during peak of fire season, possibly to escape fire (G J Alexander Pers Comm).
======</t>
        </r>
      </text>
    </comment>
    <comment ref="AR7" authorId="0" shapeId="0" xr:uid="{60E708F2-F31E-44FD-931A-CC2299F900B3}">
      <text>
        <r>
          <rPr>
            <b/>
            <sz val="9"/>
            <color indexed="81"/>
            <rFont val="Tahoma"/>
            <family val="2"/>
          </rPr>
          <t>Jack Harper:</t>
        </r>
        <r>
          <rPr>
            <sz val="9"/>
            <color indexed="81"/>
            <rFont val="Tahoma"/>
            <family val="2"/>
          </rPr>
          <t xml:space="preserve">
Puff adders are listed as a wide range, but realistically there are a few 10s of species that are suitable prey for them. </t>
        </r>
      </text>
    </comment>
    <comment ref="AZ7" authorId="1" shapeId="0" xr:uid="{00000000-0006-0000-0000-000005000000}">
      <text>
        <r>
          <rPr>
            <sz val="11"/>
            <color theme="1"/>
            <rFont val="Arial"/>
            <family val="2"/>
          </rPr>
          <t>Anon:
Mate searching in Spring in cape
======</t>
        </r>
      </text>
    </comment>
    <comment ref="BA7" authorId="1" shapeId="0" xr:uid="{00000000-0006-0000-0000-000043000000}">
      <text>
        <r>
          <rPr>
            <sz val="11"/>
            <color theme="1"/>
            <rFont val="Arial"/>
            <family val="2"/>
          </rPr>
          <t>======
ID#AAAAD-LTSgk
Jack Harper    (2019-11-26 11:50:02)
Variation across range…but  climate and resource specific to area??</t>
        </r>
      </text>
    </comment>
    <comment ref="AG8" authorId="1" shapeId="0" xr:uid="{00000000-0006-0000-0000-000006000000}">
      <text>
        <r>
          <rPr>
            <sz val="11"/>
            <color theme="1"/>
            <rFont val="Arial"/>
            <family val="2"/>
          </rPr>
          <t>Anon:
Unknown but my guess is no.
======</t>
        </r>
      </text>
    </comment>
    <comment ref="AZ8" authorId="1" shapeId="0" xr:uid="{00000000-0006-0000-0000-000007000000}">
      <text>
        <r>
          <rPr>
            <sz val="11"/>
            <color theme="1"/>
            <rFont val="Arial"/>
            <family val="2"/>
          </rPr>
          <t>Anon:
mating in spring, birth in late summer
======</t>
        </r>
      </text>
    </comment>
    <comment ref="BC9" authorId="1" shapeId="0" xr:uid="{00000000-0006-0000-0000-000008000000}">
      <text>
        <r>
          <rPr>
            <sz val="11"/>
            <color theme="1"/>
            <rFont val="Arial"/>
            <family val="2"/>
          </rPr>
          <t>======
ID#AAAAD-LTSjM
Jack Harper    (2019-11-26 11:50:02)
Jack Harper
Assumption based on lack of evidence otherwise
Probably one. Might skip years. That’s how most vipers do it.</t>
        </r>
      </text>
    </comment>
    <comment ref="BC10" authorId="1" shapeId="0" xr:uid="{00000000-0006-0000-0000-000009000000}">
      <text>
        <r>
          <rPr>
            <sz val="11"/>
            <color theme="1"/>
            <rFont val="Arial"/>
            <family val="2"/>
          </rPr>
          <t>======
ID#AAAAD-LTSik
Jack Harper    (2019-11-26 11:50:02)
Assumption based on "species are known to produce more than 1 batch of young per mating" Marias 2004
I think the mean is likely closer to 1. I think the double clutching reported in literature is rare. Its  not commonly reported.</t>
        </r>
      </text>
    </comment>
    <comment ref="BH10" authorId="1" shapeId="0" xr:uid="{00000000-0006-0000-0000-000012000000}">
      <text>
        <r>
          <rPr>
            <sz val="11"/>
            <color theme="1"/>
            <rFont val="Arial"/>
            <family val="2"/>
          </rPr>
          <t>======
ID#AAAACzJ1Slc
Jack Harper    (2019-12-28 13:01:04)
But by only 10 km</t>
        </r>
      </text>
    </comment>
    <comment ref="AB13" authorId="1" shapeId="0" xr:uid="{00000000-0006-0000-0000-000015000000}">
      <text>
        <r>
          <rPr>
            <sz val="11"/>
            <color theme="1"/>
            <rFont val="Arial"/>
            <family val="2"/>
          </rPr>
          <t>======
ID#AAAAD-LTSlA
Jack Harper    (2019-11-26 11:55:01)
Primarily occur on or among rocks</t>
        </r>
      </text>
    </comment>
    <comment ref="AG13" authorId="1" shapeId="0" xr:uid="{00000000-0006-0000-0000-000011000000}">
      <text>
        <r>
          <rPr>
            <sz val="11"/>
            <color theme="1"/>
            <rFont val="Arial"/>
            <family val="2"/>
          </rPr>
          <t>======
ID#AAAAI3UJGtQ
Jack Harper    (2020-01-15 16:15:21)
I have seen them during foggy days on rocks, especially C niger (but it is hard to say if they they are "reliant"- change terminology?</t>
        </r>
      </text>
    </comment>
    <comment ref="BH14" authorId="1" shapeId="0" xr:uid="{00000000-0006-0000-0000-000013000000}">
      <text>
        <r>
          <rPr>
            <sz val="11"/>
            <color theme="1"/>
            <rFont val="Arial"/>
            <family val="2"/>
          </rPr>
          <t>======
ID#AAAACzJ1SlQ
Jack Harper    (2019-12-28 12:56:19)
Very small population range outside of 10 degrees however</t>
        </r>
      </text>
    </comment>
    <comment ref="BJ14" authorId="1" shapeId="0" xr:uid="{00000000-0006-0000-0000-000036000000}">
      <text>
        <r>
          <rPr>
            <sz val="11"/>
            <color theme="1"/>
            <rFont val="Arial"/>
            <family val="2"/>
          </rPr>
          <t xml:space="preserve">======
ID#AAAAD-LTShY
Jack Harper    (2019-11-26 11:50:02)
* can withstand urbanisation when maintains a resemblance of natural habitats. Considered high as few areas within the urban landscape persist for this species. </t>
        </r>
      </text>
    </comment>
    <comment ref="CW14" authorId="1" shapeId="0" xr:uid="{00000000-0006-0000-0000-000042000000}">
      <text>
        <r>
          <rPr>
            <sz val="11"/>
            <color theme="1"/>
            <rFont val="Arial"/>
            <family val="2"/>
          </rPr>
          <t>======
ID#AAAAD-LTSgo
Jack Harper    (2019-11-26 11:50:02)
ovoviviparous</t>
        </r>
      </text>
    </comment>
    <comment ref="BN15" authorId="1" shapeId="0" xr:uid="{00000000-0006-0000-0000-00000A000000}">
      <text>
        <r>
          <rPr>
            <sz val="11"/>
            <color theme="1"/>
            <rFont val="Arial"/>
            <family val="2"/>
          </rPr>
          <t>Anon:
Changed from Diurnal
======</t>
        </r>
      </text>
    </comment>
    <comment ref="AR16" authorId="1" shapeId="0" xr:uid="{00000000-0006-0000-0000-00000B000000}">
      <text>
        <r>
          <rPr>
            <sz val="11"/>
            <color theme="1"/>
            <rFont val="Arial"/>
            <family val="2"/>
          </rPr>
          <t>Anon:
I am not convinced this should be scored as high. Yes, they only eat bird eggs, but there are several hundred species of birds that breed in the park. .
======</t>
        </r>
      </text>
    </comment>
    <comment ref="BC16" authorId="1" shapeId="0" xr:uid="{00000000-0006-0000-0000-00000C000000}">
      <text>
        <r>
          <rPr>
            <sz val="11"/>
            <color theme="1"/>
            <rFont val="Arial"/>
            <family val="2"/>
          </rPr>
          <t>Anon:
Unknown. I would guess that most females its only once a year, but unclear if double clutching occurs regularly in the wild.
======</t>
        </r>
      </text>
    </comment>
    <comment ref="BT20" authorId="1" shapeId="0" xr:uid="{00000000-0006-0000-0000-000028000000}">
      <text>
        <r>
          <rPr>
            <sz val="11"/>
            <color theme="1"/>
            <rFont val="Arial"/>
            <family val="2"/>
          </rPr>
          <t>======
ID#AAAAD-LTSiY
Jack Harper    (2019-11-26 11:50:02)
fragmented and degraded habitat (IUCN SIS)</t>
        </r>
      </text>
    </comment>
    <comment ref="AB21" authorId="1" shapeId="0" xr:uid="{00000000-0006-0000-0000-00003E000000}">
      <text>
        <r>
          <rPr>
            <sz val="11"/>
            <color theme="1"/>
            <rFont val="Arial"/>
            <family val="2"/>
          </rPr>
          <t>======
ID#AAAAD-LTSg4
Jack Harper    (2019-11-26 11:50:02)
Much of its life spent underground in termite mounds</t>
        </r>
      </text>
    </comment>
    <comment ref="AA22" authorId="1" shapeId="0" xr:uid="{00000000-0006-0000-0000-00000D000000}">
      <text>
        <r>
          <rPr>
            <sz val="11"/>
            <color theme="1"/>
            <rFont val="Arial"/>
            <family val="2"/>
          </rPr>
          <t>Anon:
Agreed unknown but terrestial nature might make them susceptible. Guesswork.
======</t>
        </r>
      </text>
    </comment>
    <comment ref="AB23" authorId="1" shapeId="0" xr:uid="{00000000-0006-0000-0000-000031000000}">
      <text>
        <r>
          <rPr>
            <sz val="11"/>
            <color theme="1"/>
            <rFont val="Arial"/>
            <family val="2"/>
          </rPr>
          <t>======
ID#AAAAD-LTShw
Jack Harper    (2019-11-26 11:50:02)
found in termite mounds</t>
        </r>
      </text>
    </comment>
    <comment ref="BR23" authorId="1" shapeId="0" xr:uid="{00000000-0006-0000-0000-00000E000000}">
      <text>
        <r>
          <rPr>
            <sz val="11"/>
            <color theme="1"/>
            <rFont val="Arial"/>
            <family val="2"/>
          </rPr>
          <t>Anon:
Agreed it is unknown, but likely to be 3-6 based on body size and congeners.
======</t>
        </r>
      </text>
    </comment>
    <comment ref="AH24" authorId="1" shapeId="0" xr:uid="{00000000-0006-0000-0000-00001F000000}">
      <text>
        <r>
          <rPr>
            <sz val="11"/>
            <color theme="1"/>
            <rFont val="Arial"/>
            <family val="2"/>
          </rPr>
          <t>======
ID#AAAAD-LTSjA
Jack Harper    (2019-11-26 11:50:02)
Strictly fossorial</t>
        </r>
      </text>
    </comment>
    <comment ref="AB26" authorId="1" shapeId="0" xr:uid="{00000000-0006-0000-0000-00002C000000}">
      <text>
        <r>
          <rPr>
            <sz val="11"/>
            <color theme="1"/>
            <rFont val="Arial"/>
            <family val="2"/>
          </rPr>
          <t>======
ID#AAAAD-LTSiI
Jack Harper    (2019-11-26 11:50:02)
associated with aquatic habitats</t>
        </r>
      </text>
    </comment>
    <comment ref="CR26" authorId="1" shapeId="0" xr:uid="{00000000-0006-0000-0000-000023000000}">
      <text>
        <r>
          <rPr>
            <sz val="11"/>
            <color theme="1"/>
            <rFont val="Arial"/>
            <family val="2"/>
          </rPr>
          <t>======
ID#AAAAD-LTSis
Jack Harper    (2019-11-26 11:50:02)
associated with aquatic habitats</t>
        </r>
      </text>
    </comment>
    <comment ref="AL28" authorId="1" shapeId="0" xr:uid="{00000000-0006-0000-0000-00000F000000}">
      <text>
        <r>
          <rPr>
            <sz val="11"/>
            <color theme="1"/>
            <rFont val="Arial"/>
            <family val="2"/>
          </rPr>
          <t>Anon:
Our largest measured kalahari animals have SVL measures between 1580 and 1690, with total lengths just short on 2 m. Unclear if cape ones are demonstrably smaller, but we do suspect that there has been selection for larger body size in kalahari animals. Maritz unpublished data. 
======</t>
        </r>
      </text>
    </comment>
    <comment ref="BM28" authorId="1" shapeId="0" xr:uid="{00000000-0006-0000-0000-00003B000000}">
      <text>
        <r>
          <rPr>
            <sz val="11"/>
            <color theme="1"/>
            <rFont val="Arial"/>
            <family val="2"/>
          </rPr>
          <t>======
ID#AAAAD-LTShE
Jack Harper    (2019-11-26 11:50:02)
Tricky mainly active during the day but also early evening</t>
        </r>
      </text>
    </comment>
    <comment ref="BW29" authorId="1" shapeId="0" xr:uid="{00000000-0006-0000-0000-000032000000}">
      <text>
        <r>
          <rPr>
            <sz val="11"/>
            <color theme="1"/>
            <rFont val="Arial"/>
            <family val="2"/>
          </rPr>
          <t>======
ID#AAAAD-LTSh0
Jack Harper    (2019-11-26 11:50:02)
Majority one population however</t>
        </r>
      </text>
    </comment>
    <comment ref="AB30" authorId="1" shapeId="0" xr:uid="{00000000-0006-0000-0000-000024000000}">
      <text>
        <r>
          <rPr>
            <sz val="11"/>
            <color theme="1"/>
            <rFont val="Arial"/>
            <family val="2"/>
          </rPr>
          <t>======
ID#AAAAD-LTSiw
Jack Harper    (2019-11-26 11:50:02)
Semi-aquatic</t>
        </r>
      </text>
    </comment>
    <comment ref="CR30" authorId="1" shapeId="0" xr:uid="{00000000-0006-0000-0000-00002A000000}">
      <text>
        <r>
          <rPr>
            <sz val="11"/>
            <color theme="1"/>
            <rFont val="Arial"/>
            <family val="2"/>
          </rPr>
          <t>======
ID#AAAAD-LTSiQ
Jack Harper    (2019-11-26 11:50:02)
Semi-aquatic</t>
        </r>
      </text>
    </comment>
    <comment ref="DA31" authorId="1" shapeId="0" xr:uid="{00000000-0006-0000-0000-000010000000}">
      <text>
        <r>
          <rPr>
            <sz val="11"/>
            <color theme="1"/>
            <rFont val="Arial"/>
            <family val="2"/>
          </rPr>
          <t>Anon:
I would be cautious here. Seasonal breeding might correspond to these things but we have no real way of checking if they are dependent on it. 
======</t>
        </r>
      </text>
    </comment>
    <comment ref="AB35" authorId="1" shapeId="0" xr:uid="{00000000-0006-0000-0000-000019000000}">
      <text>
        <r>
          <rPr>
            <sz val="11"/>
            <color theme="1"/>
            <rFont val="Arial"/>
            <family val="2"/>
          </rPr>
          <t>======
ID#AAAAD-LTSjg
Jack Harper    (2019-11-26 11:50:02)
Primarily saxicolous</t>
        </r>
      </text>
    </comment>
    <comment ref="AB36" authorId="1" shapeId="0" xr:uid="{00000000-0006-0000-0000-000030000000}">
      <text>
        <r>
          <rPr>
            <sz val="11"/>
            <color theme="1"/>
            <rFont val="Arial"/>
            <family val="2"/>
          </rPr>
          <t>======
ID#AAAAD-LTSh4
Jack Harper    (2019-11-26 11:50:02)
Primarily fossorial</t>
        </r>
      </text>
    </comment>
    <comment ref="AB37" authorId="1" shapeId="0" xr:uid="{00000000-0006-0000-0000-000041000000}">
      <text>
        <r>
          <rPr>
            <sz val="11"/>
            <color theme="1"/>
            <rFont val="Arial"/>
            <family val="2"/>
          </rPr>
          <t>======
ID#AAAAD-LTSgs
Jack Harper    (2019-11-26 11:50:02)
Fossorial</t>
        </r>
      </text>
    </comment>
    <comment ref="BW38" authorId="1" shapeId="0" xr:uid="{00000000-0006-0000-0000-00001A000000}">
      <text>
        <r>
          <rPr>
            <sz val="11"/>
            <color theme="1"/>
            <rFont val="Arial"/>
            <family val="2"/>
          </rPr>
          <t>======
ID#AAAAD-LTSjU
Jack Harper    (2019-11-26 11:50:02)
Majority one population however</t>
        </r>
      </text>
    </comment>
    <comment ref="BO39" authorId="1" shapeId="0" xr:uid="{00000000-0006-0000-0000-000039000000}">
      <text>
        <r>
          <rPr>
            <sz val="11"/>
            <color theme="1"/>
            <rFont val="Arial"/>
            <family val="2"/>
          </rPr>
          <t>======
ID#AAAAD-LTShM
Jack Harper    (2019-11-26 11:50:02)
'Appear to be active'</t>
        </r>
      </text>
    </comment>
    <comment ref="CX40" authorId="1" shapeId="0" xr:uid="{00000000-0006-0000-0000-000027000000}">
      <text>
        <r>
          <rPr>
            <sz val="11"/>
            <color theme="1"/>
            <rFont val="Arial"/>
            <family val="2"/>
          </rPr>
          <t>======
ID#AAAAD-LTSig
Jack Harper    (2019-11-26 11:50:02)
Indicated that oviparous in some of range</t>
        </r>
      </text>
    </comment>
    <comment ref="AB42" authorId="1" shapeId="0" xr:uid="{00000000-0006-0000-0000-000037000000}">
      <text>
        <r>
          <rPr>
            <sz val="11"/>
            <color theme="1"/>
            <rFont val="Arial"/>
            <family val="2"/>
          </rPr>
          <t>======
ID#AAAAD-LTShU
Jack Harper    (2019-11-26 11:50:02)
Saxicolous</t>
        </r>
      </text>
    </comment>
    <comment ref="BH42" authorId="1" shapeId="0" xr:uid="{00000000-0006-0000-0000-000014000000}">
      <text>
        <r>
          <rPr>
            <sz val="11"/>
            <color theme="1"/>
            <rFont val="Arial"/>
            <family val="2"/>
          </rPr>
          <t>======
ID#AAAACzJ1SlM
Jack Harper    (2019-12-28 12:52:49)
Only by small margin.</t>
        </r>
      </text>
    </comment>
    <comment ref="BW42" authorId="1" shapeId="0" xr:uid="{00000000-0006-0000-0000-000018000000}">
      <text>
        <r>
          <rPr>
            <sz val="11"/>
            <color theme="1"/>
            <rFont val="Arial"/>
            <family val="2"/>
          </rPr>
          <t>======
ID#AAAAD-LTSjc
Jack Harper    (2019-11-26 11:50:02)
Majority one population however</t>
        </r>
      </text>
    </comment>
    <comment ref="AB43" authorId="1" shapeId="0" xr:uid="{00000000-0006-0000-0000-000022000000}">
      <text>
        <r>
          <rPr>
            <sz val="11"/>
            <color theme="1"/>
            <rFont val="Arial"/>
            <family val="2"/>
          </rPr>
          <t>======
ID#AAAAD-LTSi4
Jack Harper    (2019-11-26 11:50:02)
Fossorial</t>
        </r>
      </text>
    </comment>
    <comment ref="CR43" authorId="1" shapeId="0" xr:uid="{00000000-0006-0000-0000-000033000000}">
      <text>
        <r>
          <rPr>
            <sz val="11"/>
            <color theme="1"/>
            <rFont val="Arial"/>
            <family val="2"/>
          </rPr>
          <t>======
ID#AAAAD-LTShs
Jack Harper    (2019-11-26 11:50:02)
Forced to surface when soil becomes water logged</t>
        </r>
      </text>
    </comment>
    <comment ref="BJ52" authorId="1" shapeId="0" xr:uid="{00000000-0006-0000-0000-00001C000000}">
      <text>
        <r>
          <rPr>
            <sz val="11"/>
            <color theme="1"/>
            <rFont val="Arial"/>
            <family val="2"/>
          </rPr>
          <t>======
ID#AAAAD-LTSjQ
Jack Harper    (2019-11-26 11:50:02)
Tricky as does occur in peri-urban areas but urbanisation deemed to be causing declines in numbers.</t>
        </r>
      </text>
    </comment>
    <comment ref="BB53" authorId="1" shapeId="0" xr:uid="{00000000-0006-0000-0000-00001D000000}">
      <text>
        <r>
          <rPr>
            <sz val="11"/>
            <color theme="1"/>
            <rFont val="Arial"/>
            <family val="2"/>
          </rPr>
          <t>======
ID#AAAAD-LTSjI
Jack Harper    (2019-11-26 11:50:02)
Jack Harper
Assumption based on lack of evidence otherwise</t>
        </r>
      </text>
    </comment>
    <comment ref="BB55" authorId="1" shapeId="0" xr:uid="{00000000-0006-0000-0000-000017000000}">
      <text>
        <r>
          <rPr>
            <sz val="11"/>
            <color theme="1"/>
            <rFont val="Arial"/>
            <family val="2"/>
          </rPr>
          <t>======
ID#AAAAD-LTSjk
Jack Harper    (2019-11-26 11:50:02)
Jack Harper
Assumption based on lack of evidence otherwise</t>
        </r>
      </text>
    </comment>
  </commentList>
  <extLst>
    <ext xmlns:r="http://schemas.openxmlformats.org/officeDocument/2006/relationships" uri="GoogleSheetsCustomDataVersion1">
      <go:sheetsCustomData xmlns:go="http://customooxmlschemas.google.com/" r:id="rId1" roundtripDataSignature="AMtx7mgJoiHz6ApEvr4PHq7MA/MFAur+Jw=="/>
    </ext>
  </extLst>
</comments>
</file>

<file path=xl/sharedStrings.xml><?xml version="1.0" encoding="utf-8"?>
<sst xmlns="http://schemas.openxmlformats.org/spreadsheetml/2006/main" count="3542" uniqueCount="923">
  <si>
    <t>S2: Sources</t>
  </si>
  <si>
    <t>Foraging Period</t>
  </si>
  <si>
    <t>Foraging mode</t>
  </si>
  <si>
    <t>Male SVL Max</t>
  </si>
  <si>
    <t>Female SVL Max</t>
  </si>
  <si>
    <t>Diet details</t>
  </si>
  <si>
    <t xml:space="preserve">b. Maximum/mean number of clutches per year. </t>
  </si>
  <si>
    <t>c. Species only reproduces once or less per year regardless (Yes/No)</t>
  </si>
  <si>
    <t>d. Species has synchronous breeding (all individuals at the same time) (Yes/No)</t>
  </si>
  <si>
    <t>Low Adaptive Capacity</t>
  </si>
  <si>
    <t>L3d: Population size</t>
  </si>
  <si>
    <t>Age at first maturity (Months)</t>
  </si>
  <si>
    <t>Source</t>
  </si>
  <si>
    <t xml:space="preserve">Negative interactions with present pressures </t>
  </si>
  <si>
    <t>Rarity /population trend</t>
  </si>
  <si>
    <t>extent of occurrence</t>
  </si>
  <si>
    <t>Area of occurrence</t>
  </si>
  <si>
    <t xml:space="preserve">S6: Tolerance to flooding/waterlogging </t>
  </si>
  <si>
    <t>S6: Source</t>
  </si>
  <si>
    <t xml:space="preserve">S7: Temperature Dependent Sex Determination </t>
  </si>
  <si>
    <t>S7: Source</t>
  </si>
  <si>
    <t>S10: Interspecific habitat creation/modification</t>
  </si>
  <si>
    <t>Full name</t>
  </si>
  <si>
    <t>Family</t>
  </si>
  <si>
    <t>Genus</t>
  </si>
  <si>
    <t>Species</t>
  </si>
  <si>
    <t>Synonyms</t>
  </si>
  <si>
    <t>Common names (Eng)</t>
  </si>
  <si>
    <t>Number of substrate types</t>
  </si>
  <si>
    <t xml:space="preserve">Fossorial </t>
  </si>
  <si>
    <t>Saxicolous</t>
  </si>
  <si>
    <t>Arboreal</t>
  </si>
  <si>
    <t xml:space="preserve">Terrestrial </t>
  </si>
  <si>
    <t>Under dead organic matter</t>
  </si>
  <si>
    <t>Semi‐aquatic</t>
  </si>
  <si>
    <t>Termite mounds</t>
  </si>
  <si>
    <t>Acontias meleagris</t>
  </si>
  <si>
    <t>Scincidae</t>
  </si>
  <si>
    <t>Acontias</t>
  </si>
  <si>
    <t>meleagris</t>
  </si>
  <si>
    <t>Anguis meleagris</t>
  </si>
  <si>
    <t>Cape Legless Skink</t>
  </si>
  <si>
    <t>Y</t>
  </si>
  <si>
    <t>N</t>
  </si>
  <si>
    <t>Branch 1998, Meiri 2018</t>
  </si>
  <si>
    <t>Withers 1981</t>
  </si>
  <si>
    <t>Medium</t>
  </si>
  <si>
    <t>Workshop</t>
  </si>
  <si>
    <t>No</t>
  </si>
  <si>
    <t xml:space="preserve">Cathemeral </t>
  </si>
  <si>
    <t>Fossorial</t>
  </si>
  <si>
    <t xml:space="preserve">No, unlikely as strictly fossorial </t>
  </si>
  <si>
    <t>Maritz and Alexander 2008</t>
  </si>
  <si>
    <t>Turner pers.comms</t>
  </si>
  <si>
    <t>Unknown</t>
  </si>
  <si>
    <t>Heideman et al 2008</t>
  </si>
  <si>
    <t>Yes</t>
  </si>
  <si>
    <t>Unlikely - Workshop</t>
  </si>
  <si>
    <t>Small inverts and other borrowing species (Small ground dwelling inverts</t>
  </si>
  <si>
    <t>Branch 1998*inferred from group description</t>
  </si>
  <si>
    <t>No, 0 - 1400m</t>
  </si>
  <si>
    <t>Endemic to SA</t>
  </si>
  <si>
    <t xml:space="preserve">Once a year not synchronous </t>
  </si>
  <si>
    <t>_,_,Workshop,Workshop</t>
  </si>
  <si>
    <t>Meiri 2018 * no clutches uncertain</t>
  </si>
  <si>
    <t>Engelbrecht et al. 2013</t>
  </si>
  <si>
    <t>IUCN range maps</t>
  </si>
  <si>
    <t>Mesquita et al 2016</t>
  </si>
  <si>
    <t>Stable (SIS IUCN)</t>
  </si>
  <si>
    <t>Low</t>
  </si>
  <si>
    <t>Viviparous</t>
  </si>
  <si>
    <t>Reptile-Database</t>
  </si>
  <si>
    <t>Unknown Low (0.1km per year)</t>
  </si>
  <si>
    <t>Afrogecko porphyreus</t>
  </si>
  <si>
    <t>Gekkonidae</t>
  </si>
  <si>
    <t>Afrogecko</t>
  </si>
  <si>
    <t>porphyreus</t>
  </si>
  <si>
    <t>Marbled Leaf-toed Gecko</t>
  </si>
  <si>
    <t>Tolley pers. comms. - meduim because associated with urban environments also</t>
  </si>
  <si>
    <t xml:space="preserve">Nocturnal </t>
  </si>
  <si>
    <t>Active</t>
  </si>
  <si>
    <t>Branch 1998</t>
  </si>
  <si>
    <t>No, Reduced activity during winter months</t>
  </si>
  <si>
    <t>Tolley pers. comms</t>
  </si>
  <si>
    <t>TBD</t>
  </si>
  <si>
    <t xml:space="preserve">Insectivorous generalist </t>
  </si>
  <si>
    <t>Branch 1998, Alexander &amp; Marais 2007</t>
  </si>
  <si>
    <t>Oviparous</t>
  </si>
  <si>
    <t>UCL museum</t>
  </si>
  <si>
    <t>Species has invaded South Atlantic islands and potentially the North Cape via human transport</t>
  </si>
  <si>
    <t>IUCN SIS</t>
  </si>
  <si>
    <t>Agama atra</t>
  </si>
  <si>
    <t>Agamidae</t>
  </si>
  <si>
    <t>Agama</t>
  </si>
  <si>
    <t>atra</t>
  </si>
  <si>
    <t>Southern Rock agama</t>
  </si>
  <si>
    <t>Tolley pers. comms - likely to affected by lack of fire</t>
  </si>
  <si>
    <t>Diurnal</t>
  </si>
  <si>
    <t>Sit and wait</t>
  </si>
  <si>
    <t>Unknown - Unclear, Seasonal development of gonadogenesis - although likely to down to food availability rather than enviro ques directly</t>
  </si>
  <si>
    <t>van Wyk 1984, Mouton 1994</t>
  </si>
  <si>
    <t>Mostly ants and termites - but beetles, grass hoppers, and intertidal arthropods also taken</t>
  </si>
  <si>
    <t>No, 0 to at least 2200m</t>
  </si>
  <si>
    <t>Red Atlas 2014</t>
  </si>
  <si>
    <t>Multinational</t>
  </si>
  <si>
    <t>Iteroparous</t>
  </si>
  <si>
    <t>Two distinct breeding periods - Oct/Nov and Jan/Feb</t>
  </si>
  <si>
    <t>No, spring-summer</t>
  </si>
  <si>
    <r>
      <rPr>
        <sz val="11"/>
        <color theme="1"/>
        <rFont val="Times New Roman"/>
        <family val="1"/>
      </rPr>
      <t>≥</t>
    </r>
    <r>
      <rPr>
        <sz val="11"/>
        <color theme="1"/>
        <rFont val="Calibri"/>
        <family val="2"/>
      </rPr>
      <t>2</t>
    </r>
  </si>
  <si>
    <t>Amplorhinus multimaculatus</t>
  </si>
  <si>
    <t>Lamprophiidae</t>
  </si>
  <si>
    <t>Amplorhinus</t>
  </si>
  <si>
    <t>multimaculatus</t>
  </si>
  <si>
    <t>Cape Many-spotted Snake/Many-spotted Snake</t>
  </si>
  <si>
    <t xml:space="preserve">Diurnal </t>
  </si>
  <si>
    <t>Frogs, lizards and rodents in riverine vegetation</t>
  </si>
  <si>
    <t>Branch 1998, Marais 2004</t>
  </si>
  <si>
    <t xml:space="preserve">Breeds in late summer </t>
  </si>
  <si>
    <t>Branch 1998, Maritz pers. comms, Marais 2004,_,_</t>
  </si>
  <si>
    <t>Marais 2004</t>
  </si>
  <si>
    <t>Branch 1984</t>
  </si>
  <si>
    <t>Bitis arietans</t>
  </si>
  <si>
    <t>Viperidae</t>
  </si>
  <si>
    <t>Bitis</t>
  </si>
  <si>
    <t>arietans</t>
  </si>
  <si>
    <t>Puff Adder</t>
  </si>
  <si>
    <t>Branch 1998, Red Atlas 2014, Marais 2004</t>
  </si>
  <si>
    <t>G J Alexander pers. comms</t>
  </si>
  <si>
    <t>Cathemeral</t>
  </si>
  <si>
    <t>Miller et al 2015</t>
  </si>
  <si>
    <t>Glaudas et al 2019</t>
  </si>
  <si>
    <t>Wide range</t>
  </si>
  <si>
    <t>Variation in mating time across range but mate once a season</t>
  </si>
  <si>
    <t>No, Well defined seasonal cycles with seasonally defined mating and birthing.</t>
  </si>
  <si>
    <t>&lt;1</t>
  </si>
  <si>
    <t>Branch 1998, Marais 2004, Scharf 2015</t>
  </si>
  <si>
    <t>Bitis armata</t>
  </si>
  <si>
    <t>armata</t>
  </si>
  <si>
    <t>Southern Adder</t>
  </si>
  <si>
    <t xml:space="preserve">High </t>
  </si>
  <si>
    <t>Marais 2004, Branch 1998</t>
  </si>
  <si>
    <t>Maritz pers. comms</t>
  </si>
  <si>
    <t>Skinks, Lacertids, and rodents</t>
  </si>
  <si>
    <t xml:space="preserve">0-300 m </t>
  </si>
  <si>
    <t>Endemic to CFK</t>
  </si>
  <si>
    <t xml:space="preserve">Mate in spring and births in late summer </t>
  </si>
  <si>
    <t>Branch 1998, Marais 2004,Maritz pers. comms,_</t>
  </si>
  <si>
    <t>Decreasing (SIS IUCN)</t>
  </si>
  <si>
    <t>17, 421</t>
  </si>
  <si>
    <t>Branch 1998, Pyron and Burbrink 2014</t>
  </si>
  <si>
    <t>Bitis atropos</t>
  </si>
  <si>
    <t>atropos</t>
  </si>
  <si>
    <t>Berg Adder</t>
  </si>
  <si>
    <t>Scharf 2015, Branch 1998</t>
  </si>
  <si>
    <t>Amphibians eaten as juveniles + Adults also take rodents and lizards</t>
  </si>
  <si>
    <t xml:space="preserve">No, 250-3000m </t>
  </si>
  <si>
    <t>Branch 1998, Marais 2005, Tolley pers. comms.</t>
  </si>
  <si>
    <t>Mating occurs in late autumn, birth in late summer, females can produce more than one batch from single mating</t>
  </si>
  <si>
    <t>Branch 1998, Marais 2004, Maritz pers. comms</t>
  </si>
  <si>
    <t>Pyron and Burbrink 2014</t>
  </si>
  <si>
    <t>Bradypodion pumilum</t>
  </si>
  <si>
    <t>Chamaeleonidae</t>
  </si>
  <si>
    <t>Bradypodion</t>
  </si>
  <si>
    <t>pumilum</t>
  </si>
  <si>
    <t>Cape Dwarf chameleon</t>
  </si>
  <si>
    <t>Mixed</t>
  </si>
  <si>
    <t>Butler 2005</t>
  </si>
  <si>
    <t>Turner pers. comms</t>
  </si>
  <si>
    <t>Alexander &amp; Marais 2007</t>
  </si>
  <si>
    <t>Unknown - Unclear, cue to breeding likely to be body condition - linked to prey availability - linked to environmental conditions - linked to climate change</t>
  </si>
  <si>
    <t>Variety of arthropods</t>
  </si>
  <si>
    <t>Measey et al 2011, Alexander &amp; Marais 2007</t>
  </si>
  <si>
    <t>Multiple annual clutches</t>
  </si>
  <si>
    <t>Tolley &amp; Burger 2007, Scharf 2015</t>
  </si>
  <si>
    <t>Scharf et al 2015</t>
  </si>
  <si>
    <t>Decreasing (Tolley 2017 IUCN)</t>
  </si>
  <si>
    <t xml:space="preserve">Low dispersal ability across unsuitable habitats </t>
  </si>
  <si>
    <t>NSSL</t>
  </si>
  <si>
    <t>Chamaesaura anguina</t>
  </si>
  <si>
    <t>Cordylidae</t>
  </si>
  <si>
    <t>Chamaesaura</t>
  </si>
  <si>
    <t>anguina</t>
  </si>
  <si>
    <t>Chamaesaura a. anguina</t>
  </si>
  <si>
    <t>Cape Grass Lizard</t>
  </si>
  <si>
    <t>du Toit 2001</t>
  </si>
  <si>
    <t>Exclusively Arthropods but wide range of groups</t>
  </si>
  <si>
    <t xml:space="preserve">No, 0-1550m </t>
  </si>
  <si>
    <t xml:space="preserve">Reproduce anytime during summer </t>
  </si>
  <si>
    <t xml:space="preserve">du Toit 2001 </t>
  </si>
  <si>
    <t>Chersina angulata</t>
  </si>
  <si>
    <t>Testudinidae</t>
  </si>
  <si>
    <t>Chersina</t>
  </si>
  <si>
    <t>angulata</t>
  </si>
  <si>
    <t>Angulate tortoise</t>
  </si>
  <si>
    <t>Brief resting period in January, Average activity time in summer as low as 1.75%</t>
  </si>
  <si>
    <t>Alexander &amp; Marais 2007, Ramsay et al 2002</t>
  </si>
  <si>
    <t xml:space="preserve">Yes, Hatchlings emerge after the first winter rains </t>
  </si>
  <si>
    <t xml:space="preserve">The diet is diverse and consists of angiosperms (mostly herbs and grasses), mosses, mushrooms, insects, snail shells, and animal faeces </t>
  </si>
  <si>
    <t xml:space="preserve">No, 0-1200m </t>
  </si>
  <si>
    <t>Females gravid for much of the year and have variable laying time - can lay 4-6 times a year.</t>
  </si>
  <si>
    <t xml:space="preserve">Alexander &amp; Marais 2007, Branch 1998 </t>
  </si>
  <si>
    <t>Lesia et al 2003</t>
  </si>
  <si>
    <t>Bohm et al 2016 *need to find orginal source</t>
  </si>
  <si>
    <t>SANBI* check branch</t>
  </si>
  <si>
    <t>Cordylus cordylus</t>
  </si>
  <si>
    <t>Cordylus</t>
  </si>
  <si>
    <t>cordylus</t>
  </si>
  <si>
    <t>Cape Girdled Lizard</t>
  </si>
  <si>
    <t>Clusella-Trullas et al 2009</t>
  </si>
  <si>
    <t>Generalist diet</t>
  </si>
  <si>
    <t>Reproduce during mid- to late summer on one occasion</t>
  </si>
  <si>
    <t>Scharf 2015</t>
  </si>
  <si>
    <t>Branch 1998,Pyron and Burbrink 2014</t>
  </si>
  <si>
    <t>Cordylus niger</t>
  </si>
  <si>
    <t>niger</t>
  </si>
  <si>
    <t>Black Girdled Lizard</t>
  </si>
  <si>
    <t>No, Occurs in dense colonies in rocky areas from sea level to mountain tops</t>
  </si>
  <si>
    <t>Cordes and Mouton 1996</t>
  </si>
  <si>
    <t xml:space="preserve">Reproduction is in autumn - assumed on one occasion </t>
  </si>
  <si>
    <t>Engelbrecht et al. 2011</t>
  </si>
  <si>
    <t>Unknown (SIS IUCN)</t>
  </si>
  <si>
    <t>Crotaphopeltis hotamboeia</t>
  </si>
  <si>
    <t>Colubridae</t>
  </si>
  <si>
    <t>Crotaphopeltis</t>
  </si>
  <si>
    <t>hotamboeia</t>
  </si>
  <si>
    <t>Herald or Red-lipped Snake</t>
  </si>
  <si>
    <t>Nocturnal</t>
  </si>
  <si>
    <t>Marais 2004, Keogh 2000</t>
  </si>
  <si>
    <t>Keogh 2000</t>
  </si>
  <si>
    <t>Keogh et al 2000</t>
  </si>
  <si>
    <t xml:space="preserve">Suggested multiple clutches per year + mating in autumn and spring </t>
  </si>
  <si>
    <t>&gt;1</t>
  </si>
  <si>
    <t>Marais 2004 * no clutches uncertain</t>
  </si>
  <si>
    <t>Dasypeltis scabra</t>
  </si>
  <si>
    <t>Dasypeltis</t>
  </si>
  <si>
    <t>scabra</t>
  </si>
  <si>
    <t>Rhombic Egg-eating snake</t>
  </si>
  <si>
    <t>Bird eggs only - but not species specific</t>
  </si>
  <si>
    <t>Marais 2004, Maritz pers. comms</t>
  </si>
  <si>
    <t>Lay in summer - captive specimens seen to produce 2 clutches per season</t>
  </si>
  <si>
    <t>Branch 1998, Maritz pers. comms</t>
  </si>
  <si>
    <t>Dispholidus typus</t>
  </si>
  <si>
    <t>Dispholidus</t>
  </si>
  <si>
    <t>typus</t>
  </si>
  <si>
    <t>Boomslang</t>
  </si>
  <si>
    <t>Smith et al. 2019, Branch 1998</t>
  </si>
  <si>
    <t>Primarily on prey with limited mobility e.g. chameleons and nesting birds</t>
  </si>
  <si>
    <t>Smith et al 2019, Marias 2004</t>
  </si>
  <si>
    <t>Lay from late spring to mid summer</t>
  </si>
  <si>
    <t>Duberria lutrix</t>
  </si>
  <si>
    <t>Pseudoxyrhophiidae</t>
  </si>
  <si>
    <t>Duberria</t>
  </si>
  <si>
    <t>lutrix</t>
  </si>
  <si>
    <t>South African Slug-eater/Common Slug-eater</t>
  </si>
  <si>
    <t>Low, exclusively slugs and snails (including introduced species)</t>
  </si>
  <si>
    <t>Marais 2004, Red Atlas 2014, Maritz pers. comms</t>
  </si>
  <si>
    <t xml:space="preserve">Offspring born in late summer </t>
  </si>
  <si>
    <t>Gerrhosaurus flavigularis</t>
  </si>
  <si>
    <t>Gerrhosauridae</t>
  </si>
  <si>
    <t>Gerrhosaurus</t>
  </si>
  <si>
    <t>flavigularis</t>
  </si>
  <si>
    <t xml:space="preserve">Yellow-throated Plated Lizard </t>
  </si>
  <si>
    <t>Meiri 2018</t>
  </si>
  <si>
    <t xml:space="preserve">Grasshoppers, termites, and millipedes </t>
  </si>
  <si>
    <t xml:space="preserve">3 clutches per year with offspring emerging in late summer </t>
  </si>
  <si>
    <t>Homopus areolatus</t>
  </si>
  <si>
    <t>Homopus</t>
  </si>
  <si>
    <t>areolatus</t>
  </si>
  <si>
    <t>Parrot-beaked Dwarf tortoise</t>
  </si>
  <si>
    <t>Hibernate during winter - but in warmer parts they maybe active though year</t>
  </si>
  <si>
    <t>Herbaceous plants</t>
  </si>
  <si>
    <t>No, 0-1300m</t>
  </si>
  <si>
    <t xml:space="preserve">More than one clutch between May and November </t>
  </si>
  <si>
    <t>IUCN</t>
  </si>
  <si>
    <t xml:space="preserve">96-120 </t>
  </si>
  <si>
    <t>Inferred from presence in Testudinidae family</t>
  </si>
  <si>
    <t>Homoroselaps lacteus</t>
  </si>
  <si>
    <t>Atractaspididae</t>
  </si>
  <si>
    <t>Homoroselaps</t>
  </si>
  <si>
    <t>lacteus</t>
  </si>
  <si>
    <t>Spotted harlequin snake</t>
  </si>
  <si>
    <t xml:space="preserve">Small lizards and snakes </t>
  </si>
  <si>
    <t>No, 0-1800m</t>
  </si>
  <si>
    <t>Lay in summer</t>
  </si>
  <si>
    <t>No* Cape population</t>
  </si>
  <si>
    <t>Marais 2004 * majority of records found in termite mounds</t>
  </si>
  <si>
    <t>Lamprophis aurora</t>
  </si>
  <si>
    <t>Lamprophis</t>
  </si>
  <si>
    <t>aurora</t>
  </si>
  <si>
    <t>Aurora House Snake/Aurora Snake</t>
  </si>
  <si>
    <t>Nestling rodents, lizards and frogs</t>
  </si>
  <si>
    <t>No, 0-1700m</t>
  </si>
  <si>
    <t>Lamprophis fuscus</t>
  </si>
  <si>
    <t>fuscus</t>
  </si>
  <si>
    <t>Yellowbellied House Snake</t>
  </si>
  <si>
    <t>Maritz and Alexander 2009</t>
  </si>
  <si>
    <t xml:space="preserve">No, Reduced activity during winter months and fossorial </t>
  </si>
  <si>
    <t>Tolley pers. comms, Maritz and Alexander 2008</t>
  </si>
  <si>
    <t xml:space="preserve">Mainly lizards and some nestling rodents </t>
  </si>
  <si>
    <t>Leptotyphlops nigricans</t>
  </si>
  <si>
    <t>Leptotyphlopidae</t>
  </si>
  <si>
    <t>Leptotyphlops</t>
  </si>
  <si>
    <t>nigricans</t>
  </si>
  <si>
    <t>Black Thread Snake/Cape Worm Snake</t>
  </si>
  <si>
    <t>Alexander 2014</t>
  </si>
  <si>
    <t>Lycodonomorphus inornatus</t>
  </si>
  <si>
    <t>Lycodonomorphus</t>
  </si>
  <si>
    <t>inornatus</t>
  </si>
  <si>
    <t>Lamprophis inornatus</t>
  </si>
  <si>
    <t>Olive Ground Snake/Olive House Snake/Black House Snake</t>
  </si>
  <si>
    <t>Marais 2004, Maritz and Alexander 2009</t>
  </si>
  <si>
    <t>Rodents, lizards, other snakes. Cannibalism.</t>
  </si>
  <si>
    <t>Lycodonomorphus rufulus</t>
  </si>
  <si>
    <t>rufulus</t>
  </si>
  <si>
    <t>Common Water Snake/Brown Water Snake</t>
  </si>
  <si>
    <t xml:space="preserve">Frogs, tadpoles, small fish and nestlings and rodents </t>
  </si>
  <si>
    <t xml:space="preserve">Lay in midsummer </t>
  </si>
  <si>
    <t>High</t>
  </si>
  <si>
    <t>Meroles knoxii</t>
  </si>
  <si>
    <t>Lacertidae</t>
  </si>
  <si>
    <t>Meroles</t>
  </si>
  <si>
    <t>knoxii</t>
  </si>
  <si>
    <t>Knox's Desert Lizard</t>
  </si>
  <si>
    <t>Alexander &amp; Marais 2007, Cooper and Whiting 1999</t>
  </si>
  <si>
    <t>Alexander &amp; Marais 2007, Tolley pers.comms, Maritz and Alexander 2008</t>
  </si>
  <si>
    <t xml:space="preserve">Mainly beetles and flies </t>
  </si>
  <si>
    <t xml:space="preserve">Branch 1998 </t>
  </si>
  <si>
    <t>Alexander &amp; Marais 2007 * taken from group description</t>
  </si>
  <si>
    <t>Lay in summer and several clutches may be laid</t>
  </si>
  <si>
    <t>Branch 1998 * using cape peninsula output assuming 2 clutches per year</t>
  </si>
  <si>
    <t>Tolley unpubl. data</t>
  </si>
  <si>
    <t>Naja nivea</t>
  </si>
  <si>
    <t>Elapidae</t>
  </si>
  <si>
    <t>Naja</t>
  </si>
  <si>
    <t>nivea</t>
  </si>
  <si>
    <t>Cape Cobra</t>
  </si>
  <si>
    <t>Maritz unpubl. data</t>
  </si>
  <si>
    <t>Layloo et al 2017</t>
  </si>
  <si>
    <t>No, 0-1600m</t>
  </si>
  <si>
    <t>Pachydactylus geitje</t>
  </si>
  <si>
    <t>Pachydactylus</t>
  </si>
  <si>
    <t>geitje</t>
  </si>
  <si>
    <t>Ocellated gecko/Oscellated Thick-Toed gecko</t>
  </si>
  <si>
    <t>Small insects</t>
  </si>
  <si>
    <t xml:space="preserve">No, 0-&gt;2000m </t>
  </si>
  <si>
    <t>Alexander &amp; Marais 2007, Scharf 2015</t>
  </si>
  <si>
    <t>Likely to lay several clutches in a season</t>
  </si>
  <si>
    <t>Branch 1998 * likely that multiple clutches laid per year</t>
  </si>
  <si>
    <t>Pelomedusa galeata</t>
  </si>
  <si>
    <t>Pelomedusidae</t>
  </si>
  <si>
    <t>Pelomedusa</t>
  </si>
  <si>
    <t>galeata</t>
  </si>
  <si>
    <t>Pelomedusa subrufa</t>
  </si>
  <si>
    <t xml:space="preserve">African helmeted turtle/Marsh Terrapin </t>
  </si>
  <si>
    <t xml:space="preserve">Species aestivate during the dry season </t>
  </si>
  <si>
    <t>Boycott 2014</t>
  </si>
  <si>
    <t>Mating occurs in spring with nesting from late spring to autumn</t>
  </si>
  <si>
    <t xml:space="preserve">Ewert and Nelson 1991* Inferred from P. subrufa </t>
  </si>
  <si>
    <t>Psammophis crucifer</t>
  </si>
  <si>
    <t>Psammophiidae</t>
  </si>
  <si>
    <t>Psammophis</t>
  </si>
  <si>
    <t>crucifer</t>
  </si>
  <si>
    <t>Cross-marked grass snake/Crossed Whip Snake</t>
  </si>
  <si>
    <t>Unknown - Unclear, Onset of spermatogenesis during summer to autumn coincides with decreasing ambient temperature, photoperiod and rainfall</t>
  </si>
  <si>
    <t>Flemming 1994</t>
  </si>
  <si>
    <t>Small lizards and frogs</t>
  </si>
  <si>
    <t>Cottone and Bauer 2013</t>
  </si>
  <si>
    <t xml:space="preserve">No, 0-3000m </t>
  </si>
  <si>
    <t>Oviposition occurs from spring to mid summer. Copulation likely to take place between may and September</t>
  </si>
  <si>
    <t>Boycott 2018, Maritz pers. comms</t>
  </si>
  <si>
    <t>Boycott 2018 *no clutches uncertain</t>
  </si>
  <si>
    <t>Psammophis notostictus</t>
  </si>
  <si>
    <t>notostictus</t>
  </si>
  <si>
    <t>Karoo Sand Snake/Karoo Whip Snake</t>
  </si>
  <si>
    <t>Unknown - Unclear,  Onset of spermatogenesis as early as mid summer</t>
  </si>
  <si>
    <t>Skinks, lacertids, agamids, and geckos and small rodents</t>
  </si>
  <si>
    <t xml:space="preserve">Eggs laid in summer </t>
  </si>
  <si>
    <t>Psammophylax rhombeatus</t>
  </si>
  <si>
    <t>Psammophylax</t>
  </si>
  <si>
    <t>rhombeatus</t>
  </si>
  <si>
    <t>Spotted Skaapsteker/Rhombic Skaapsteker/Spotted Grass Snake</t>
  </si>
  <si>
    <t>Cottone and Bauer 2013, Branch 1998</t>
  </si>
  <si>
    <t>Rodents, lizards, snakes birds and frogs</t>
  </si>
  <si>
    <t xml:space="preserve">No, 0-2300m </t>
  </si>
  <si>
    <t>Males found to be capable of moving over 130m per day</t>
  </si>
  <si>
    <t>Pseudaspis cana</t>
  </si>
  <si>
    <t>Pseudaspis</t>
  </si>
  <si>
    <t>cana</t>
  </si>
  <si>
    <t>Mole snake</t>
  </si>
  <si>
    <t>Several small land mammals, birds, eggs. Juveniles mainly consume lizards</t>
  </si>
  <si>
    <t>Gives birth in late summer</t>
  </si>
  <si>
    <t>Scharf 2015* no clutches uncertain</t>
  </si>
  <si>
    <t>Pseudocordylus microlepidotus</t>
  </si>
  <si>
    <t>Pseudocordylus</t>
  </si>
  <si>
    <t>microlepidotus</t>
  </si>
  <si>
    <t>Cape Crag Lizard</t>
  </si>
  <si>
    <t>Hibernate during winter</t>
  </si>
  <si>
    <t>Turner pers. comms, Tolley pers. comms</t>
  </si>
  <si>
    <t>Wide range of invertebrates and small lizards</t>
  </si>
  <si>
    <t>No, 20-1920m</t>
  </si>
  <si>
    <t>Semelparous</t>
  </si>
  <si>
    <t>*potentially Semelparous based on longevity and age to maturity = 2 and 2.8 years respectively (Scharf 2015, Alexander &amp; Marais 2007)</t>
  </si>
  <si>
    <t>Born in mid-late summer</t>
  </si>
  <si>
    <t>No, female reproductive activity between Autumn and Winter</t>
  </si>
  <si>
    <t>Van Wyk and Mouton 1998, Alexander &amp; Marais 2007</t>
  </si>
  <si>
    <t>IUCN range maps, Tolley pers. Coms. * peninsula pop isolated</t>
  </si>
  <si>
    <t>Rhinotyphlops lalandei</t>
  </si>
  <si>
    <t>Typhlopidae</t>
  </si>
  <si>
    <t>Rhinotyphlops</t>
  </si>
  <si>
    <t>lalandei</t>
  </si>
  <si>
    <t>Delalandes Beaked Blind Snake</t>
  </si>
  <si>
    <t xml:space="preserve">No, strictly fossorial </t>
  </si>
  <si>
    <t>Webb et al 2001</t>
  </si>
  <si>
    <t>Highly seasonal cycles - vitellogenesis in spring (sept-nov) and oviposition in summer (Dec-Feb)</t>
  </si>
  <si>
    <t>Webb et al 2001, Maritz pers. comms</t>
  </si>
  <si>
    <t>Scelotes bipes</t>
  </si>
  <si>
    <t>Scelotes</t>
  </si>
  <si>
    <t>bipes</t>
  </si>
  <si>
    <t>Silvery Dwarf Burrowing Skink</t>
  </si>
  <si>
    <t>Small inverts</t>
  </si>
  <si>
    <t xml:space="preserve">Young born in march </t>
  </si>
  <si>
    <t>Branch 1998 * no clutches uncertain</t>
  </si>
  <si>
    <t xml:space="preserve">Potential evidence that gene flow is not occurring between populations </t>
  </si>
  <si>
    <t>Heideman et al 2011</t>
  </si>
  <si>
    <t>Likely</t>
  </si>
  <si>
    <t xml:space="preserve">Warner 2011 *Evidence within SCINCIDAE family </t>
  </si>
  <si>
    <t>Tetradactylus seps</t>
  </si>
  <si>
    <t>Tetradactylus</t>
  </si>
  <si>
    <t>seps</t>
  </si>
  <si>
    <t>Short-legged Seps</t>
  </si>
  <si>
    <t>Bees, grasshoppers, spiders 'etc'</t>
  </si>
  <si>
    <t>No, 20-1400m</t>
  </si>
  <si>
    <t>Clutches laid in summer</t>
  </si>
  <si>
    <t>Tetradactylus tetradactylus</t>
  </si>
  <si>
    <t>tetradactylus</t>
  </si>
  <si>
    <t>Cape Long-tailed Seps</t>
  </si>
  <si>
    <t>Unknown, Unclear, Onset of spermatogenic activity occurs in autumn</t>
  </si>
  <si>
    <t>Mouton et al 2012</t>
  </si>
  <si>
    <t>Grasshoppers and other insects</t>
  </si>
  <si>
    <t>Trachylepis capensis</t>
  </si>
  <si>
    <t>Trachylepis</t>
  </si>
  <si>
    <t>capensis</t>
  </si>
  <si>
    <t>Mabuya capensis</t>
  </si>
  <si>
    <t>Cape Skink</t>
  </si>
  <si>
    <t xml:space="preserve">Large insects </t>
  </si>
  <si>
    <t>No, 0-2300m</t>
  </si>
  <si>
    <t>Female ovulation from mid-spring to mid-summer</t>
  </si>
  <si>
    <t>Bimodal</t>
  </si>
  <si>
    <t xml:space="preserve"> *Branch 1998, Pyron and Burbrink 2014</t>
  </si>
  <si>
    <t>Trachylepis homalocephala</t>
  </si>
  <si>
    <t>homalocephala</t>
  </si>
  <si>
    <t>Mabuya homalocephala</t>
  </si>
  <si>
    <t>Red-sided Skink</t>
  </si>
  <si>
    <t>Wide range of insects</t>
  </si>
  <si>
    <t>Alexander &amp; Marais 2007* inferred from group description</t>
  </si>
  <si>
    <t>No, 0-1500m</t>
  </si>
  <si>
    <t>Eggs laid in November-December emerge in feb-march</t>
  </si>
  <si>
    <t>Branch 1998* 10 max - no clutches uncertain</t>
  </si>
  <si>
    <t>Tropidosaura gularis</t>
  </si>
  <si>
    <t>Tropidosaura</t>
  </si>
  <si>
    <t>gularis</t>
  </si>
  <si>
    <t>Cape Mountain Lizard</t>
  </si>
  <si>
    <t xml:space="preserve">Flies and bees </t>
  </si>
  <si>
    <t xml:space="preserve">No, 640m + </t>
  </si>
  <si>
    <t xml:space="preserve">Lays in November </t>
  </si>
  <si>
    <t>Typhlosaurus caecus</t>
  </si>
  <si>
    <t>Typhlosaurus</t>
  </si>
  <si>
    <t>caecus</t>
  </si>
  <si>
    <t>Southern Blind Legless Skink</t>
  </si>
  <si>
    <t xml:space="preserve">No, fossorial </t>
  </si>
  <si>
    <t>Tolley pers.comms</t>
  </si>
  <si>
    <t>No, 0-&gt;100m</t>
  </si>
  <si>
    <t>Proportion of species with trait information</t>
  </si>
  <si>
    <t>Excluded post workshop</t>
  </si>
  <si>
    <t>Agama hispida</t>
  </si>
  <si>
    <t>hispida</t>
  </si>
  <si>
    <t>Southern Spiny Agama/ Cape Spiny Agama</t>
  </si>
  <si>
    <t>Low, Mostly termites and ants (&gt;95%)</t>
  </si>
  <si>
    <t>Pianka 1986,  Simbotwe &amp; Garber 1979</t>
  </si>
  <si>
    <t>One breeding period per year</t>
  </si>
  <si>
    <t>Mesquita et al 2015</t>
  </si>
  <si>
    <t>Aspidelaps lubricus</t>
  </si>
  <si>
    <t>Aspidelaps</t>
  </si>
  <si>
    <t>lubricus</t>
  </si>
  <si>
    <t>Coral Shield Cobra/Coral Snake</t>
  </si>
  <si>
    <t>Lizards, small snakes and rodents</t>
  </si>
  <si>
    <t xml:space="preserve">Captive females produce more than one batch of eggs per season </t>
  </si>
  <si>
    <t>Branch 1998, Scharf 2015</t>
  </si>
  <si>
    <t>Reichling and Gutzke 1996</t>
  </si>
  <si>
    <t>Boaedon capensis</t>
  </si>
  <si>
    <t>Boaedon</t>
  </si>
  <si>
    <t>Lamprophis capensis, Lamprophis fuliginosus</t>
  </si>
  <si>
    <t>Common house snake, Brown House Snake</t>
  </si>
  <si>
    <t>Captive females lay every 1-2 months in the breeding season</t>
  </si>
  <si>
    <t>Scharf 2015*inferred from B.Fuliginosus</t>
  </si>
  <si>
    <t>Lamprophis guttatus</t>
  </si>
  <si>
    <t>guttatus</t>
  </si>
  <si>
    <t>Spotted Rock Snake</t>
  </si>
  <si>
    <t>Mainly Geckos of their genera Pachydactlus and Afroedura, Lacertids and skinks. Rodents also taken</t>
  </si>
  <si>
    <t>0-2300m</t>
  </si>
  <si>
    <t>Hemachatus haemachatus</t>
  </si>
  <si>
    <t>Hemachatus</t>
  </si>
  <si>
    <t>haemachatus</t>
  </si>
  <si>
    <t>Rinkhals</t>
  </si>
  <si>
    <t xml:space="preserve">TBD via modelling </t>
  </si>
  <si>
    <t>Shine et al 2006, Branch 1998</t>
  </si>
  <si>
    <t xml:space="preserve">0-2500m </t>
  </si>
  <si>
    <t xml:space="preserve">Gives birth between December - March </t>
  </si>
  <si>
    <t>Psammophis leightoni</t>
  </si>
  <si>
    <t>leightoni</t>
  </si>
  <si>
    <t>Cape Sand Snake/Cape Whip Snake</t>
  </si>
  <si>
    <t>Yes, Onset of spermatogenesis during summer to autumn coincides with decreasing ambient temperature, photoperiod and rainfall</t>
  </si>
  <si>
    <t>Ground living lizards and small rodents and snakes</t>
  </si>
  <si>
    <t>Goggia incognita</t>
  </si>
  <si>
    <t>Goggia</t>
  </si>
  <si>
    <t>incognita</t>
  </si>
  <si>
    <t>Heinicke et al 2017</t>
  </si>
  <si>
    <t>IUCN SIS, Meiri 2018</t>
  </si>
  <si>
    <t>Heinicke 2017</t>
  </si>
  <si>
    <t xml:space="preserve">Insects, particularly termites </t>
  </si>
  <si>
    <t xml:space="preserve">Branch 1998 * inferred from G. lineata </t>
  </si>
  <si>
    <t>Meiri 2018, Branch *inferred from G.lineata</t>
  </si>
  <si>
    <t>Tropidosaura montana</t>
  </si>
  <si>
    <t>montana</t>
  </si>
  <si>
    <t>Common Mountain Lizard</t>
  </si>
  <si>
    <t>IUCN SIS, Red Atlas 2014, Branch 1998</t>
  </si>
  <si>
    <t>Lays in mid-November</t>
  </si>
  <si>
    <t xml:space="preserve">S1: Score </t>
  </si>
  <si>
    <t xml:space="preserve">Low </t>
  </si>
  <si>
    <t>S2: Score</t>
  </si>
  <si>
    <t>S12: Score</t>
  </si>
  <si>
    <t>S13: Score</t>
  </si>
  <si>
    <t xml:space="preserve"> h = 0.7434 Π= 0.005981</t>
  </si>
  <si>
    <t xml:space="preserve"> Notable cente of genetic diversity in CFR</t>
  </si>
  <si>
    <t xml:space="preserve"> but populations fragmented and in decline </t>
  </si>
  <si>
    <t>Suspected genetic bottlenecks and low gene flow between subpopulations</t>
  </si>
  <si>
    <t xml:space="preserve"> populations severley fragemented</t>
  </si>
  <si>
    <t xml:space="preserve"> Evidence of geneflow between geographically distinct populations </t>
  </si>
  <si>
    <t xml:space="preserve"> small population sizes</t>
  </si>
  <si>
    <t>RS1: Habitat specialisation</t>
  </si>
  <si>
    <t>RS2: Microhabitat specialisation</t>
  </si>
  <si>
    <t>RS6: Intolerant of changes to fire regime</t>
  </si>
  <si>
    <t>RS8: Reliant on cloud/fog cover</t>
  </si>
  <si>
    <t>Janse van Rensburg et al 2009, Clusella-Trullas et al 2009</t>
  </si>
  <si>
    <t>CTMax</t>
  </si>
  <si>
    <t>Average absolute deviation within range</t>
  </si>
  <si>
    <t>&gt;23</t>
  </si>
  <si>
    <t xml:space="preserve">10's of species </t>
  </si>
  <si>
    <t xml:space="preserve">Maritz pers. comms </t>
  </si>
  <si>
    <t>b</t>
  </si>
  <si>
    <t>c</t>
  </si>
  <si>
    <t>RS3: High elevation specialist (e.g Increased comp. from elevation generalists)</t>
  </si>
  <si>
    <t>RS3: Score</t>
  </si>
  <si>
    <t>RS3: Source</t>
  </si>
  <si>
    <t>RS4: Tolerance of narrow temperature range</t>
  </si>
  <si>
    <t xml:space="preserve">RS4: Source </t>
  </si>
  <si>
    <t>RS4: Score</t>
  </si>
  <si>
    <t>RS5: Tolerance of narrow precipitation range</t>
  </si>
  <si>
    <t>RS5: Score</t>
  </si>
  <si>
    <t>RS6: Source</t>
  </si>
  <si>
    <t>RS6: Score</t>
  </si>
  <si>
    <t>RS7: Seasonal activity period restricted by high temperatures/ low rainfall</t>
  </si>
  <si>
    <t xml:space="preserve">RS7: Source </t>
  </si>
  <si>
    <t>RS7: Score</t>
  </si>
  <si>
    <t>RS8: Source</t>
  </si>
  <si>
    <t>RS8: Score</t>
  </si>
  <si>
    <t>RS9: Low environmental heterogeneity within distribution range (x10000)</t>
  </si>
  <si>
    <t>RS9: Score</t>
  </si>
  <si>
    <t>Small body size (snout vent length)</t>
  </si>
  <si>
    <t>Score</t>
  </si>
  <si>
    <t>RS10: Narrow diet breadth</t>
  </si>
  <si>
    <t>RS10: Source</t>
  </si>
  <si>
    <t>RS10: Score</t>
  </si>
  <si>
    <t xml:space="preserve">RS11: Endemism </t>
  </si>
  <si>
    <t>RS11: Score</t>
  </si>
  <si>
    <t>RS12: Semelparous?</t>
  </si>
  <si>
    <t>RS12: Source</t>
  </si>
  <si>
    <t>S13: Inability to reproduce more than once annually in the event of lost clutch/litter</t>
  </si>
  <si>
    <t>S13a. Ability to reproduce at any time (Yes/No)</t>
  </si>
  <si>
    <t>S13: Source (a,b,c,d)</t>
  </si>
  <si>
    <t>RL1: Dispersal limited by latitude</t>
  </si>
  <si>
    <t>RL1: Score</t>
  </si>
  <si>
    <t>RL2: No commensalism with humans? (Yes/No)</t>
  </si>
  <si>
    <t>RL2: Source</t>
  </si>
  <si>
    <t>RL2: Score</t>
  </si>
  <si>
    <t xml:space="preserve">RL4a: Score </t>
  </si>
  <si>
    <t xml:space="preserve">L4b+c: Score </t>
  </si>
  <si>
    <t>RL3: Foraging mode limits behaviour adaptation (e.g Duirnal active visual forager)</t>
  </si>
  <si>
    <t>RL3: Source (Foraging period/Foraging mode)</t>
  </si>
  <si>
    <t>RL3:Score</t>
  </si>
  <si>
    <t>RL4a: Low annual reproductive output</t>
  </si>
  <si>
    <t>RL4a: Source</t>
  </si>
  <si>
    <t>RL4b: Low genetic variation</t>
  </si>
  <si>
    <t>RL4b: Source</t>
  </si>
  <si>
    <t>RL4c: Metapopulations fragmented</t>
  </si>
  <si>
    <t>RL4c: Sources</t>
  </si>
  <si>
    <t xml:space="preserve">Reproductive strategy  </t>
  </si>
  <si>
    <t>Low intrinsic dispersal ability</t>
  </si>
  <si>
    <t xml:space="preserve">Source </t>
  </si>
  <si>
    <t>Dependent on environmental cues predicted to be disrupted by climate change</t>
  </si>
  <si>
    <t xml:space="preserve">Generation time </t>
  </si>
  <si>
    <t>Sources</t>
  </si>
  <si>
    <t>Age at maturity</t>
  </si>
  <si>
    <t>Data collected but excluded from study</t>
  </si>
  <si>
    <t>Branch 1998, Maritz &amp; Marais 2018</t>
  </si>
  <si>
    <t>Maritz and Turner 2018</t>
  </si>
  <si>
    <t>Branch 1998, Turner 2014a, Marais 2004</t>
  </si>
  <si>
    <t>Turner 2014b</t>
  </si>
  <si>
    <t>Tolley 2014</t>
  </si>
  <si>
    <t>Alexander &amp; Marais 2007, Mouton 2014b</t>
  </si>
  <si>
    <t>Branch 1998, Hofmeyr &amp; Baard 2014</t>
  </si>
  <si>
    <t>Marais 2004, Burger 2014</t>
  </si>
  <si>
    <t>Maritz &amp; Alexander 2008</t>
  </si>
  <si>
    <t>Branch 1998, Alexander 2014, Marais 2004</t>
  </si>
  <si>
    <t>Marais 2004, Maritz 2014a</t>
  </si>
  <si>
    <t>Maritz 2014b</t>
  </si>
  <si>
    <t>Branch 1998, Maritz 2014b, Marais 2004</t>
  </si>
  <si>
    <t>Hofmeyr &amp; Fritz 2018</t>
  </si>
  <si>
    <t>Maritz 2014c</t>
  </si>
  <si>
    <t>Marais 2014a</t>
  </si>
  <si>
    <t>Marias 2014b, Marais 2004</t>
  </si>
  <si>
    <t>Alexander &amp; Marais 2007, Measey 2014</t>
  </si>
  <si>
    <t>Bates 2014a</t>
  </si>
  <si>
    <t>Bates 2014b</t>
  </si>
  <si>
    <t>Bates 2014c</t>
  </si>
  <si>
    <t>Conradie &amp; Masterson 2018, Masterson 2014c</t>
  </si>
  <si>
    <t>Masterson 2014a</t>
  </si>
  <si>
    <t>Conradie &amp; Masterson 2017, Masterson 2014b</t>
  </si>
  <si>
    <t>Alexander &amp; Marais 2007, Bauer 2014a</t>
  </si>
  <si>
    <t>Bauer &amp; Conradie 2018, Bauer 2014b</t>
  </si>
  <si>
    <t>Bauer 2014c</t>
  </si>
  <si>
    <t>Branch 1998, Bates &amp; Branch 2018</t>
  </si>
  <si>
    <t>de Villiers &amp; Bates 2014</t>
  </si>
  <si>
    <t>Marais 2014c</t>
  </si>
  <si>
    <t>Turner 2014a</t>
  </si>
  <si>
    <t>Bates &amp; Tolley 2017</t>
  </si>
  <si>
    <t>Marias 2014d</t>
  </si>
  <si>
    <t>Marias 2014e</t>
  </si>
  <si>
    <t>Marias 2014f, Marais 2004</t>
  </si>
  <si>
    <t>Branch 1998, Bates 2014b, Marais 2004</t>
  </si>
  <si>
    <t>Bates 2014d</t>
  </si>
  <si>
    <t>Maritz &amp; Burger 2018</t>
  </si>
  <si>
    <t>Maritz 2018a</t>
  </si>
  <si>
    <t>Maritz 2018b</t>
  </si>
  <si>
    <t>Maritz 2014d</t>
  </si>
  <si>
    <t>Maritz 2014e</t>
  </si>
  <si>
    <t>Turner 2014d</t>
  </si>
  <si>
    <t>Alexander &amp; Maritz 2017</t>
  </si>
  <si>
    <t>Bates &amp; Bauer 2018</t>
  </si>
  <si>
    <t>Marais 2014b, pers. obs</t>
  </si>
  <si>
    <t>Bates 2014e</t>
  </si>
  <si>
    <t>Measey 2014</t>
  </si>
  <si>
    <t>Marais &amp; Bauer 2014</t>
  </si>
  <si>
    <t>Conradie &amp; Masterson 2017</t>
  </si>
  <si>
    <t>Conradie &amp; Masterson 2018</t>
  </si>
  <si>
    <t>Bauer &amp; Conradie 2018</t>
  </si>
  <si>
    <t>Tolley 2014, Tolley 2018</t>
  </si>
  <si>
    <t>Bates 2014a, Bates &amp; Tolley 2017, Alexander &amp; Marais 2007</t>
  </si>
  <si>
    <t>Alexander &amp; Marais 2007, Mouton 2014a</t>
  </si>
  <si>
    <t>Marais 2014b</t>
  </si>
  <si>
    <t>Measey 2014, Alexander &amp; Marais 2007</t>
  </si>
  <si>
    <t>Turner 2014c</t>
  </si>
  <si>
    <t>Bauer 2014b</t>
  </si>
  <si>
    <t>Tolley pers. Comms, Clusella-Trullas et al 2009</t>
  </si>
  <si>
    <t>Clusella-Trullas pers.comms</t>
  </si>
  <si>
    <t>Clusella-Trullas &amp; Botes 2008</t>
  </si>
  <si>
    <t xml:space="preserve">Primarily arthropoda with some veg matter </t>
  </si>
  <si>
    <t>Webb et al 2000</t>
  </si>
  <si>
    <t>Low, mostly ant pupae (inferred from close relatives)</t>
  </si>
  <si>
    <t>Bauer 2014b, Branch 1998</t>
  </si>
  <si>
    <t>van Wyk &amp; Ruddock 2001, Branch 1998</t>
  </si>
  <si>
    <t>Branch 1998, Tolley 2018</t>
  </si>
  <si>
    <t>Pyron &amp; Burbrink 2014</t>
  </si>
  <si>
    <t>Branch 1998, van Wyk 1984</t>
  </si>
  <si>
    <t>Branch 1998, Maritz pers. comms, Pyron and Burbrink 2014, Marais 2004,_</t>
  </si>
  <si>
    <t>Tolley &amp; Burger 2007, Branch 1998, Tolley et al 2014, Jackson 2007</t>
  </si>
  <si>
    <t xml:space="preserve">Clusella-Trullas et al 2009 - Breeding season assumed to be similar to C.cordylus </t>
  </si>
  <si>
    <t>Mouton et al 2012, Pyron &amp; Burbrink 2014, Branch 1998</t>
  </si>
  <si>
    <t xml:space="preserve">Alexander &amp; Marais 2007 * group inference </t>
  </si>
  <si>
    <t>De Villiers et al 2018</t>
  </si>
  <si>
    <t>Maritz &amp; Turner 2018b</t>
  </si>
  <si>
    <t>Maritz &amp; Turner 2018a</t>
  </si>
  <si>
    <t>Katz et al 2014</t>
  </si>
  <si>
    <t xml:space="preserve">Bates &amp; Tolley 2017 </t>
  </si>
  <si>
    <t>Bates &amp; Mouton 2018b</t>
  </si>
  <si>
    <t>Bates &amp; Mouton 2018a</t>
  </si>
  <si>
    <t>Mouton 2014a, Bates &amp; Mouton 2018a</t>
  </si>
  <si>
    <t xml:space="preserve">Marais &amp; Turner 2017a </t>
  </si>
  <si>
    <t>Marais &amp; Turner 2017b</t>
  </si>
  <si>
    <t>Hofmeyr &amp; Keswick 2018a</t>
  </si>
  <si>
    <t>Hofmeyr &amp; Keswick 2018a, Branch 1989, Joshua et al. 2010</t>
  </si>
  <si>
    <t>Hofmeyr &amp; Keswick 2018b</t>
  </si>
  <si>
    <t>Hofmeyr &amp; Keswick 2018a, Branch 2008, Baard et al 2001</t>
  </si>
  <si>
    <t>Maritz 2018c</t>
  </si>
  <si>
    <t>Alexander 2018</t>
  </si>
  <si>
    <t>Maritz 2018d</t>
  </si>
  <si>
    <t>Tolley &amp; Turner 2018a, Turner 2014c</t>
  </si>
  <si>
    <t>Tolley &amp; Turner 2018b</t>
  </si>
  <si>
    <t>Maritz &amp; Turner 2014</t>
  </si>
  <si>
    <t>Maritz 2017b</t>
  </si>
  <si>
    <t>Maritz 2017a</t>
  </si>
  <si>
    <t>Maritz &amp; Masterson 2017</t>
  </si>
  <si>
    <t xml:space="preserve">Maritz &amp; Marias 2017 </t>
  </si>
  <si>
    <t>Bates 2017</t>
  </si>
  <si>
    <t>Measey 207</t>
  </si>
  <si>
    <t>Bauer et al 2018</t>
  </si>
  <si>
    <t>Bates 2018a</t>
  </si>
  <si>
    <t>Bates 2018b</t>
  </si>
  <si>
    <t>Tolley &amp; Turner 2018a</t>
  </si>
  <si>
    <t>Scharf 2015,Alexander &amp; Marais 2007</t>
  </si>
  <si>
    <t>Meiri 2018,Cooper Jr 2005</t>
  </si>
  <si>
    <t>Alexander and Marias 2007, Branch 1998</t>
  </si>
  <si>
    <t>Alexander &amp; Marais 2007, Cooper Jr 2005</t>
  </si>
  <si>
    <t>Scharf 2015* assumed to be similar to C.cordylus</t>
  </si>
  <si>
    <t xml:space="preserve">Hofmeyr &amp; Fritz 2018 * no clutches uncertain </t>
  </si>
  <si>
    <t>Maritz and Turner 2018, Tolley pers. comms</t>
  </si>
  <si>
    <t>Tolley 2018, Tolley pers. comms</t>
  </si>
  <si>
    <t xml:space="preserve">IUCN range maps, Tolley et al 2010, Robelo 2014 * studies suggests that if corridors of high quality habitat are maintained/provided then individuals are able to migrate between areas of suitable habitat. </t>
  </si>
  <si>
    <t xml:space="preserve">97% frogs </t>
  </si>
  <si>
    <t>pupae and larvae of ants (&gt;85%)</t>
  </si>
  <si>
    <t>termites and beetle larvae</t>
  </si>
  <si>
    <t>Branch 1998, Mouton et al 2012</t>
  </si>
  <si>
    <t>Alexander &amp; Marais 2007, du Toit 2001, Mouton et al 2012</t>
  </si>
  <si>
    <t>Pseudaspididae</t>
  </si>
  <si>
    <t>Alexander G, Marais J. 2007. A Guide To The Reptiles Of South Africa. Struik Publishers, Cape Town.</t>
  </si>
  <si>
    <t>Alexander GJ. 2018. Leptotyphlops nigricans. The IUCN Red List of Threatened Species 2018: e.T44979834A115671282. Available from https://dx.doi.org/10.2305/IUCN.UK.2018-2.RLTS.T44979834A115671282.en.</t>
  </si>
  <si>
    <t>Baard EHW, Hofmeyr MD, Moore K, de Villiers AL, Sutton T. 2001. Impact of fire on the angulate tortoise Chersina angulata population of the West Coast National Park, South Africa. Sixth Herpetological Association of Africa Symposium.</t>
  </si>
  <si>
    <t>Bates MF, Branch WR. 2018. Afrogecko porphyreus. The IUCN Red List of Threatened Species 2018: e.T169704A115655679. Available from https://dx.doi.org/10.2305/IUCN.UK.2018-2.RLTS.T169704A115655679.en.</t>
  </si>
  <si>
    <t>Bates MF, Mouton PLFN. 2018a. Cordylus cordylus. The IUCN Red List of Threatened Species 2018: e.T110159331A115674365. Available from https://dx.doi.org/10.2305/IUCN.UK.2018-2.RLTS.T110159331A115674365.en.</t>
  </si>
  <si>
    <t>Bates MF, Mouton PLFN. 2018b. Cordylus niger. The IUCN Red List of Threatened Species 2018: e.T110159757A115675004. Available from https://dx.doi.org/10.2305/IUCN.UK.2018-2.RLTS.T110159757A115675004.en.</t>
  </si>
  <si>
    <t>Bates MF. 2018a. Tetradactylus seps. The IUCN Red List of Threatened Species 2018: e.T44929366A115668326. Available from https://dx.doi.org/10.2305/IUCN.UK.2018-2.RLTS.T44929366A115668326.en.</t>
  </si>
  <si>
    <t>Bates MF. 2018b. Tetradactylus tetradactylus. The IUCN Red List of Threatened Species 2018: e.T44929463A115668442. Available from https://dx.doi.org/10.2305/IUCN.UK.2018-2.RLTS.T44929463A115668442.en.</t>
  </si>
  <si>
    <t xml:space="preserve">Bauer AM, Conradie W, Marais J. 2018. Scelotes bipes. The IUCN Red List of Threatened Species 2018: e.T44979043A115670447. Available from https://dx.doi.org/10.2305/IUCN.UK.2018-2.RLTS.T44979043A115670447.en. </t>
  </si>
  <si>
    <t>Bauer AM, Conradie W. 2018. Typhlosaurus caecus. The IUCN Red List of Threatened Species 2018: e.T178449A115660003. Available from https://dx.doi.org/10.2305/IUCN.UK.2018-2.RLTS.T178449A115660003.en.</t>
  </si>
  <si>
    <t xml:space="preserve">Boycott RC. 2018. Effect Of Drought On Hatching Success Of Eggs. African Herp News, South Africa. Available from http://africanherpetology.org/wp/wp-content/uploads/2019/04/AHN-67.v2-2018-1.pdf. </t>
  </si>
  <si>
    <t>Branch B. 1998. Field Guide To Snakes And Other Reptiles Of Southern Africa. Struik Publishers, Cape Town</t>
  </si>
  <si>
    <t>Branch WR. 2008. Tortoises, Terrapins and Turtles of Africa. Struik Publishers, Cape Town.</t>
  </si>
  <si>
    <t>Carr JA. 2011. Climate change vulnerability of European reptiles: Development and application of an IUCN assessment framework. Master’s dissertation. University of East Anglia, Norwich, UK.</t>
  </si>
  <si>
    <t xml:space="preserve">Conradie W, Masterson G. 2018. Trachylepis homalocephala. The IUCN Red List of Threatened Species 2018: e.T110230213A115681319. Available from https://dx.doi.org/10.2305/IUCN.UK.2018-2.RLTS.T110230213A115681319.en. </t>
  </si>
  <si>
    <t>de Villiers A, Bates MF, Conradie W. 2018. Agama atra. The IUCN Red List of Threatened Species 2018: e.T17450332A115665963. Available from https://dx.doi.org/10.2305/IUCN.UK.2018-2.RLTS.T17450332A115665963.en.</t>
  </si>
  <si>
    <t>du Preez L, Carruthers V. 2009. A Complete Guide To The Frogs Of Southern Africa. Struik Nature, Cape Town.</t>
  </si>
  <si>
    <t>Hofmeyr MD, Fritz U. 2018. Pelomedusa galeata (errata version published in 2019). The IUCN Red List of Threatened Species 2018: e.T113551736A144762886. Available from https://dx.doi.org/10.2305/IUCN.UK.2018-2.RLTS.T113551736A144762886.en.</t>
  </si>
  <si>
    <t>Hofmeyr MD, Keswick T. 2018b. Homopus areolatus. The IUCN Red List of Threatened Species 2018: e.T170520A115656133. Available from https://dx.doi.org/10.2305/IUCN.UK.2018-2.RLTS.T170520A115656133.en.</t>
  </si>
  <si>
    <t>Jackson JC. 2007. Reproduction in Dwarf Chameleons (Bradypodion) With Particular Reference to B. pumilum Occuring in Fire-Prone Fynbos Habitat, Doctoral Thesis, University of Stellenbosch, Stellenbosch, South Africa.</t>
  </si>
  <si>
    <t>Marais J. 2004. A Complete Guide To The Snakes Of Southern Africa, 2nd edition. Struik Publishers, Cape Town.</t>
  </si>
  <si>
    <t>Maritz B, Burger M. 2018. Homoroselaps lacteus. The IUCN Red List of Threatened Species 2018: e.T110133193A115672287. https://dx.doi.org/10.2305/IUCN.UK.2018-2.RLTS.T110133193A115672287.en.</t>
  </si>
  <si>
    <t>Maritz B, Marais J. 2018. Amplorhinus multimaculatus. The IUCN Red List of Threatened Species 2018: e.T110133584A115672711. Available from https://dx.doi.org/10.2305/IUCN.UK.2018-2.RLTS.T110133584A115672711.en.</t>
  </si>
  <si>
    <t>Maritz B, Turner AA. 2018a. Bitis armata. The IUCN Red List of Threatened Species 2018: e.T22473777A115666580. Available from https://dx.doi.org/10.2305/IUCN.UK.2018-2.RLTS.T22473777A115666580.en.</t>
  </si>
  <si>
    <t>Maritz B, Turner AA. 2018b. Bitis atropos. The IUCN Red List of Threatened Species 2018: e.T178597A115660262. https://dx.doi.org/10.2305/IUCN.UK.2018-2.RLTS.T178597A115660262.en.</t>
  </si>
  <si>
    <t>Maritz B. 2018a. Psammophis crucifer. The IUCN Red List of Threatened Species 2018: e.T44979971A115671740. Available from https://dx.doi.org/10.2305/IUCN.UK.2018-2.RLTS.T44979971A115671740.en.</t>
  </si>
  <si>
    <t>Maritz B. 2018b. Lamprophis aurora. The IUCN Red List of Threatened Species 2018: e.T174096A115657197. https://dx.doi.org/10.2305/IUCN.UK.2018-2.RLTS.T174096A115657197.en.</t>
  </si>
  <si>
    <t>Maritz B. 2018c. Lamprophis fuscus. The IUCN Red List of Threatened Species 2018: e.T11228A115651682. Available from https://dx.doi.org/10.2305/IUCN.UK.2018-2.RLTS.T11228A115651682.en.</t>
  </si>
  <si>
    <t>Maritz B. 2018d. Lycodonomorphus inornatus. The IUCN Red List of Threatened Species 2018: e.T174097A115657404. Available from https://dx.doi.org/10.2305/IUCN.UK.2018-2.RLTS.T174097A115657404.en.</t>
  </si>
  <si>
    <t>Tolley KA, Burger M. 2007. Chameleons of Southern Africa, Struik Publishers, Cape Town.</t>
  </si>
  <si>
    <t>Tolley KA, Turner AA. 2018a. Tropidosaura gularis. The IUCN Red List of Threatened Species 2018: e.T197008A115665441. Available from https://dx.doi.org/10.2305/IUCN.UK.2018-2.RLTS.T197008A115665441.en.</t>
  </si>
  <si>
    <t>Tolley KA, Turner AA. 2018b. Meroles knoxii. The IUCN Red List of Threatened Species 2018: e.T196984A115664614. Available from https://dx.doi.org/10.2305/IUCN.UK.2018-2.RLTS.T196984A115664614.en.</t>
  </si>
  <si>
    <t>Tolley KA. 2018. Bradypodion pumilum. The IUCN Red List of Threatened Species 2018: e.T42683517A115668083. Available from https://dx.doi.org/10.2305/IUCN.UK.2018-2.RLTS.T42683517A115668083.en.</t>
  </si>
  <si>
    <t>References</t>
  </si>
  <si>
    <r>
      <t xml:space="preserve">Alexander GJ, Maritz B. 2017. </t>
    </r>
    <r>
      <rPr>
        <i/>
        <sz val="11"/>
        <color theme="1"/>
        <rFont val="Calibri"/>
        <family val="2"/>
        <scheme val="minor"/>
      </rPr>
      <t>Naja nivea</t>
    </r>
    <r>
      <rPr>
        <sz val="11"/>
        <color theme="1"/>
        <rFont val="Calibri"/>
        <family val="2"/>
        <scheme val="minor"/>
      </rPr>
      <t>. The IUCN Red List of Threatened Species 2017</t>
    </r>
  </si>
  <si>
    <r>
      <t xml:space="preserve">Alexander GJ. 2014 (reprint 2014). </t>
    </r>
    <r>
      <rPr>
        <i/>
        <sz val="11"/>
        <color theme="1"/>
        <rFont val="Calibri"/>
        <family val="2"/>
        <scheme val="minor"/>
      </rPr>
      <t xml:space="preserve">Leptotyphlops nigricans </t>
    </r>
    <r>
      <rPr>
        <sz val="11"/>
        <color theme="1"/>
        <rFont val="Calibri"/>
        <family val="2"/>
        <scheme val="minor"/>
      </rPr>
      <t>(</t>
    </r>
    <r>
      <rPr>
        <i/>
        <sz val="11"/>
        <color theme="1"/>
        <rFont val="Calibri"/>
        <family val="2"/>
        <scheme val="minor"/>
      </rPr>
      <t>Schlegel, 1839).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</si>
  <si>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FB. 2014a (reprint 2014). </t>
    </r>
    <r>
      <rPr>
        <i/>
        <sz val="11"/>
        <color theme="1"/>
        <rFont val="Calibri"/>
        <family val="2"/>
        <scheme val="minor"/>
      </rPr>
      <t xml:space="preserve">Chamaesaura anguina anguina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</si>
  <si>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FB. 2014b (reprint 2014). </t>
    </r>
    <r>
      <rPr>
        <i/>
        <sz val="11"/>
        <color theme="1"/>
        <rFont val="Calibri"/>
        <family val="2"/>
        <scheme val="minor"/>
      </rPr>
      <t xml:space="preserve">Gerrhosaurus flavigularis </t>
    </r>
    <r>
      <rPr>
        <sz val="11"/>
        <color theme="1"/>
        <rFont val="Calibri"/>
        <family val="2"/>
        <scheme val="minor"/>
      </rPr>
      <t>(</t>
    </r>
    <r>
      <rPr>
        <i/>
        <sz val="11"/>
        <color theme="1"/>
        <rFont val="Calibri"/>
        <family val="2"/>
        <scheme val="minor"/>
      </rPr>
      <t>Wiegmann, 1828).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</si>
  <si>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FB. 2014c (reprint 2014). </t>
    </r>
    <r>
      <rPr>
        <i/>
        <sz val="11"/>
        <color theme="1"/>
        <rFont val="Calibri"/>
        <family val="2"/>
        <scheme val="minor"/>
      </rPr>
      <t xml:space="preserve">Tetradactylus seps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</si>
  <si>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FB. 2014d (reprint 2014). </t>
    </r>
    <r>
      <rPr>
        <i/>
        <sz val="11"/>
        <color theme="1"/>
        <rFont val="Calibri"/>
        <family val="2"/>
        <scheme val="minor"/>
      </rPr>
      <t xml:space="preserve">Tetradactylus tetradactylus </t>
    </r>
    <r>
      <rPr>
        <sz val="11"/>
        <color theme="1"/>
        <rFont val="Calibri"/>
        <family val="2"/>
        <scheme val="minor"/>
      </rPr>
      <t>(</t>
    </r>
    <r>
      <rPr>
        <i/>
        <sz val="11"/>
        <color theme="1"/>
        <rFont val="Calibri"/>
        <family val="2"/>
        <scheme val="minor"/>
      </rPr>
      <t>Daudin, 1802).</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</si>
  <si>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FB. 2014e (reprint 2014). </t>
    </r>
    <r>
      <rPr>
        <i/>
        <sz val="11"/>
        <color theme="1"/>
        <rFont val="Calibri"/>
        <family val="2"/>
        <scheme val="minor"/>
      </rPr>
      <t xml:space="preserve">Pseudocordylus microlepidotus </t>
    </r>
    <r>
      <rPr>
        <sz val="11"/>
        <color theme="1"/>
        <rFont val="Calibri"/>
        <family val="2"/>
        <scheme val="minor"/>
      </rPr>
      <t>(</t>
    </r>
    <r>
      <rPr>
        <i/>
        <sz val="11"/>
        <color theme="1"/>
        <rFont val="Calibri"/>
        <family val="2"/>
        <scheme val="minor"/>
      </rPr>
      <t>Cuvier, 1829).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</si>
  <si>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Bates MF, Bauer AM. 2018. </t>
    </r>
    <r>
      <rPr>
        <i/>
        <sz val="11"/>
        <color theme="1"/>
        <rFont val="Calibri"/>
        <family val="2"/>
        <scheme val="minor"/>
      </rPr>
      <t>Pachydactylus geitje</t>
    </r>
    <r>
      <rPr>
        <sz val="11"/>
        <color theme="1"/>
        <rFont val="Calibri"/>
        <family val="2"/>
        <scheme val="minor"/>
      </rPr>
      <t>. The IUCN Red List of Threatened Species 2018: e.T196935A115663262. https://dx.doi.org/10.2305/IUCN.UK.2018-2.RLTS.T196935A115663262.en.</t>
    </r>
  </si>
  <si>
    <r>
      <t xml:space="preserve">Bates MF, Tolley KA. 2017. </t>
    </r>
    <r>
      <rPr>
        <i/>
        <sz val="11"/>
        <color theme="1"/>
        <rFont val="Calibri"/>
        <family val="2"/>
        <scheme val="minor"/>
      </rPr>
      <t>Chamaesaura anguina</t>
    </r>
    <r>
      <rPr>
        <sz val="11"/>
        <color theme="1"/>
        <rFont val="Calibri"/>
        <family val="2"/>
        <scheme val="minor"/>
      </rPr>
      <t>. The IUCN Red List of Threatened Species 2017</t>
    </r>
  </si>
  <si>
    <r>
      <t xml:space="preserve">Bates MF. 2017. </t>
    </r>
    <r>
      <rPr>
        <i/>
        <sz val="11"/>
        <color theme="1"/>
        <rFont val="Calibri"/>
        <family val="2"/>
        <scheme val="minor"/>
      </rPr>
      <t>Pseudocordylus microlepidotus</t>
    </r>
    <r>
      <rPr>
        <sz val="11"/>
        <color theme="1"/>
        <rFont val="Calibri"/>
        <family val="2"/>
        <scheme val="minor"/>
      </rPr>
      <t>. The IUCN Red List of Threatened Species.</t>
    </r>
  </si>
  <si>
    <r>
      <t>Bauer A. 2014a (reprint 2014). P</t>
    </r>
    <r>
      <rPr>
        <i/>
        <sz val="11"/>
        <color theme="1"/>
        <rFont val="Calibri"/>
        <family val="2"/>
        <scheme val="minor"/>
      </rPr>
      <t xml:space="preserve">achydactylus geitje </t>
    </r>
    <r>
      <rPr>
        <sz val="11"/>
        <color theme="1"/>
        <rFont val="Calibri"/>
        <family val="2"/>
        <scheme val="minor"/>
      </rPr>
      <t>(</t>
    </r>
    <r>
      <rPr>
        <i/>
        <sz val="11"/>
        <color theme="1"/>
        <rFont val="Calibri"/>
        <family val="2"/>
        <scheme val="minor"/>
      </rPr>
      <t>Sparrman, 1778).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</si>
  <si>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Bauer A. 2014b (reprint 2014). </t>
    </r>
    <r>
      <rPr>
        <i/>
        <sz val="11"/>
        <color theme="1"/>
        <rFont val="Calibri"/>
        <family val="2"/>
        <scheme val="minor"/>
      </rPr>
      <t>Typhlosaurus caecus</t>
    </r>
    <r>
      <rPr>
        <sz val="11"/>
        <color theme="1"/>
        <rFont val="Calibri"/>
        <family val="2"/>
        <scheme val="minor"/>
      </rPr>
      <t xml:space="preserve"> (</t>
    </r>
    <r>
      <rPr>
        <i/>
        <sz val="11"/>
        <color theme="1"/>
        <rFont val="Calibri"/>
        <family val="2"/>
        <scheme val="minor"/>
      </rPr>
      <t>Cuvier, 1816[1817]).</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</si>
  <si>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Bauer A. 2014c (reprint 2014). </t>
    </r>
    <r>
      <rPr>
        <i/>
        <sz val="11"/>
        <color theme="1"/>
        <rFont val="Calibri"/>
        <family val="2"/>
        <scheme val="minor"/>
      </rPr>
      <t xml:space="preserve">Acontias meleagris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</si>
  <si>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Boycott CB. 2014 (reprint 2014). </t>
    </r>
    <r>
      <rPr>
        <i/>
        <sz val="11"/>
        <color theme="1"/>
        <rFont val="Calibri"/>
        <family val="2"/>
        <scheme val="minor"/>
      </rPr>
      <t xml:space="preserve">Pelomedusa subrufa </t>
    </r>
    <r>
      <rPr>
        <sz val="11"/>
        <color theme="1"/>
        <rFont val="Calibri"/>
        <family val="2"/>
        <scheme val="minor"/>
      </rPr>
      <t>(</t>
    </r>
    <r>
      <rPr>
        <i/>
        <sz val="11"/>
        <color theme="1"/>
        <rFont val="Calibri"/>
        <family val="2"/>
        <scheme val="minor"/>
      </rPr>
      <t>Bonnaterre, 1789).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</si>
  <si>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Burger M. 2014 (reprint 2014). </t>
    </r>
    <r>
      <rPr>
        <i/>
        <sz val="11"/>
        <color theme="1"/>
        <rFont val="Calibri"/>
        <family val="2"/>
        <scheme val="minor"/>
      </rPr>
      <t xml:space="preserve">Homoroselaps lacteus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</si>
  <si>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Butler MA. 2005. Foraging mode of the chameleon, </t>
    </r>
    <r>
      <rPr>
        <i/>
        <sz val="11"/>
        <color theme="1"/>
        <rFont val="Calibri"/>
        <family val="2"/>
        <scheme val="minor"/>
      </rPr>
      <t>Bradypodion pumilum</t>
    </r>
    <r>
      <rPr>
        <sz val="11"/>
        <color theme="1"/>
        <rFont val="Calibri"/>
        <family val="2"/>
        <scheme val="minor"/>
      </rPr>
      <t xml:space="preserve">: a challenge to the sit-and-wait versus active forager paradigm? Biological Journal of the Linnean Society </t>
    </r>
    <r>
      <rPr>
        <b/>
        <sz val="11"/>
        <color theme="1"/>
        <rFont val="Calibri"/>
        <family val="2"/>
        <scheme val="minor"/>
      </rPr>
      <t>84</t>
    </r>
    <r>
      <rPr>
        <sz val="11"/>
        <color theme="1"/>
        <rFont val="Calibri"/>
        <family val="2"/>
        <scheme val="minor"/>
      </rPr>
      <t>:797–808.</t>
    </r>
  </si>
  <si>
    <r>
      <t xml:space="preserve">Clusella-Trullas S, Botes A. 2008. Faecal analysis suggests generalist diets in three species of Western Cape cordylids. African Zoology </t>
    </r>
    <r>
      <rPr>
        <b/>
        <sz val="11"/>
        <color theme="1"/>
        <rFont val="Calibri"/>
        <family val="2"/>
        <scheme val="minor"/>
      </rPr>
      <t>43</t>
    </r>
    <r>
      <rPr>
        <sz val="11"/>
        <color theme="1"/>
        <rFont val="Calibri"/>
        <family val="2"/>
        <scheme val="minor"/>
      </rPr>
      <t>:125–130.</t>
    </r>
  </si>
  <si>
    <r>
      <t xml:space="preserve">Clusella-Trullas S, Wyk JH, Spotila JR. 2009. Thermal benefits of melanism in cordylid lizards: a theoretical and field test. Ecology </t>
    </r>
    <r>
      <rPr>
        <b/>
        <sz val="11"/>
        <color theme="1"/>
        <rFont val="Calibri"/>
        <family val="2"/>
        <scheme val="minor"/>
      </rPr>
      <t>90</t>
    </r>
    <r>
      <rPr>
        <sz val="11"/>
        <color theme="1"/>
        <rFont val="Calibri"/>
        <family val="2"/>
        <scheme val="minor"/>
      </rPr>
      <t>:2297-2312.</t>
    </r>
  </si>
  <si>
    <r>
      <t xml:space="preserve">Conradie W, Masterson G. 2017. </t>
    </r>
    <r>
      <rPr>
        <i/>
        <sz val="11"/>
        <color theme="1"/>
        <rFont val="Calibri"/>
        <family val="2"/>
        <scheme val="minor"/>
      </rPr>
      <t>Trachylepis capensis</t>
    </r>
    <r>
      <rPr>
        <sz val="11"/>
        <color theme="1"/>
        <rFont val="Calibri"/>
        <family val="2"/>
        <scheme val="minor"/>
      </rPr>
      <t>. The IUCN Red List of Threatened Species 2017.</t>
    </r>
  </si>
  <si>
    <r>
      <t xml:space="preserve">Cooper WE, Whiting MJ. 1999. Foraging modes in lacertid lizards from southern Africa. Amphibia-Reptilia </t>
    </r>
    <r>
      <rPr>
        <b/>
        <sz val="11"/>
        <color theme="1"/>
        <rFont val="Calibri"/>
        <family val="2"/>
        <scheme val="minor"/>
      </rPr>
      <t>20</t>
    </r>
    <r>
      <rPr>
        <sz val="11"/>
        <color theme="1"/>
        <rFont val="Calibri"/>
        <family val="2"/>
        <scheme val="minor"/>
      </rPr>
      <t>:299–311.</t>
    </r>
  </si>
  <si>
    <r>
      <t xml:space="preserve">Cooper WE. 2005. Duration of Movement as a Lizard foraging Movement Variable. Herpetologica </t>
    </r>
    <r>
      <rPr>
        <b/>
        <sz val="11"/>
        <color theme="1"/>
        <rFont val="Calibri"/>
        <family val="2"/>
        <scheme val="minor"/>
      </rPr>
      <t>61</t>
    </r>
    <r>
      <rPr>
        <sz val="11"/>
        <color theme="1"/>
        <rFont val="Calibri"/>
        <family val="2"/>
        <scheme val="minor"/>
      </rPr>
      <t>:363–372.</t>
    </r>
  </si>
  <si>
    <r>
      <t xml:space="preserve">Cordes IG, Mouton PLFN. 1996. The Saldanha-Langebaan area as a refugium for cool-adapted lizard populations: Conservation Priorities. Koedoe </t>
    </r>
    <r>
      <rPr>
        <b/>
        <sz val="11"/>
        <color theme="1"/>
        <rFont val="Calibri"/>
        <family val="2"/>
        <scheme val="minor"/>
      </rPr>
      <t>39</t>
    </r>
    <r>
      <rPr>
        <sz val="11"/>
        <color theme="1"/>
        <rFont val="Calibri"/>
        <family val="2"/>
        <scheme val="minor"/>
      </rPr>
      <t>: 71-83.</t>
    </r>
  </si>
  <si>
    <r>
      <t xml:space="preserve">Cottone AM, Bauer AM. 2010. Sexual Dimorphism, Diet, Reproduction, and Their Geographic Variation in Sympatric Psammophiids, Psammophis crucifer and Psammophylax rhombeatus rhombeatus, from Southern Africa. Copeia </t>
    </r>
    <r>
      <rPr>
        <b/>
        <sz val="11"/>
        <color theme="1"/>
        <rFont val="Calibri"/>
        <family val="2"/>
        <scheme val="minor"/>
      </rPr>
      <t>2010</t>
    </r>
    <r>
      <rPr>
        <sz val="11"/>
        <color theme="1"/>
        <rFont val="Calibri"/>
        <family val="2"/>
        <scheme val="minor"/>
      </rPr>
      <t>:578–590.</t>
    </r>
  </si>
  <si>
    <r>
      <t xml:space="preserve">de Villiers AL, Bates MF. 2014 (reprint 2014). </t>
    </r>
    <r>
      <rPr>
        <i/>
        <sz val="11"/>
        <color theme="1"/>
        <rFont val="Calibri"/>
        <family val="2"/>
        <scheme val="minor"/>
      </rPr>
      <t xml:space="preserve">Acontias meleagris </t>
    </r>
    <r>
      <rPr>
        <sz val="11"/>
        <color theme="1"/>
        <rFont val="Calibri"/>
        <family val="2"/>
        <scheme val="minor"/>
      </rPr>
      <t>(</t>
    </r>
    <r>
      <rPr>
        <i/>
        <sz val="11"/>
        <color theme="1"/>
        <rFont val="Calibri"/>
        <family val="2"/>
        <scheme val="minor"/>
      </rPr>
      <t>Daudin, 1802).</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</si>
  <si>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du Toit A. 2001. The Ecology Of The Cape Grass Lizard, </t>
    </r>
    <r>
      <rPr>
        <i/>
        <sz val="11.5"/>
        <color theme="1"/>
        <rFont val="Calibri"/>
        <family val="2"/>
        <scheme val="minor"/>
      </rPr>
      <t xml:space="preserve">Chamaesaura anguina. </t>
    </r>
    <r>
      <rPr>
        <sz val="11.5"/>
        <color theme="1"/>
        <rFont val="Calibri"/>
        <family val="2"/>
        <scheme val="minor"/>
      </rPr>
      <t>Master’s dissertation. University of Stellenbosch, Stellenbosch, South Africa.</t>
    </r>
  </si>
  <si>
    <r>
      <t xml:space="preserve">Engelbrecht HM, van Niekerk A, Heideman NJL, Daniels SR. 2013. Tracking the impact of Pliocene/Pleistocene sea level and climatic oscillations on the cladogenesis of the Cape legless skink, </t>
    </r>
    <r>
      <rPr>
        <i/>
        <sz val="11"/>
        <color theme="1"/>
        <rFont val="Calibri"/>
        <family val="2"/>
        <scheme val="minor"/>
      </rPr>
      <t>Acontias meleagris</t>
    </r>
    <r>
      <rPr>
        <sz val="11"/>
        <color theme="1"/>
        <rFont val="Calibri"/>
        <family val="2"/>
        <scheme val="minor"/>
      </rPr>
      <t xml:space="preserve"> species complex, in South Africa. Journal of Biogeography </t>
    </r>
    <r>
      <rPr>
        <b/>
        <sz val="11"/>
        <color theme="1"/>
        <rFont val="Calibri"/>
        <family val="2"/>
        <scheme val="minor"/>
      </rPr>
      <t>40</t>
    </r>
    <r>
      <rPr>
        <sz val="11"/>
        <color theme="1"/>
        <rFont val="Calibri"/>
        <family val="2"/>
        <scheme val="minor"/>
      </rPr>
      <t>:492–506.</t>
    </r>
  </si>
  <si>
    <r>
      <t xml:space="preserve">Flemming AF. 1994. Male and Female Reproductive Cycles of the Viviparous Lizard, Mabuya capensis (Sauria: Scincidae) from South Africa. Journal of Herpetology </t>
    </r>
    <r>
      <rPr>
        <b/>
        <sz val="11"/>
        <color theme="1"/>
        <rFont val="Calibri"/>
        <family val="2"/>
        <scheme val="minor"/>
      </rPr>
      <t>28</t>
    </r>
    <r>
      <rPr>
        <sz val="11"/>
        <color theme="1"/>
        <rFont val="Calibri"/>
        <family val="2"/>
        <scheme val="minor"/>
      </rPr>
      <t>:334–341.</t>
    </r>
  </si>
  <si>
    <r>
      <t xml:space="preserve">Heideman NJL, Mulcahy DG, Sites JW, Hendricks MGJ, Daniels SR. 2011. Cryptic diversity and morphological convergence in threatened species of fossorial skinks in the genus Scelotes (Squamata: Scincidae) from the Western Cape Coast of South Africa: Implications for species boundaries, digit reduction and conservation. Molecular Phylogenetics and Evolution </t>
    </r>
    <r>
      <rPr>
        <b/>
        <sz val="11"/>
        <color theme="1"/>
        <rFont val="Calibri"/>
        <family val="2"/>
        <scheme val="minor"/>
      </rPr>
      <t>61</t>
    </r>
    <r>
      <rPr>
        <sz val="11"/>
        <color theme="1"/>
        <rFont val="Calibri"/>
        <family val="2"/>
        <scheme val="minor"/>
      </rPr>
      <t>:823–833.</t>
    </r>
  </si>
  <si>
    <r>
      <t xml:space="preserve">Hofmeyr MD, Baard EHW. 2014 (reprint 2014). </t>
    </r>
    <r>
      <rPr>
        <i/>
        <sz val="11"/>
        <color theme="1"/>
        <rFont val="Calibri"/>
        <family val="2"/>
        <scheme val="minor"/>
      </rPr>
      <t xml:space="preserve">Homopus areolatus </t>
    </r>
    <r>
      <rPr>
        <sz val="11"/>
        <color theme="1"/>
        <rFont val="Calibri"/>
        <family val="2"/>
        <scheme val="minor"/>
      </rPr>
      <t>(</t>
    </r>
    <r>
      <rPr>
        <i/>
        <sz val="11"/>
        <color theme="1"/>
        <rFont val="Calibri"/>
        <family val="2"/>
        <scheme val="minor"/>
      </rPr>
      <t>Thunberg, 1787).</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</si>
  <si>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Hofmeyr MD, Keswick T. 2018a. </t>
    </r>
    <r>
      <rPr>
        <i/>
        <sz val="11"/>
        <color theme="1"/>
        <rFont val="Calibri"/>
        <family val="2"/>
        <scheme val="minor"/>
      </rPr>
      <t>Chersina angulata.</t>
    </r>
    <r>
      <rPr>
        <sz val="11"/>
        <color theme="1"/>
        <rFont val="Calibri"/>
        <family val="2"/>
        <scheme val="minor"/>
      </rPr>
      <t xml:space="preserve"> The IUCN Red List of Threatened Species 2018: e.T170519A115655918. Available from https://dx.doi.org/10.2305/IUCN.UK.2018-2.RLTS.T170519A115655918.en.</t>
    </r>
  </si>
  <si>
    <r>
      <t xml:space="preserve">Joshua QJ, Hofmeyr MD, Henen BT. 2010. Seasonal and site variation in angulate tortoise diet and activity. Journal of Herpetology </t>
    </r>
    <r>
      <rPr>
        <b/>
        <sz val="11"/>
        <color theme="1"/>
        <rFont val="Calibri"/>
        <family val="2"/>
        <scheme val="minor"/>
      </rPr>
      <t>44</t>
    </r>
    <r>
      <rPr>
        <sz val="11"/>
        <color theme="1"/>
        <rFont val="Calibri"/>
        <family val="2"/>
        <scheme val="minor"/>
      </rPr>
      <t>: 124-134.</t>
    </r>
  </si>
  <si>
    <r>
      <t xml:space="preserve">Katz EM, Tolley KA, Bishop JM. 2014. Temporal changes in allelic variation among Cape Dwarf Chameleons, </t>
    </r>
    <r>
      <rPr>
        <i/>
        <sz val="11"/>
        <color theme="1"/>
        <rFont val="Calibri"/>
        <family val="2"/>
        <scheme val="minor"/>
      </rPr>
      <t>Bradypodion pumilum</t>
    </r>
    <r>
      <rPr>
        <sz val="11"/>
        <color theme="1"/>
        <rFont val="Calibri"/>
        <family val="2"/>
        <scheme val="minor"/>
      </rPr>
      <t xml:space="preserve">, inhabiting a transformed, semi-urban wetland. African Journal of Herpetology </t>
    </r>
    <r>
      <rPr>
        <b/>
        <sz val="11"/>
        <color theme="1"/>
        <rFont val="Calibri"/>
        <family val="2"/>
        <scheme val="minor"/>
      </rPr>
      <t>63</t>
    </r>
    <r>
      <rPr>
        <sz val="11"/>
        <color theme="1"/>
        <rFont val="Calibri"/>
        <family val="2"/>
        <scheme val="minor"/>
      </rPr>
      <t>:1–12.</t>
    </r>
  </si>
  <si>
    <r>
      <t xml:space="preserve">Keogh J, Branch W, Shine R. 2000. Feeding ecology, reproduction and sexual dimorphism in the colubrid snake </t>
    </r>
    <r>
      <rPr>
        <i/>
        <sz val="11"/>
        <color theme="1"/>
        <rFont val="Calibri"/>
        <family val="2"/>
        <scheme val="minor"/>
      </rPr>
      <t>Crotaphopeltis hotamboeia</t>
    </r>
    <r>
      <rPr>
        <sz val="11"/>
        <color theme="1"/>
        <rFont val="Calibri"/>
        <family val="2"/>
        <scheme val="minor"/>
      </rPr>
      <t xml:space="preserve"> in southern Africa, Herpetological Association of Africa Journal. </t>
    </r>
    <r>
      <rPr>
        <b/>
        <sz val="11"/>
        <color theme="1"/>
        <rFont val="Calibri"/>
        <family val="2"/>
        <scheme val="minor"/>
      </rPr>
      <t>49</t>
    </r>
    <r>
      <rPr>
        <sz val="11"/>
        <color theme="1"/>
        <rFont val="Calibri"/>
        <family val="2"/>
        <scheme val="minor"/>
      </rPr>
      <t>: 129-137.</t>
    </r>
  </si>
  <si>
    <r>
      <t xml:space="preserve">Layloo I, Smith C, Maritz B. 2017. Diet and feeding in the Cape Cobra, </t>
    </r>
    <r>
      <rPr>
        <i/>
        <sz val="11"/>
        <color theme="1"/>
        <rFont val="Calibri"/>
        <family val="2"/>
        <scheme val="minor"/>
      </rPr>
      <t>Naja nivea</t>
    </r>
    <r>
      <rPr>
        <sz val="11"/>
        <color theme="1"/>
        <rFont val="Calibri"/>
        <family val="2"/>
        <scheme val="minor"/>
      </rPr>
      <t xml:space="preserve">. African Journal of Herpetology </t>
    </r>
    <r>
      <rPr>
        <b/>
        <sz val="11"/>
        <color theme="1"/>
        <rFont val="Calibri"/>
        <family val="2"/>
        <scheme val="minor"/>
      </rPr>
      <t>66</t>
    </r>
    <r>
      <rPr>
        <sz val="11"/>
        <color theme="1"/>
        <rFont val="Calibri"/>
        <family val="2"/>
        <scheme val="minor"/>
      </rPr>
      <t>:147–153.</t>
    </r>
  </si>
  <si>
    <r>
      <t xml:space="preserve">Lesia MG, Hofmeyr MD, D΄ Amato ME. (2003). Genetic variation in three </t>
    </r>
    <r>
      <rPr>
        <i/>
        <sz val="11"/>
        <color theme="1"/>
        <rFont val="Calibri"/>
        <family val="2"/>
        <scheme val="minor"/>
      </rPr>
      <t>Chersina angulata</t>
    </r>
    <r>
      <rPr>
        <sz val="11"/>
        <color theme="1"/>
        <rFont val="Calibri"/>
        <family val="2"/>
        <scheme val="minor"/>
      </rPr>
      <t xml:space="preserve"> (angulate tortoise) populations along the west coast of South Africa. African Zoology, </t>
    </r>
    <r>
      <rPr>
        <b/>
        <sz val="11"/>
        <color theme="1"/>
        <rFont val="Calibri"/>
        <family val="2"/>
        <scheme val="minor"/>
      </rPr>
      <t>38</t>
    </r>
    <r>
      <rPr>
        <sz val="11"/>
        <color theme="1"/>
        <rFont val="Calibri"/>
        <family val="2"/>
        <scheme val="minor"/>
      </rPr>
      <t>:109-117.</t>
    </r>
  </si>
  <si>
    <r>
      <t xml:space="preserve">Marais J, Bauer AM. 2014 (reprint 2014). </t>
    </r>
    <r>
      <rPr>
        <i/>
        <sz val="11"/>
        <color theme="1"/>
        <rFont val="Calibri"/>
        <family val="2"/>
        <scheme val="minor"/>
      </rPr>
      <t xml:space="preserve">Scelotes bipes </t>
    </r>
    <r>
      <rPr>
        <sz val="11"/>
        <color theme="1"/>
        <rFont val="Calibri"/>
        <family val="2"/>
        <scheme val="minor"/>
      </rPr>
      <t>(</t>
    </r>
    <r>
      <rPr>
        <i/>
        <sz val="11"/>
        <color theme="1"/>
        <rFont val="Calibri"/>
        <family val="2"/>
        <scheme val="minor"/>
      </rPr>
      <t>Linnaeus, 1766).</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</si>
  <si>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2014a (reprint 2014). </t>
    </r>
    <r>
      <rPr>
        <i/>
        <sz val="11"/>
        <color theme="1"/>
        <rFont val="Calibri"/>
        <family val="2"/>
        <scheme val="minor"/>
      </rPr>
      <t xml:space="preserve">Crotaphopeltis hotamboeia </t>
    </r>
    <r>
      <rPr>
        <sz val="11"/>
        <color theme="1"/>
        <rFont val="Calibri"/>
        <family val="2"/>
        <scheme val="minor"/>
      </rPr>
      <t>(</t>
    </r>
    <r>
      <rPr>
        <i/>
        <sz val="11"/>
        <color theme="1"/>
        <rFont val="Calibri"/>
        <family val="2"/>
        <scheme val="minor"/>
      </rPr>
      <t>Laurenti, 1768).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</si>
  <si>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2014b (reprint 2014). </t>
    </r>
    <r>
      <rPr>
        <i/>
        <sz val="11"/>
        <color theme="1"/>
        <rFont val="Calibri"/>
        <family val="2"/>
        <scheme val="minor"/>
      </rPr>
      <t xml:space="preserve">Pseudaspis cana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</si>
  <si>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2014c (reprint 2014). </t>
    </r>
    <r>
      <rPr>
        <i/>
        <sz val="11"/>
        <color theme="1"/>
        <rFont val="Calibri"/>
        <family val="2"/>
        <scheme val="minor"/>
      </rPr>
      <t xml:space="preserve">Amplorhinus multimaculatus </t>
    </r>
    <r>
      <rPr>
        <sz val="11"/>
        <color theme="1"/>
        <rFont val="Calibri"/>
        <family val="2"/>
        <scheme val="minor"/>
      </rPr>
      <t>(</t>
    </r>
    <r>
      <rPr>
        <i/>
        <sz val="11"/>
        <color theme="1"/>
        <rFont val="Calibri"/>
        <family val="2"/>
        <scheme val="minor"/>
      </rPr>
      <t>Smith, 1847).</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</si>
  <si>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2014d (reprint 2014). </t>
    </r>
    <r>
      <rPr>
        <i/>
        <sz val="11"/>
        <color theme="1"/>
        <rFont val="Calibri"/>
        <family val="2"/>
        <scheme val="minor"/>
      </rPr>
      <t xml:space="preserve">Dasypeltis scabra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</si>
  <si>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2014e (reprint 2014). </t>
    </r>
    <r>
      <rPr>
        <i/>
        <sz val="11"/>
        <color theme="1"/>
        <rFont val="Calibri"/>
        <family val="2"/>
        <scheme val="minor"/>
      </rPr>
      <t xml:space="preserve">Dispholidus typus </t>
    </r>
    <r>
      <rPr>
        <sz val="11"/>
        <color theme="1"/>
        <rFont val="Calibri"/>
        <family val="2"/>
        <scheme val="minor"/>
      </rPr>
      <t>(</t>
    </r>
    <r>
      <rPr>
        <i/>
        <sz val="11"/>
        <color theme="1"/>
        <rFont val="Calibri"/>
        <family val="2"/>
        <scheme val="minor"/>
      </rPr>
      <t>Smith, 1828).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</si>
  <si>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Marais J. 2014f (reprint 2014). </t>
    </r>
    <r>
      <rPr>
        <i/>
        <sz val="11"/>
        <color theme="1"/>
        <rFont val="Calibri"/>
        <family val="2"/>
        <scheme val="minor"/>
      </rPr>
      <t xml:space="preserve">Duberria lutrix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</si>
  <si>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Marias J, Turner AA. 2017a. </t>
    </r>
    <r>
      <rPr>
        <i/>
        <sz val="11"/>
        <color theme="1"/>
        <rFont val="Calibri"/>
        <family val="2"/>
        <scheme val="minor"/>
      </rPr>
      <t>Dasypeltis scabra</t>
    </r>
    <r>
      <rPr>
        <sz val="11"/>
        <color theme="1"/>
        <rFont val="Calibri"/>
        <family val="2"/>
        <scheme val="minor"/>
      </rPr>
      <t>_new. The IUCN Red List of Threatened Species.</t>
    </r>
  </si>
  <si>
    <r>
      <t xml:space="preserve">Marias J, Turner AA. 2017b. </t>
    </r>
    <r>
      <rPr>
        <i/>
        <sz val="11"/>
        <color rgb="FF000000"/>
        <rFont val="Calibri"/>
        <family val="2"/>
        <scheme val="minor"/>
      </rPr>
      <t>Dispholidus typus</t>
    </r>
    <r>
      <rPr>
        <sz val="11"/>
        <color theme="1"/>
        <rFont val="Calibri"/>
        <family val="2"/>
        <scheme val="minor"/>
      </rPr>
      <t>. The IUCN Red List of Threatened Species.</t>
    </r>
  </si>
  <si>
    <r>
      <t xml:space="preserve">Maritz B, Alexander GJ. 2008. Breaking ground: Quantitative fossorial herpetofaunal ecology in South Africa. African Journal of Herpetology </t>
    </r>
    <r>
      <rPr>
        <b/>
        <sz val="11"/>
        <color theme="1"/>
        <rFont val="Calibri"/>
        <family val="2"/>
        <scheme val="minor"/>
      </rPr>
      <t>58</t>
    </r>
    <r>
      <rPr>
        <sz val="11"/>
        <color theme="1"/>
        <rFont val="Calibri"/>
        <family val="2"/>
        <scheme val="minor"/>
      </rPr>
      <t>:1–14.</t>
    </r>
  </si>
  <si>
    <r>
      <t xml:space="preserve">Maritz B, Alexander GJ. 2014 (reprint 2014). </t>
    </r>
    <r>
      <rPr>
        <i/>
        <sz val="11"/>
        <color theme="1"/>
        <rFont val="Calibri"/>
        <family val="2"/>
        <scheme val="minor"/>
      </rPr>
      <t xml:space="preserve">Naja nivea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</si>
  <si>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Marias J. 2017. </t>
    </r>
    <r>
      <rPr>
        <i/>
        <sz val="11"/>
        <color theme="1"/>
        <rFont val="Calibri"/>
        <family val="2"/>
        <scheme val="minor"/>
      </rPr>
      <t>Pseudaspis cana</t>
    </r>
    <r>
      <rPr>
        <sz val="11"/>
        <color theme="1"/>
        <rFont val="Calibri"/>
        <family val="2"/>
        <scheme val="minor"/>
      </rPr>
      <t>. The IUCN Red List of Threatened Species.</t>
    </r>
  </si>
  <si>
    <r>
      <t xml:space="preserve">Maritz B, Masterson G. 2017. </t>
    </r>
    <r>
      <rPr>
        <i/>
        <sz val="11"/>
        <color theme="1"/>
        <rFont val="Calibri"/>
        <family val="2"/>
        <scheme val="minor"/>
      </rPr>
      <t>Psammophylax rhombeatus</t>
    </r>
    <r>
      <rPr>
        <sz val="11"/>
        <color theme="1"/>
        <rFont val="Calibri"/>
        <family val="2"/>
        <scheme val="minor"/>
      </rPr>
      <t>. The IUCN Red List of Threatened Species.</t>
    </r>
  </si>
  <si>
    <r>
      <t xml:space="preserve">Maritz B. 2014a (reprint 2014). </t>
    </r>
    <r>
      <rPr>
        <i/>
        <sz val="11"/>
        <color theme="1"/>
        <rFont val="Calibri"/>
        <family val="2"/>
        <scheme val="minor"/>
      </rPr>
      <t xml:space="preserve">Lamprophis aurora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</si>
  <si>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2014b (reprint 2014). </t>
    </r>
    <r>
      <rPr>
        <i/>
        <sz val="11"/>
        <color theme="1"/>
        <rFont val="Calibri"/>
        <family val="2"/>
        <scheme val="minor"/>
      </rPr>
      <t xml:space="preserve">Lycodonomorphus rufulus </t>
    </r>
    <r>
      <rPr>
        <sz val="11"/>
        <color theme="1"/>
        <rFont val="Calibri"/>
        <family val="2"/>
        <scheme val="minor"/>
      </rPr>
      <t>(</t>
    </r>
    <r>
      <rPr>
        <i/>
        <sz val="11"/>
        <color theme="1"/>
        <rFont val="Calibri"/>
        <family val="2"/>
        <scheme val="minor"/>
      </rPr>
      <t>Lichtenstein, 1823).</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</si>
  <si>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2014c (reprint 2014). </t>
    </r>
    <r>
      <rPr>
        <i/>
        <sz val="11"/>
        <color theme="1"/>
        <rFont val="Calibri"/>
        <family val="2"/>
        <scheme val="minor"/>
      </rPr>
      <t xml:space="preserve">Psammophis notostictus </t>
    </r>
    <r>
      <rPr>
        <sz val="11"/>
        <color theme="1"/>
        <rFont val="Calibri"/>
        <family val="2"/>
        <scheme val="minor"/>
      </rPr>
      <t>(</t>
    </r>
    <r>
      <rPr>
        <i/>
        <sz val="11"/>
        <color theme="1"/>
        <rFont val="Calibri"/>
        <family val="2"/>
        <scheme val="minor"/>
      </rPr>
      <t>Peters, 1867).</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</si>
  <si>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2014d (reprint 2014). </t>
    </r>
    <r>
      <rPr>
        <i/>
        <sz val="11"/>
        <color theme="1"/>
        <rFont val="Calibri"/>
        <family val="2"/>
        <scheme val="minor"/>
      </rPr>
      <t xml:space="preserve">Lamprophis fuscus </t>
    </r>
    <r>
      <rPr>
        <sz val="11"/>
        <color theme="1"/>
        <rFont val="Calibri"/>
        <family val="2"/>
        <scheme val="minor"/>
      </rPr>
      <t>(</t>
    </r>
    <r>
      <rPr>
        <i/>
        <sz val="11"/>
        <color theme="1"/>
        <rFont val="Calibri"/>
        <family val="2"/>
        <scheme val="minor"/>
      </rPr>
      <t>Boulenger, 1893).</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</si>
  <si>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2014e (reprint 2014). </t>
    </r>
    <r>
      <rPr>
        <i/>
        <sz val="11"/>
        <color theme="1"/>
        <rFont val="Calibri"/>
        <family val="2"/>
        <scheme val="minor"/>
      </rPr>
      <t xml:space="preserve">Lycodonomorphus inornatus </t>
    </r>
    <r>
      <rPr>
        <sz val="11"/>
        <color theme="1"/>
        <rFont val="Calibri"/>
        <family val="2"/>
        <scheme val="minor"/>
      </rPr>
      <t>(</t>
    </r>
    <r>
      <rPr>
        <i/>
        <sz val="11"/>
        <color theme="1"/>
        <rFont val="Calibri"/>
        <family val="2"/>
        <scheme val="minor"/>
      </rPr>
      <t>Dumeril, Bibron &amp; Dumeril, 1854).</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</si>
  <si>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Maritz B. 2017a. </t>
    </r>
    <r>
      <rPr>
        <i/>
        <sz val="11"/>
        <color theme="1"/>
        <rFont val="Calibri"/>
        <family val="2"/>
        <scheme val="minor"/>
      </rPr>
      <t>Lycodonomorphus rufulus</t>
    </r>
    <r>
      <rPr>
        <sz val="11"/>
        <color theme="1"/>
        <rFont val="Calibri"/>
        <family val="2"/>
        <scheme val="minor"/>
      </rPr>
      <t>. The IUCN Red List of Threatened Species.</t>
    </r>
  </si>
  <si>
    <r>
      <t xml:space="preserve">Maritz B. 2017b. </t>
    </r>
    <r>
      <rPr>
        <i/>
        <sz val="11"/>
        <color theme="1"/>
        <rFont val="Calibri"/>
        <family val="2"/>
        <scheme val="minor"/>
      </rPr>
      <t>Psammophis notostictus</t>
    </r>
    <r>
      <rPr>
        <sz val="11"/>
        <color theme="1"/>
        <rFont val="Calibri"/>
        <family val="2"/>
        <scheme val="minor"/>
      </rPr>
      <t>. The IUCN Red List of Threatened Species.</t>
    </r>
  </si>
  <si>
    <r>
      <t xml:space="preserve">Masterson G. 2014a (reprint 2014). </t>
    </r>
    <r>
      <rPr>
        <i/>
        <sz val="11"/>
        <color theme="1"/>
        <rFont val="Calibri"/>
        <family val="2"/>
        <scheme val="minor"/>
      </rPr>
      <t xml:space="preserve">Psammophylax rhombeatus rhombeatus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</si>
  <si>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Masterson G. 2014b (reprint 2014). T</t>
    </r>
    <r>
      <rPr>
        <i/>
        <sz val="11"/>
        <color theme="1"/>
        <rFont val="Calibri"/>
        <family val="2"/>
        <scheme val="minor"/>
      </rPr>
      <t xml:space="preserve">rachylepis capensis </t>
    </r>
    <r>
      <rPr>
        <sz val="11"/>
        <color theme="1"/>
        <rFont val="Calibri"/>
        <family val="2"/>
        <scheme val="minor"/>
      </rPr>
      <t>(</t>
    </r>
    <r>
      <rPr>
        <i/>
        <sz val="11"/>
        <color theme="1"/>
        <rFont val="Calibri"/>
        <family val="2"/>
        <scheme val="minor"/>
      </rPr>
      <t>Gray, 1831).</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</si>
  <si>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Masterson G. 2014c (reprint 2014). </t>
    </r>
    <r>
      <rPr>
        <i/>
        <sz val="11"/>
        <color theme="1"/>
        <rFont val="Calibri"/>
        <family val="2"/>
        <scheme val="minor"/>
      </rPr>
      <t>Trachylepis homalocephala</t>
    </r>
    <r>
      <rPr>
        <sz val="11"/>
        <color theme="1"/>
        <rFont val="Calibri"/>
        <family val="2"/>
        <scheme val="minor"/>
      </rPr>
      <t xml:space="preserve"> (</t>
    </r>
    <r>
      <rPr>
        <i/>
        <sz val="11"/>
        <color theme="1"/>
        <rFont val="Calibri"/>
        <family val="2"/>
        <scheme val="minor"/>
      </rPr>
      <t>Wiegmann, 1828).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</si>
  <si>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Measey GJ. 2017. </t>
    </r>
    <r>
      <rPr>
        <i/>
        <sz val="11"/>
        <color theme="1"/>
        <rFont val="Calibri"/>
        <family val="2"/>
        <scheme val="minor"/>
      </rPr>
      <t>Rhinotyphlops lalandei</t>
    </r>
    <r>
      <rPr>
        <sz val="11"/>
        <color theme="1"/>
        <rFont val="Calibri"/>
        <family val="2"/>
        <scheme val="minor"/>
      </rPr>
      <t>. The IUCN Red List of Threatened Species.</t>
    </r>
  </si>
  <si>
    <r>
      <t xml:space="preserve">Measey JG. 2014 (reprint 2014). </t>
    </r>
    <r>
      <rPr>
        <i/>
        <sz val="11"/>
        <color theme="1"/>
        <rFont val="Calibri"/>
        <family val="2"/>
        <scheme val="minor"/>
      </rPr>
      <t xml:space="preserve">Rhinotyphlops lalandei </t>
    </r>
    <r>
      <rPr>
        <sz val="11"/>
        <color theme="1"/>
        <rFont val="Calibri"/>
        <family val="2"/>
        <scheme val="minor"/>
      </rPr>
      <t>(</t>
    </r>
    <r>
      <rPr>
        <i/>
        <sz val="11"/>
        <color theme="1"/>
        <rFont val="Calibri"/>
        <family val="2"/>
        <scheme val="minor"/>
      </rPr>
      <t>Schlegel, 1839).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</si>
  <si>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Meiri S. 2018. Traits of lizards of the world: Variation around a successful evolutionary design. Global Ecology and Biogeography </t>
    </r>
    <r>
      <rPr>
        <b/>
        <sz val="11"/>
        <color theme="1"/>
        <rFont val="Calibri"/>
        <family val="2"/>
        <scheme val="minor"/>
      </rPr>
      <t>27</t>
    </r>
    <r>
      <rPr>
        <sz val="11"/>
        <color theme="1"/>
        <rFont val="Calibri"/>
        <family val="2"/>
        <scheme val="minor"/>
      </rPr>
      <t>:1168–1172.</t>
    </r>
  </si>
  <si>
    <r>
      <t>Miller AK, Maritz B, McKay S, Glaudas X, Alexander GJ. 2015. An ambusher’s arsenal: chemical crypsis in the puff adder (</t>
    </r>
    <r>
      <rPr>
        <i/>
        <sz val="11"/>
        <color theme="1"/>
        <rFont val="Calibri"/>
        <family val="2"/>
        <scheme val="minor"/>
      </rPr>
      <t>Bitis arietans</t>
    </r>
    <r>
      <rPr>
        <sz val="11"/>
        <color theme="1"/>
        <rFont val="Calibri"/>
        <family val="2"/>
        <scheme val="minor"/>
      </rPr>
      <t xml:space="preserve">). Proceedings of the Royal Society B: Biological Sciences </t>
    </r>
    <r>
      <rPr>
        <b/>
        <sz val="11"/>
        <color theme="1"/>
        <rFont val="Calibri"/>
        <family val="2"/>
        <scheme val="minor"/>
      </rPr>
      <t>282</t>
    </r>
    <r>
      <rPr>
        <sz val="11"/>
        <color theme="1"/>
        <rFont val="Calibri"/>
        <family val="2"/>
        <scheme val="minor"/>
      </rPr>
      <t>:20152182.</t>
    </r>
  </si>
  <si>
    <r>
      <t xml:space="preserve">Mouton PLFN, Flemming AF, Stanley E. 2012. Synchronized versus asynchronized breeding in cordylid lizards: an evolutionary perspective. Journal of Zoology </t>
    </r>
    <r>
      <rPr>
        <b/>
        <sz val="11"/>
        <color theme="1"/>
        <rFont val="Calibri"/>
        <family val="2"/>
        <scheme val="minor"/>
      </rPr>
      <t>288</t>
    </r>
    <r>
      <rPr>
        <sz val="11"/>
        <color theme="1"/>
        <rFont val="Calibri"/>
        <family val="2"/>
        <scheme val="minor"/>
      </rPr>
      <t>:191–198.</t>
    </r>
  </si>
  <si>
    <r>
      <t xml:space="preserve">Mouton PLFN. 2014a (reprint 2014). </t>
    </r>
    <r>
      <rPr>
        <i/>
        <sz val="11"/>
        <color theme="1"/>
        <rFont val="Calibri"/>
        <family val="2"/>
        <scheme val="minor"/>
      </rPr>
      <t xml:space="preserve">Cordylus cordylus </t>
    </r>
    <r>
      <rPr>
        <sz val="11"/>
        <color theme="1"/>
        <rFont val="Calibri"/>
        <family val="2"/>
        <scheme val="minor"/>
      </rPr>
      <t>(</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</si>
  <si>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Mouton PLFN. 2014b (reprint 2014). </t>
    </r>
    <r>
      <rPr>
        <i/>
        <sz val="11"/>
        <color theme="1"/>
        <rFont val="Calibri"/>
        <family val="2"/>
        <scheme val="minor"/>
      </rPr>
      <t xml:space="preserve">Cordylus niger </t>
    </r>
    <r>
      <rPr>
        <sz val="11"/>
        <color theme="1"/>
        <rFont val="Calibri"/>
        <family val="2"/>
        <scheme val="minor"/>
      </rPr>
      <t>(</t>
    </r>
    <r>
      <rPr>
        <i/>
        <sz val="11"/>
        <color theme="1"/>
        <rFont val="Calibri"/>
        <family val="2"/>
        <scheme val="minor"/>
      </rPr>
      <t>Cuvier, 1829).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</si>
  <si>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Pyron RA, Burbrink FT. 2014. Early origin of viviparity and multiple reversions to oviparity in squamate reptiles. Ecology Letters </t>
    </r>
    <r>
      <rPr>
        <b/>
        <sz val="11"/>
        <color theme="1"/>
        <rFont val="Calibri"/>
        <family val="2"/>
        <scheme val="minor"/>
      </rPr>
      <t>17</t>
    </r>
    <r>
      <rPr>
        <sz val="11"/>
        <color theme="1"/>
        <rFont val="Calibri"/>
        <family val="2"/>
        <scheme val="minor"/>
      </rPr>
      <t>:13–21.</t>
    </r>
  </si>
  <si>
    <r>
      <t>Ramsay SL, Hofmeyr MD, Joshua QI. 2002. Activity Patterns of the Angulate Tortoise (Chersina angulata) on Dassen Island, South Africa. Journal of Herpetology</t>
    </r>
    <r>
      <rPr>
        <b/>
        <sz val="11"/>
        <color theme="1"/>
        <rFont val="Calibri"/>
        <family val="2"/>
        <scheme val="minor"/>
      </rPr>
      <t xml:space="preserve"> 36</t>
    </r>
    <r>
      <rPr>
        <sz val="11"/>
        <color theme="1"/>
        <rFont val="Calibri"/>
        <family val="2"/>
        <scheme val="minor"/>
      </rPr>
      <t>:161–169.</t>
    </r>
  </si>
  <si>
    <r>
      <t>Rebelo AD. 2014. Movement of the Cape dwarf chameleon (</t>
    </r>
    <r>
      <rPr>
        <i/>
        <sz val="11.5"/>
        <color theme="1"/>
        <rFont val="Calibri"/>
        <family val="2"/>
        <scheme val="minor"/>
      </rPr>
      <t>Bradypodion pumilum</t>
    </r>
    <r>
      <rPr>
        <sz val="11.5"/>
        <color theme="1"/>
        <rFont val="Calibri"/>
        <family val="2"/>
        <scheme val="minor"/>
      </rPr>
      <t>): are they vulnerable to habitat fragmentation? Honours dissertation. University of Cape Town, Cape Town, South Africa.</t>
    </r>
  </si>
  <si>
    <r>
      <t xml:space="preserve">Scharf I et al. 2015. Late bloomers and baby boomers: ecological drivers of longevity in squamates and the tuatara. Global Ecology and Biogeography </t>
    </r>
    <r>
      <rPr>
        <b/>
        <sz val="11"/>
        <color theme="1"/>
        <rFont val="Calibri"/>
        <family val="2"/>
        <scheme val="minor"/>
      </rPr>
      <t>24</t>
    </r>
    <r>
      <rPr>
        <sz val="11"/>
        <color theme="1"/>
        <rFont val="Calibri"/>
        <family val="2"/>
        <scheme val="minor"/>
      </rPr>
      <t>:396–405.</t>
    </r>
  </si>
  <si>
    <r>
      <t xml:space="preserve">Tolley KA, Raw RN V, Altwegg R, Measey GJ. 2010. Chameleons on the Move: Survival and Movement of the Cape Dwarf Chameleon, Bradypodion pumilum, within a Fragmented Urban Habitat. African Zoology </t>
    </r>
    <r>
      <rPr>
        <b/>
        <sz val="11"/>
        <color theme="1"/>
        <rFont val="Calibri"/>
        <family val="2"/>
        <scheme val="minor"/>
      </rPr>
      <t>45</t>
    </r>
    <r>
      <rPr>
        <sz val="11"/>
        <color theme="1"/>
        <rFont val="Calibri"/>
        <family val="2"/>
        <scheme val="minor"/>
      </rPr>
      <t>:99–106.</t>
    </r>
  </si>
  <si>
    <r>
      <t xml:space="preserve">Tolley KA. 2014 (reprint 2014). </t>
    </r>
    <r>
      <rPr>
        <i/>
        <sz val="11"/>
        <color theme="1"/>
        <rFont val="Calibri"/>
        <family val="2"/>
        <scheme val="minor"/>
      </rPr>
      <t>Bradypodion pumilum</t>
    </r>
    <r>
      <rPr>
        <sz val="11"/>
        <color theme="1"/>
        <rFont val="Calibri"/>
        <family val="2"/>
        <scheme val="minor"/>
      </rPr>
      <t xml:space="preserve"> (</t>
    </r>
    <r>
      <rPr>
        <i/>
        <sz val="11"/>
        <color theme="1"/>
        <rFont val="Calibri"/>
        <family val="2"/>
        <scheme val="minor"/>
      </rPr>
      <t>Gmelin, 1789).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</si>
  <si>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Turner AA. 2014a (reprint 2014). </t>
    </r>
    <r>
      <rPr>
        <i/>
        <sz val="11"/>
        <color theme="1"/>
        <rFont val="Calibri"/>
        <family val="2"/>
        <scheme val="minor"/>
      </rPr>
      <t>Bitis arietans arietans</t>
    </r>
    <r>
      <rPr>
        <sz val="11"/>
        <color theme="1"/>
        <rFont val="Calibri"/>
        <family val="2"/>
        <scheme val="minor"/>
      </rPr>
      <t xml:space="preserve"> (</t>
    </r>
    <r>
      <rPr>
        <i/>
        <sz val="11"/>
        <color theme="1"/>
        <rFont val="Calibri"/>
        <family val="2"/>
        <scheme val="minor"/>
      </rPr>
      <t>Merrem, 1820).</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</si>
  <si>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Turner AA. 2014b (reprint 2014). </t>
    </r>
    <r>
      <rPr>
        <i/>
        <sz val="11"/>
        <color theme="1"/>
        <rFont val="Calibri"/>
        <family val="2"/>
        <scheme val="minor"/>
      </rPr>
      <t>Bitis atropos</t>
    </r>
    <r>
      <rPr>
        <sz val="11"/>
        <color theme="1"/>
        <rFont val="Calibri"/>
        <family val="2"/>
        <scheme val="minor"/>
      </rPr>
      <t xml:space="preserve"> (</t>
    </r>
    <r>
      <rPr>
        <i/>
        <sz val="11"/>
        <color theme="1"/>
        <rFont val="Calibri"/>
        <family val="2"/>
        <scheme val="minor"/>
      </rPr>
      <t>Linnaeus, 1758).</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</si>
  <si>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Turner AA. 2014c (reprint 2014). </t>
    </r>
    <r>
      <rPr>
        <i/>
        <sz val="11"/>
        <color theme="1"/>
        <rFont val="Calibri"/>
        <family val="2"/>
        <scheme val="minor"/>
      </rPr>
      <t xml:space="preserve">Tropidosaura gularis </t>
    </r>
    <r>
      <rPr>
        <sz val="11"/>
        <color theme="1"/>
        <rFont val="Calibri"/>
        <family val="2"/>
        <scheme val="minor"/>
      </rPr>
      <t>(</t>
    </r>
    <r>
      <rPr>
        <i/>
        <sz val="11"/>
        <color theme="1"/>
        <rFont val="Calibri"/>
        <family val="2"/>
        <scheme val="minor"/>
      </rPr>
      <t>Hewitt, 1927).</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</si>
  <si>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Turner AA. 2014d (reprint 2014). </t>
    </r>
    <r>
      <rPr>
        <i/>
        <sz val="11"/>
        <color theme="1"/>
        <rFont val="Calibri"/>
        <family val="2"/>
        <scheme val="minor"/>
      </rPr>
      <t xml:space="preserve">Meroles knoxii </t>
    </r>
    <r>
      <rPr>
        <sz val="11"/>
        <color theme="1"/>
        <rFont val="Calibri"/>
        <family val="2"/>
        <scheme val="minor"/>
      </rPr>
      <t>(</t>
    </r>
    <r>
      <rPr>
        <i/>
        <sz val="11"/>
        <color theme="1"/>
        <rFont val="Calibri"/>
        <family val="2"/>
        <scheme val="minor"/>
      </rPr>
      <t>Milne-Edwards, 1829).</t>
    </r>
    <r>
      <rPr>
        <sz val="11"/>
        <color theme="1"/>
        <rFont val="Calibri"/>
        <family val="2"/>
        <scheme val="minor"/>
      </rPr>
      <t xml:space="preserve"> In Bates MF, Branch WR, Bauer AM, Burger M, Marais J, Alexander GJ, de Villiers MS, editors. 2014. Atlas and Red List of the Reptiles of South Africa, Lesotho and Swaziland. Suricata 1. South African National Biodiversity Institute, Pretoria.</t>
    </r>
  </si>
  <si>
    <r>
      <t xml:space="preserve">van Wyk JH, PLFN Mouton. 1998. Reproduction and sexual dimorphism in the montane viviparous lizard, </t>
    </r>
    <r>
      <rPr>
        <i/>
        <sz val="11"/>
        <color theme="1"/>
        <rFont val="Calibri"/>
        <family val="2"/>
        <scheme val="minor"/>
      </rPr>
      <t>Pseudocordylus capensis</t>
    </r>
    <r>
      <rPr>
        <sz val="11"/>
        <color theme="1"/>
        <rFont val="Calibri"/>
        <family val="2"/>
        <scheme val="minor"/>
      </rPr>
      <t xml:space="preserve"> (Sauria: CordyJidae). South African Journal of Zoology </t>
    </r>
    <r>
      <rPr>
        <b/>
        <sz val="11"/>
        <color theme="1"/>
        <rFont val="Calibri"/>
        <family val="2"/>
        <scheme val="minor"/>
      </rPr>
      <t>33</t>
    </r>
    <r>
      <rPr>
        <sz val="11"/>
        <color theme="1"/>
        <rFont val="Calibri"/>
        <family val="2"/>
        <scheme val="minor"/>
      </rPr>
      <t>:156-165.</t>
    </r>
  </si>
  <si>
    <r>
      <t xml:space="preserve">van Wyk JH, Ruddock L. 2000. The male reproductive cycle of the lizard </t>
    </r>
    <r>
      <rPr>
        <i/>
        <sz val="11"/>
        <color theme="1"/>
        <rFont val="Calibri"/>
        <family val="2"/>
        <scheme val="minor"/>
      </rPr>
      <t>Agama atra</t>
    </r>
    <r>
      <rPr>
        <sz val="11"/>
        <color theme="1"/>
        <rFont val="Calibri"/>
        <family val="2"/>
        <scheme val="minor"/>
      </rPr>
      <t xml:space="preserve"> (Sauria: Agamidae) in central South Africa. Amphibia-Reptilia </t>
    </r>
    <r>
      <rPr>
        <b/>
        <sz val="11"/>
        <color theme="1"/>
        <rFont val="Calibri"/>
        <family val="2"/>
        <scheme val="minor"/>
      </rPr>
      <t>22</t>
    </r>
    <r>
      <rPr>
        <sz val="11"/>
        <color theme="1"/>
        <rFont val="Calibri"/>
        <family val="2"/>
        <scheme val="minor"/>
      </rPr>
      <t xml:space="preserve">: 119-123. </t>
    </r>
  </si>
  <si>
    <r>
      <t xml:space="preserve">van Wyk JH. 1984. Physiological changes during the ovarian cycle of the female rock lizard, Agama atra (Sauria: agamidae). South African Journal of Zoology, </t>
    </r>
    <r>
      <rPr>
        <b/>
        <sz val="11"/>
        <color theme="1"/>
        <rFont val="Calibri"/>
        <family val="2"/>
        <scheme val="minor"/>
      </rPr>
      <t>19</t>
    </r>
    <r>
      <rPr>
        <sz val="11"/>
        <color theme="1"/>
        <rFont val="Calibri"/>
        <family val="2"/>
        <scheme val="minor"/>
      </rPr>
      <t>:253-260.</t>
    </r>
  </si>
  <si>
    <r>
      <t xml:space="preserve">Webb JK, Branch WR, Shine R. 2001. Dietary Habits and Reproductive Biology of Typhlopid Snakes from Southern Africa. Journal of Herpetology </t>
    </r>
    <r>
      <rPr>
        <b/>
        <sz val="11"/>
        <color theme="1"/>
        <rFont val="Calibri"/>
        <family val="2"/>
        <scheme val="minor"/>
      </rPr>
      <t>35</t>
    </r>
    <r>
      <rPr>
        <sz val="11"/>
        <color theme="1"/>
        <rFont val="Calibri"/>
        <family val="2"/>
        <scheme val="minor"/>
      </rPr>
      <t>:558–567.</t>
    </r>
  </si>
  <si>
    <r>
      <t xml:space="preserve">Withers PC. 1981. Physiological correlates of limblessness and fossoriality in scincid lizards. Copeia </t>
    </r>
    <r>
      <rPr>
        <b/>
        <sz val="11"/>
        <color theme="1"/>
        <rFont val="Calibri"/>
        <family val="2"/>
        <scheme val="minor"/>
      </rPr>
      <t>1</t>
    </r>
    <r>
      <rPr>
        <sz val="11"/>
        <color theme="1"/>
        <rFont val="Calibri"/>
        <family val="2"/>
        <scheme val="minor"/>
      </rPr>
      <t>:197-204</t>
    </r>
  </si>
  <si>
    <t>Traits used to score reptile species’ vulnerability, the variables and vulnerability thresholds used to score each trait, and n, the number of species classified as high, low and unknown for each trait and threshold.</t>
  </si>
  <si>
    <t>Sensitivity</t>
  </si>
  <si>
    <r>
      <t>Trait set</t>
    </r>
    <r>
      <rPr>
        <vertAlign val="superscript"/>
        <sz val="9"/>
        <color theme="1"/>
        <rFont val="Times New Roman"/>
        <family val="1"/>
      </rPr>
      <t>1</t>
    </r>
  </si>
  <si>
    <t xml:space="preserve">Traits </t>
  </si>
  <si>
    <r>
      <t>Weighting</t>
    </r>
    <r>
      <rPr>
        <vertAlign val="superscript"/>
        <sz val="9"/>
        <color theme="1"/>
        <rFont val="Calibri"/>
        <family val="2"/>
      </rPr>
      <t>2</t>
    </r>
  </si>
  <si>
    <t>Variable to score</t>
  </si>
  <si>
    <t>Vulnerability threshold</t>
  </si>
  <si>
    <t>n</t>
  </si>
  <si>
    <t>A</t>
  </si>
  <si>
    <t xml:space="preserve">Medium </t>
  </si>
  <si>
    <t>Number of substrate types present in species range (Batjes 2004)</t>
  </si>
  <si>
    <t>High = Species occurs on only one substrate type</t>
  </si>
  <si>
    <t>Low = Species on &gt;1 substrate type</t>
  </si>
  <si>
    <t>Microhabitat types used by the species (Fossorial, Saxicolous, Arboreal, Terrestrial, Under dead organic matter, Semi‐aquatic, Termite mounds)</t>
  </si>
  <si>
    <t>High = Species is reliant on dead organic matter as a microhabitat</t>
  </si>
  <si>
    <t>Low = Species relies on microhabitats unlikely to be affected by climate change</t>
  </si>
  <si>
    <t xml:space="preserve">RS3: High elevation specialist </t>
  </si>
  <si>
    <t xml:space="preserve">Minimum elevation at which the species occurs </t>
  </si>
  <si>
    <t>High = Species is found only within top 20% of highest mountain peak</t>
  </si>
  <si>
    <t>Low = Species occurs at a range of elevations</t>
  </si>
  <si>
    <t>B</t>
  </si>
  <si>
    <t>RS4: Narrow temperature tolerance</t>
  </si>
  <si>
    <t>Average absolute deviation in temperature across the species' historical range (Fick &amp; Hijmans 2017)</t>
  </si>
  <si>
    <t>High = Lowest 25% (value)</t>
  </si>
  <si>
    <t>Low = Highest 75% (value)</t>
  </si>
  <si>
    <t>RS5: Narrow precipitation tolerance</t>
  </si>
  <si>
    <t>Average absolute deviation in precipitation across the species' historical range</t>
  </si>
  <si>
    <t>Evidence of fire-based mortality and/or fire listed as a threat in the IUCN Red List</t>
  </si>
  <si>
    <t>High = Evidence of fire-based mortality and/or listed as a threat on the IUCN Red List</t>
  </si>
  <si>
    <t>Low = Affected by lack of fire or associated with habitat less affected by fire e.g. semi-aquatic</t>
  </si>
  <si>
    <t xml:space="preserve">Unknown = Relationship uncertain </t>
  </si>
  <si>
    <t>RS7: Seasonal activity period restricted by temperature/rainfall</t>
  </si>
  <si>
    <t>Evidence of seasonal inactivity because of high temperatures or low precipitation</t>
  </si>
  <si>
    <t>High = Evidence of seasonal inactivity related to climatic conditions</t>
  </si>
  <si>
    <t>Low = Species is active year-round</t>
  </si>
  <si>
    <t>RS8: Sensitive to decline in cloud/fog cover</t>
  </si>
  <si>
    <t>Evidence of the species’ reliance on cloud cover/fog to remain within its environmental tolerances</t>
  </si>
  <si>
    <t>High =Published evidence or expert expectation</t>
  </si>
  <si>
    <t>Low = Species activity not limited by presence of cloud cover or fog</t>
  </si>
  <si>
    <t>Unknown = No understanding</t>
  </si>
  <si>
    <t>RS9: Low environmental heterogeneity within range</t>
  </si>
  <si>
    <t>Mean score of vector ruggedness measure (Sappington et al. 2007)</t>
  </si>
  <si>
    <t>High = Highest 25% (value)</t>
  </si>
  <si>
    <t>D</t>
  </si>
  <si>
    <t>Evidence of species having high dietary specialisation (morphologically and/or physiologically determined)</t>
  </si>
  <si>
    <t xml:space="preserve">High = Species relies on one species for the majority (&gt;90%) of its food resources  </t>
  </si>
  <si>
    <t>Low = Species consumes a wide variety of food types</t>
  </si>
  <si>
    <t>E</t>
  </si>
  <si>
    <t>RS11: Endemic/rare</t>
  </si>
  <si>
    <t>Endemic to Table Mountain National Park (TMNP), Cape Floristic Region (CFR), South Africa (South Africa), southern Africa, Africa or multiple continents</t>
  </si>
  <si>
    <t>High= Species is endemic or near endemic (within 10km) to TMNP</t>
  </si>
  <si>
    <t>Low = Endemic to CFR, SA, southern Africa, Africa or multiple continents</t>
  </si>
  <si>
    <t>F</t>
  </si>
  <si>
    <r>
      <t xml:space="preserve">Evidence that the species has </t>
    </r>
    <r>
      <rPr>
        <sz val="9"/>
        <color rgb="FF111111"/>
        <rFont val="Times New Roman"/>
        <family val="1"/>
      </rPr>
      <t>a single reproductive episode before death.</t>
    </r>
  </si>
  <si>
    <t>High = Evidence present</t>
  </si>
  <si>
    <t>Low = Evidence absent</t>
  </si>
  <si>
    <t>Unknown = Uncertain</t>
  </si>
  <si>
    <t>RS13: Inability to reproduce more than once annually in the event of a lost clutch/litter</t>
  </si>
  <si>
    <t>1. Maximum number of clutches per year</t>
  </si>
  <si>
    <t>2. Ability to reproduce at any time of year</t>
  </si>
  <si>
    <t xml:space="preserve">High = Reproduce ≤1 per year and timing limited to specific periods. </t>
  </si>
  <si>
    <t>Low= Can breed &gt;1 per year at anytime</t>
  </si>
  <si>
    <t>Unknown= Uncertain</t>
  </si>
  <si>
    <t xml:space="preserve">Low Adaptive Capacity </t>
  </si>
  <si>
    <t>G</t>
  </si>
  <si>
    <t>RL1: Dispersal limited by physical barriers</t>
  </si>
  <si>
    <t>Location of species’ distribution relative to Cape Agulhas (Africa’s southern tip)</t>
  </si>
  <si>
    <t xml:space="preserve">High = The species’ entire distribution is within 10 latitudinal degrees to the most southerly point of Africa </t>
  </si>
  <si>
    <t>Low = Species distribution covers &gt;10 degrees of latitude</t>
  </si>
  <si>
    <t>H</t>
  </si>
  <si>
    <t>RL2: No commensalism with humans</t>
  </si>
  <si>
    <t>Evidence of ability to utilize human dominated landscapes</t>
  </si>
  <si>
    <t>High = Species is sensitive to anthropogenic modification of its environment</t>
  </si>
  <si>
    <t>Low = Evidence that the species is able to move through and utilize human dominated landscapes</t>
  </si>
  <si>
    <t>G &amp; H</t>
  </si>
  <si>
    <t>RL3: Foraging mode limits behaviour adaptation</t>
  </si>
  <si>
    <t>Foraging behaviour of the species</t>
  </si>
  <si>
    <t xml:space="preserve">High = Diurnal active visual forager  </t>
  </si>
  <si>
    <t xml:space="preserve">Low = Alternative foraging behaviour </t>
  </si>
  <si>
    <t>I</t>
  </si>
  <si>
    <t>RL4: Low microevolutionary potential</t>
  </si>
  <si>
    <t>a. Mean annual reproductive output</t>
  </si>
  <si>
    <t>b. Genetic diversity and degree of population fragmentation</t>
  </si>
  <si>
    <t xml:space="preserve">High = ≤2 offspring per year (a). Evidence of low genetic diversity within populations, and/or highly fragmented populations (b).  </t>
  </si>
  <si>
    <t>Low = Evidence contradictory to that of high threshold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</si>
</sst>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000000"/>
      <name val="Calibri"/>
      <family val="2"/>
    </font>
    <font>
      <b/>
      <sz val="10"/>
      <color theme="1"/>
      <name val="Calibri"/>
      <family val="2"/>
    </font>
    <font>
      <b/>
      <sz val="10"/>
      <color rgb="FF000000"/>
      <name val="Calibri"/>
      <family val="2"/>
    </font>
    <font>
      <i/>
      <sz val="11"/>
      <color theme="1"/>
      <name val="Calibri"/>
      <family val="2"/>
    </font>
    <font>
      <sz val="11"/>
      <color rgb="FF757070"/>
      <name val="Calibri"/>
      <family val="2"/>
    </font>
    <font>
      <sz val="11"/>
      <color rgb="FF000000"/>
      <name val="Arial"/>
      <family val="2"/>
    </font>
    <font>
      <sz val="11"/>
      <color theme="1"/>
      <name val="Calibri"/>
      <family val="2"/>
    </font>
    <font>
      <i/>
      <sz val="11"/>
      <color rgb="FF000000"/>
      <name val="Calibri"/>
      <family val="2"/>
    </font>
    <font>
      <i/>
      <sz val="11"/>
      <color rgb="FFF2F2F2"/>
      <name val="Calibri"/>
      <family val="2"/>
    </font>
    <font>
      <sz val="11"/>
      <color rgb="FFF2F2F2"/>
      <name val="Calibri"/>
      <family val="2"/>
    </font>
    <font>
      <b/>
      <u/>
      <sz val="14"/>
      <color theme="1"/>
      <name val="Calibri"/>
      <family val="2"/>
    </font>
    <font>
      <sz val="16"/>
      <color theme="1"/>
      <name val="Calibri"/>
      <family val="2"/>
    </font>
    <font>
      <sz val="11"/>
      <color theme="1"/>
      <name val="Times New Roman"/>
      <family val="1"/>
    </font>
    <font>
      <sz val="11"/>
      <color theme="1"/>
      <name val="Arial"/>
      <family val="2"/>
    </font>
    <font>
      <sz val="9"/>
      <color indexed="81"/>
      <name val="Tahoma"/>
      <family val="2"/>
    </font>
    <font>
      <sz val="8"/>
      <name val="Arial"/>
      <family val="2"/>
    </font>
    <font>
      <b/>
      <sz val="9"/>
      <color indexed="81"/>
      <name val="Tahoma"/>
      <family val="2"/>
    </font>
    <font>
      <sz val="12"/>
      <color theme="0"/>
      <name val="Calibri"/>
      <family val="2"/>
    </font>
    <font>
      <sz val="11"/>
      <name val="Calibri"/>
      <family val="2"/>
    </font>
    <font>
      <b/>
      <sz val="11"/>
      <color theme="1"/>
      <name val="Calibri"/>
      <family val="2"/>
    </font>
    <font>
      <b/>
      <sz val="12"/>
      <color theme="1"/>
      <name val="Calibri"/>
      <family val="2"/>
    </font>
    <font>
      <sz val="11"/>
      <color rgb="FFFF0000"/>
      <name val="Calibri"/>
      <family val="2"/>
    </font>
    <font>
      <b/>
      <sz val="10"/>
      <name val="Calibri"/>
      <family val="2"/>
    </font>
    <font>
      <b/>
      <sz val="11"/>
      <name val="Calibri"/>
      <family val="2"/>
    </font>
    <font>
      <b/>
      <sz val="12"/>
      <name val="Calibri"/>
      <family val="2"/>
    </font>
    <font>
      <b/>
      <sz val="12"/>
      <name val="Arial"/>
      <family val="2"/>
    </font>
    <font>
      <b/>
      <sz val="11"/>
      <color rgb="FF000000"/>
      <name val="Calibri"/>
      <family val="2"/>
    </font>
    <font>
      <b/>
      <sz val="12"/>
      <color rgb="FF000000"/>
      <name val="Calibri"/>
      <family val="2"/>
    </font>
    <font>
      <sz val="11.5"/>
      <color theme="1"/>
      <name val="Calibri"/>
      <family val="2"/>
    </font>
    <font>
      <sz val="11"/>
      <color rgb="FF000000"/>
      <name val="Calibri"/>
      <family val="2"/>
      <scheme val="minor"/>
    </font>
    <font>
      <b/>
      <sz val="11"/>
      <color theme="1"/>
      <name val="Calibri"/>
      <family val="2"/>
      <scheme val="minor"/>
    </font>
    <font>
      <i/>
      <sz val="11"/>
      <color theme="1"/>
      <name val="Calibri"/>
      <family val="2"/>
      <scheme val="minor"/>
    </font>
    <font>
      <i/>
      <sz val="11.5"/>
      <color theme="1"/>
      <name val="Calibri"/>
      <family val="2"/>
      <scheme val="minor"/>
    </font>
    <font>
      <sz val="11.5"/>
      <color theme="1"/>
      <name val="Calibri"/>
      <family val="2"/>
      <scheme val="minor"/>
    </font>
    <font>
      <i/>
      <sz val="11"/>
      <color rgb="FF000000"/>
      <name val="Calibri"/>
      <family val="2"/>
      <scheme val="minor"/>
    </font>
    <font>
      <sz val="9"/>
      <color theme="1"/>
      <name val="Times New Roman"/>
      <family val="1"/>
    </font>
    <font>
      <b/>
      <sz val="9"/>
      <color theme="1"/>
      <name val="Times New Roman"/>
      <family val="1"/>
    </font>
    <font>
      <vertAlign val="superscript"/>
      <sz val="9"/>
      <color theme="1"/>
      <name val="Times New Roman"/>
      <family val="1"/>
    </font>
    <font>
      <vertAlign val="superscript"/>
      <sz val="9"/>
      <color theme="1"/>
      <name val="Calibri"/>
      <family val="2"/>
    </font>
    <font>
      <sz val="9"/>
      <color rgb="FF111111"/>
      <name val="Times New Roman"/>
      <family val="1"/>
    </font>
    <font>
      <b/>
      <u/>
      <sz val="9"/>
      <color theme="1"/>
      <name val="Times New Roman"/>
      <family val="1"/>
    </font>
    <font>
      <sz val="9"/>
      <color theme="1"/>
      <name val="Calibri"/>
      <family val="2"/>
    </font>
  </fonts>
  <fills count="11">
    <fill>
      <patternFill patternType="none"/>
    </fill>
    <fill>
      <patternFill patternType="gray125"/>
    </fill>
    <fill>
      <patternFill patternType="solid">
        <fgColor theme="1"/>
        <bgColor theme="1"/>
      </patternFill>
    </fill>
    <fill>
      <patternFill patternType="solid">
        <fgColor rgb="FFFF0000"/>
        <bgColor rgb="FFFF0000"/>
      </patternFill>
    </fill>
    <fill>
      <patternFill patternType="solid">
        <fgColor rgb="FF33CCCC"/>
        <bgColor rgb="FF33CCCC"/>
      </patternFill>
    </fill>
    <fill>
      <patternFill patternType="solid">
        <fgColor rgb="FF00FF00"/>
        <bgColor rgb="FF00FF00"/>
      </patternFill>
    </fill>
    <fill>
      <patternFill patternType="solid">
        <fgColor rgb="FFC5E0B3"/>
        <bgColor rgb="FFC5E0B3"/>
      </patternFill>
    </fill>
    <fill>
      <patternFill patternType="solid">
        <fgColor theme="5" tint="0.59999389629810485"/>
        <bgColor indexed="64"/>
      </patternFill>
    </fill>
    <fill>
      <patternFill patternType="solid">
        <fgColor rgb="FFFF0000"/>
        <bgColor indexed="64"/>
      </patternFill>
    </fill>
    <fill>
      <patternFill patternType="solid">
        <fgColor rgb="FF7030A0"/>
        <bgColor indexed="64"/>
      </patternFill>
    </fill>
    <fill>
      <patternFill patternType="solid">
        <fgColor theme="0"/>
        <bgColor rgb="FF385623"/>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5">
    <xf numFmtId="0" fontId="0" fillId="0" borderId="0"/>
    <xf numFmtId="0" fontId="3" fillId="0" borderId="3"/>
    <xf numFmtId="0" fontId="18" fillId="0" borderId="3"/>
    <xf numFmtId="9" fontId="18" fillId="0" borderId="3" applyFont="0" applyFill="0" applyBorder="0" applyAlignment="0" applyProtection="0"/>
    <xf numFmtId="0" fontId="2" fillId="0" borderId="3"/>
  </cellStyleXfs>
  <cellXfs count="173">
    <xf numFmtId="0" fontId="0" fillId="0" borderId="0" xfId="0" applyFont="1" applyAlignment="1"/>
    <xf numFmtId="0" fontId="4" fillId="0" borderId="0" xfId="0" applyFont="1" applyAlignment="1">
      <alignment wrapText="1"/>
    </xf>
    <xf numFmtId="0" fontId="4" fillId="0" borderId="0" xfId="0" applyFont="1"/>
    <xf numFmtId="0" fontId="6" fillId="4" borderId="2" xfId="0" applyFont="1" applyFill="1" applyBorder="1"/>
    <xf numFmtId="0" fontId="6" fillId="5" borderId="2" xfId="0" applyFont="1" applyFill="1" applyBorder="1"/>
    <xf numFmtId="0" fontId="4" fillId="6" borderId="1" xfId="0" applyFont="1" applyFill="1" applyBorder="1"/>
    <xf numFmtId="0" fontId="4" fillId="2" borderId="1" xfId="0" applyFont="1" applyFill="1" applyBorder="1"/>
    <xf numFmtId="0" fontId="8" fillId="0" borderId="0" xfId="0" applyFont="1"/>
    <xf numFmtId="0" fontId="4" fillId="0" borderId="0" xfId="0" applyFont="1" applyAlignment="1"/>
    <xf numFmtId="0" fontId="4" fillId="0" borderId="0" xfId="0" applyFont="1" applyAlignment="1">
      <alignment horizontal="center" vertical="center"/>
    </xf>
    <xf numFmtId="0" fontId="4" fillId="3" borderId="0" xfId="0" applyFont="1" applyFill="1"/>
    <xf numFmtId="0" fontId="4"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5" fillId="0" borderId="0" xfId="0" applyFont="1" applyAlignment="1"/>
    <xf numFmtId="0" fontId="9" fillId="0" borderId="0" xfId="0" applyFont="1"/>
    <xf numFmtId="0" fontId="4" fillId="0" borderId="0" xfId="0" applyFont="1" applyAlignment="1">
      <alignment horizontal="left"/>
    </xf>
    <xf numFmtId="0" fontId="4" fillId="0" borderId="3" xfId="0" applyFont="1" applyBorder="1" applyAlignment="1"/>
    <xf numFmtId="0" fontId="11" fillId="0" borderId="0" xfId="0" applyFont="1"/>
    <xf numFmtId="0" fontId="5" fillId="0" borderId="0" xfId="0" applyFont="1" applyAlignment="1">
      <alignment horizontal="left"/>
    </xf>
    <xf numFmtId="0" fontId="5" fillId="0" borderId="0" xfId="0" applyFont="1" applyAlignment="1"/>
    <xf numFmtId="0" fontId="4" fillId="0" borderId="0" xfId="0" applyFont="1" applyAlignment="1">
      <alignment horizontal="center"/>
    </xf>
    <xf numFmtId="0" fontId="5" fillId="0" borderId="1" xfId="0" applyFont="1" applyBorder="1" applyAlignment="1">
      <alignment horizontal="center"/>
    </xf>
    <xf numFmtId="0" fontId="13" fillId="0" borderId="0" xfId="0" applyFont="1"/>
    <xf numFmtId="0" fontId="14" fillId="0" borderId="0" xfId="0" applyFont="1"/>
    <xf numFmtId="9" fontId="16" fillId="0" borderId="0" xfId="0" applyNumberFormat="1" applyFont="1"/>
    <xf numFmtId="164" fontId="4" fillId="0" borderId="0" xfId="0" applyNumberFormat="1" applyFont="1" applyAlignment="1">
      <alignment horizontal="center"/>
    </xf>
    <xf numFmtId="0" fontId="18" fillId="0" borderId="0" xfId="0" applyFont="1" applyAlignment="1"/>
    <xf numFmtId="0" fontId="0" fillId="0" borderId="0" xfId="0" applyFont="1" applyFill="1" applyAlignment="1"/>
    <xf numFmtId="0" fontId="0" fillId="0" borderId="0" xfId="0" applyFont="1" applyAlignment="1"/>
    <xf numFmtId="0" fontId="5" fillId="0" borderId="0" xfId="0" applyFont="1" applyFill="1" applyAlignment="1">
      <alignment horizontal="left"/>
    </xf>
    <xf numFmtId="0" fontId="4" fillId="0" borderId="0" xfId="0" applyFont="1" applyFill="1" applyAlignment="1">
      <alignment horizontal="left"/>
    </xf>
    <xf numFmtId="0" fontId="6" fillId="0" borderId="3" xfId="0" applyFont="1" applyFill="1" applyBorder="1"/>
    <xf numFmtId="0" fontId="4" fillId="0" borderId="1" xfId="0" applyFont="1" applyFill="1" applyBorder="1"/>
    <xf numFmtId="0" fontId="4" fillId="0" borderId="3" xfId="0" applyFont="1" applyFill="1" applyBorder="1"/>
    <xf numFmtId="0" fontId="4" fillId="9" borderId="0" xfId="0" applyFont="1" applyFill="1"/>
    <xf numFmtId="0" fontId="0" fillId="9" borderId="0" xfId="0" applyFont="1" applyFill="1" applyAlignment="1"/>
    <xf numFmtId="9" fontId="16" fillId="9" borderId="0" xfId="0" applyNumberFormat="1" applyFont="1" applyFill="1"/>
    <xf numFmtId="0" fontId="0" fillId="0" borderId="3" xfId="0" applyFont="1" applyBorder="1" applyAlignment="1"/>
    <xf numFmtId="0" fontId="24" fillId="7" borderId="3" xfId="0" applyFont="1" applyFill="1" applyBorder="1" applyAlignment="1">
      <alignment vertical="center" wrapText="1"/>
    </xf>
    <xf numFmtId="0" fontId="26" fillId="0" borderId="0" xfId="0" applyFont="1" applyFill="1" applyAlignment="1">
      <alignment horizontal="left"/>
    </xf>
    <xf numFmtId="0" fontId="5" fillId="0" borderId="0" xfId="0" applyFont="1" applyFill="1" applyAlignment="1">
      <alignment horizontal="right"/>
    </xf>
    <xf numFmtId="0" fontId="4" fillId="0" borderId="0" xfId="0" applyFont="1" applyFill="1"/>
    <xf numFmtId="0" fontId="8" fillId="0" borderId="0" xfId="0" applyFont="1" applyFill="1"/>
    <xf numFmtId="0" fontId="12" fillId="0" borderId="0" xfId="0" applyFont="1" applyFill="1" applyAlignment="1"/>
    <xf numFmtId="0" fontId="18" fillId="0" borderId="0" xfId="0" applyFont="1" applyFill="1" applyAlignment="1">
      <alignment horizontal="right"/>
    </xf>
    <xf numFmtId="0" fontId="5" fillId="0" borderId="0" xfId="0" applyFont="1" applyFill="1" applyAlignment="1"/>
    <xf numFmtId="0" fontId="4" fillId="0" borderId="3" xfId="0" applyFont="1" applyFill="1" applyBorder="1" applyAlignment="1">
      <alignment horizontal="left"/>
    </xf>
    <xf numFmtId="0" fontId="4" fillId="0" borderId="3" xfId="0" applyFont="1" applyBorder="1" applyAlignment="1">
      <alignment wrapText="1"/>
    </xf>
    <xf numFmtId="0" fontId="6" fillId="5" borderId="7" xfId="0" applyFont="1" applyFill="1" applyBorder="1"/>
    <xf numFmtId="0" fontId="4" fillId="0" borderId="3" xfId="0" applyFont="1" applyBorder="1"/>
    <xf numFmtId="0" fontId="14" fillId="0" borderId="3" xfId="0" applyFont="1" applyBorder="1"/>
    <xf numFmtId="0" fontId="15" fillId="0" borderId="3" xfId="0" applyFont="1" applyBorder="1" applyAlignment="1">
      <alignment horizontal="center" vertical="center"/>
    </xf>
    <xf numFmtId="0" fontId="5" fillId="0" borderId="3" xfId="0" applyFont="1" applyFill="1" applyBorder="1" applyAlignment="1"/>
    <xf numFmtId="9" fontId="16" fillId="0" borderId="3" xfId="0" applyNumberFormat="1" applyFont="1" applyBorder="1"/>
    <xf numFmtId="0" fontId="4" fillId="0" borderId="8" xfId="0" applyFont="1" applyBorder="1" applyAlignment="1"/>
    <xf numFmtId="0" fontId="4" fillId="0" borderId="9" xfId="0" applyFont="1" applyBorder="1" applyAlignment="1"/>
    <xf numFmtId="0" fontId="0" fillId="0" borderId="8" xfId="0" applyFont="1" applyBorder="1" applyAlignment="1"/>
    <xf numFmtId="0" fontId="0" fillId="0" borderId="9" xfId="0" applyFont="1" applyBorder="1" applyAlignment="1"/>
    <xf numFmtId="9" fontId="16" fillId="0" borderId="8" xfId="0" applyNumberFormat="1" applyFont="1" applyBorder="1"/>
    <xf numFmtId="9" fontId="16" fillId="0" borderId="9" xfId="0" applyNumberFormat="1" applyFont="1" applyBorder="1"/>
    <xf numFmtId="0" fontId="0" fillId="0" borderId="10" xfId="0" applyFont="1" applyBorder="1" applyAlignment="1"/>
    <xf numFmtId="0" fontId="0" fillId="0" borderId="11" xfId="0" applyFont="1" applyBorder="1" applyAlignment="1"/>
    <xf numFmtId="0" fontId="0" fillId="0" borderId="12" xfId="0" applyFont="1" applyBorder="1" applyAlignment="1"/>
    <xf numFmtId="0" fontId="27" fillId="10" borderId="13" xfId="0" applyFont="1" applyFill="1" applyBorder="1" applyAlignment="1">
      <alignment horizontal="center" wrapText="1"/>
    </xf>
    <xf numFmtId="0" fontId="7" fillId="0" borderId="13" xfId="0" applyFont="1" applyBorder="1" applyAlignment="1"/>
    <xf numFmtId="0" fontId="0" fillId="0" borderId="14" xfId="0" applyFont="1" applyBorder="1" applyAlignment="1"/>
    <xf numFmtId="0" fontId="28" fillId="0" borderId="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0" fillId="0" borderId="6" xfId="0" applyFont="1" applyBorder="1" applyAlignment="1"/>
    <xf numFmtId="0" fontId="5" fillId="0" borderId="3" xfId="0" applyFont="1" applyBorder="1" applyAlignment="1"/>
    <xf numFmtId="0" fontId="6" fillId="0" borderId="8" xfId="0" applyFont="1" applyFill="1" applyBorder="1"/>
    <xf numFmtId="0" fontId="4" fillId="0" borderId="8" xfId="0" applyFont="1" applyFill="1" applyBorder="1"/>
    <xf numFmtId="0" fontId="4" fillId="0" borderId="9" xfId="0" applyFont="1" applyBorder="1" applyAlignment="1">
      <alignment horizontal="center"/>
    </xf>
    <xf numFmtId="0" fontId="5" fillId="0" borderId="8" xfId="0" applyFont="1" applyFill="1" applyBorder="1" applyAlignment="1"/>
    <xf numFmtId="0" fontId="11" fillId="0" borderId="10" xfId="0" applyFont="1" applyBorder="1"/>
    <xf numFmtId="0" fontId="11" fillId="0" borderId="6" xfId="0" applyFont="1" applyBorder="1"/>
    <xf numFmtId="0" fontId="23" fillId="0" borderId="3" xfId="0" applyFont="1" applyFill="1" applyBorder="1" applyAlignment="1">
      <alignment horizontal="center" vertical="center" wrapText="1"/>
    </xf>
    <xf numFmtId="0" fontId="25" fillId="0" borderId="3" xfId="0" applyFont="1" applyBorder="1" applyAlignment="1">
      <alignment wrapText="1"/>
    </xf>
    <xf numFmtId="0" fontId="31" fillId="7" borderId="3" xfId="0" applyFont="1" applyFill="1" applyBorder="1" applyAlignment="1">
      <alignment horizontal="center" vertical="center" wrapText="1"/>
    </xf>
    <xf numFmtId="0" fontId="4" fillId="0" borderId="3" xfId="0" applyFont="1" applyBorder="1" applyAlignment="1">
      <alignment horizontal="center"/>
    </xf>
    <xf numFmtId="0" fontId="25" fillId="0" borderId="13" xfId="0" applyFont="1" applyBorder="1" applyAlignment="1">
      <alignment wrapText="1"/>
    </xf>
    <xf numFmtId="0" fontId="5" fillId="0" borderId="8" xfId="0" applyFont="1" applyBorder="1" applyAlignment="1"/>
    <xf numFmtId="0" fontId="4" fillId="0" borderId="8" xfId="0" applyFont="1" applyBorder="1"/>
    <xf numFmtId="0" fontId="11" fillId="0" borderId="11" xfId="0" applyFont="1" applyBorder="1"/>
    <xf numFmtId="0" fontId="4" fillId="0" borderId="3" xfId="0" applyFont="1" applyBorder="1" applyAlignment="1">
      <alignment vertical="center" wrapText="1"/>
    </xf>
    <xf numFmtId="0" fontId="4" fillId="7" borderId="3" xfId="0" applyFont="1" applyFill="1" applyBorder="1" applyAlignment="1">
      <alignment vertical="center" wrapText="1"/>
    </xf>
    <xf numFmtId="0" fontId="4" fillId="0" borderId="9" xfId="0" applyFont="1" applyBorder="1"/>
    <xf numFmtId="0" fontId="4" fillId="0" borderId="8" xfId="0" applyFont="1" applyBorder="1" applyAlignment="1">
      <alignment horizontal="left"/>
    </xf>
    <xf numFmtId="0" fontId="4" fillId="0" borderId="3" xfId="0" applyFont="1" applyBorder="1" applyAlignment="1">
      <alignment horizontal="left"/>
    </xf>
    <xf numFmtId="0" fontId="5" fillId="0" borderId="8" xfId="0" applyFont="1" applyBorder="1" applyAlignment="1">
      <alignment horizontal="left"/>
    </xf>
    <xf numFmtId="0" fontId="5" fillId="0" borderId="3" xfId="0" applyFont="1" applyBorder="1" applyAlignment="1">
      <alignment horizontal="left"/>
    </xf>
    <xf numFmtId="0" fontId="4" fillId="0" borderId="3" xfId="0" applyFont="1" applyFill="1" applyBorder="1" applyAlignment="1">
      <alignment vertical="center" wrapText="1"/>
    </xf>
    <xf numFmtId="0" fontId="5" fillId="0" borderId="8" xfId="0" applyFont="1" applyBorder="1" applyAlignment="1">
      <alignment horizontal="right"/>
    </xf>
    <xf numFmtId="0" fontId="25" fillId="0" borderId="13" xfId="0" applyFont="1" applyFill="1" applyBorder="1" applyAlignment="1">
      <alignment wrapText="1"/>
    </xf>
    <xf numFmtId="0" fontId="4" fillId="7" borderId="9" xfId="0" applyFont="1" applyFill="1" applyBorder="1" applyAlignment="1">
      <alignment vertical="center" wrapText="1"/>
    </xf>
    <xf numFmtId="0" fontId="5" fillId="0" borderId="9" xfId="0" applyFont="1" applyBorder="1" applyAlignment="1"/>
    <xf numFmtId="0" fontId="5" fillId="0" borderId="3" xfId="0" applyFont="1" applyBorder="1" applyAlignment="1">
      <alignment horizontal="right"/>
    </xf>
    <xf numFmtId="0" fontId="24" fillId="0" borderId="3" xfId="0" applyFont="1" applyBorder="1" applyAlignment="1">
      <alignment vertical="center" wrapText="1"/>
    </xf>
    <xf numFmtId="0" fontId="24" fillId="0" borderId="8" xfId="0" applyFont="1" applyBorder="1"/>
    <xf numFmtId="0" fontId="24" fillId="0" borderId="3" xfId="0" applyFont="1" applyBorder="1"/>
    <xf numFmtId="0" fontId="31" fillId="0" borderId="3" xfId="0" applyFont="1" applyBorder="1" applyAlignment="1">
      <alignment vertical="center" wrapText="1"/>
    </xf>
    <xf numFmtId="0" fontId="31" fillId="7" borderId="3" xfId="0" applyFont="1" applyFill="1" applyBorder="1" applyAlignment="1">
      <alignment vertical="center" wrapText="1"/>
    </xf>
    <xf numFmtId="0" fontId="24" fillId="7" borderId="9" xfId="0" applyFont="1" applyFill="1" applyBorder="1" applyAlignment="1">
      <alignment vertical="center" wrapText="1"/>
    </xf>
    <xf numFmtId="0" fontId="24" fillId="0" borderId="3" xfId="0" applyFont="1" applyBorder="1" applyAlignment="1">
      <alignment vertical="center"/>
    </xf>
    <xf numFmtId="0" fontId="24" fillId="7" borderId="9" xfId="0" applyFont="1" applyFill="1" applyBorder="1" applyAlignment="1">
      <alignment vertical="center"/>
    </xf>
    <xf numFmtId="0" fontId="10" fillId="0" borderId="8" xfId="0" applyFont="1" applyBorder="1" applyAlignment="1"/>
    <xf numFmtId="0" fontId="18" fillId="0" borderId="8" xfId="0" applyFont="1" applyBorder="1" applyAlignment="1">
      <alignment horizontal="right"/>
    </xf>
    <xf numFmtId="0" fontId="18" fillId="0" borderId="9" xfId="0" applyFont="1" applyBorder="1" applyAlignment="1"/>
    <xf numFmtId="0" fontId="4" fillId="0" borderId="9" xfId="0" applyFont="1" applyFill="1" applyBorder="1"/>
    <xf numFmtId="0" fontId="4" fillId="0" borderId="8" xfId="0" applyFont="1" applyBorder="1" applyAlignment="1">
      <alignment horizontal="center" vertical="center"/>
    </xf>
    <xf numFmtId="0" fontId="4" fillId="0" borderId="8" xfId="0" applyFont="1" applyBorder="1" applyAlignment="1">
      <alignment horizontal="center"/>
    </xf>
    <xf numFmtId="0" fontId="5" fillId="0" borderId="8" xfId="0" applyFont="1" applyFill="1" applyBorder="1" applyAlignment="1">
      <alignment horizontal="center" vertical="center"/>
    </xf>
    <xf numFmtId="0" fontId="4" fillId="0" borderId="9" xfId="0" applyFont="1" applyBorder="1" applyAlignment="1">
      <alignment vertical="center" wrapText="1"/>
    </xf>
    <xf numFmtId="0" fontId="25" fillId="0" borderId="13" xfId="0" applyFont="1" applyBorder="1" applyAlignment="1">
      <alignment vertical="center" wrapText="1"/>
    </xf>
    <xf numFmtId="0" fontId="4" fillId="0" borderId="14" xfId="0" applyFont="1" applyBorder="1" applyAlignment="1">
      <alignment vertical="center" wrapText="1"/>
    </xf>
    <xf numFmtId="0" fontId="4" fillId="0" borderId="14" xfId="0" applyFont="1" applyFill="1" applyBorder="1" applyAlignment="1">
      <alignment vertical="center" wrapText="1"/>
    </xf>
    <xf numFmtId="0" fontId="5" fillId="0" borderId="3" xfId="0" applyFont="1" applyBorder="1" applyAlignment="1">
      <alignment wrapText="1"/>
    </xf>
    <xf numFmtId="0" fontId="32" fillId="0" borderId="13" xfId="0" applyFont="1" applyBorder="1" applyAlignment="1">
      <alignment wrapText="1"/>
    </xf>
    <xf numFmtId="0" fontId="4" fillId="0" borderId="14" xfId="0" applyFont="1" applyBorder="1" applyAlignment="1">
      <alignment wrapText="1"/>
    </xf>
    <xf numFmtId="0" fontId="24" fillId="0" borderId="3" xfId="0" applyFont="1" applyBorder="1" applyAlignment="1">
      <alignment wrapText="1"/>
    </xf>
    <xf numFmtId="0" fontId="22" fillId="9" borderId="5" xfId="0" applyFont="1" applyFill="1" applyBorder="1" applyAlignment="1">
      <alignment wrapText="1"/>
    </xf>
    <xf numFmtId="0" fontId="5" fillId="0" borderId="3" xfId="0" applyFont="1" applyBorder="1" applyAlignment="1">
      <alignment horizontal="left" wrapText="1"/>
    </xf>
    <xf numFmtId="0" fontId="4" fillId="2" borderId="3" xfId="0" applyFont="1" applyFill="1" applyBorder="1" applyAlignment="1">
      <alignment wrapText="1"/>
    </xf>
    <xf numFmtId="0" fontId="5" fillId="0" borderId="0" xfId="0" applyFont="1" applyFill="1" applyAlignment="1">
      <alignment horizontal="center"/>
    </xf>
    <xf numFmtId="3" fontId="4" fillId="0" borderId="1" xfId="0" applyNumberFormat="1" applyFont="1" applyFill="1" applyBorder="1"/>
    <xf numFmtId="0" fontId="4" fillId="0" borderId="0" xfId="0" applyFont="1" applyFill="1" applyAlignment="1">
      <alignment horizontal="center"/>
    </xf>
    <xf numFmtId="0" fontId="11" fillId="0" borderId="0" xfId="0" applyFont="1" applyFill="1"/>
    <xf numFmtId="0" fontId="11" fillId="0" borderId="0" xfId="0" applyFont="1" applyFill="1" applyAlignment="1">
      <alignment horizontal="center"/>
    </xf>
    <xf numFmtId="3" fontId="4" fillId="0" borderId="0" xfId="0" applyNumberFormat="1" applyFont="1" applyFill="1"/>
    <xf numFmtId="0" fontId="5" fillId="0" borderId="1" xfId="0" applyFont="1" applyFill="1" applyBorder="1" applyAlignment="1"/>
    <xf numFmtId="164" fontId="5" fillId="0" borderId="0" xfId="0" applyNumberFormat="1" applyFont="1" applyFill="1" applyAlignment="1">
      <alignment horizontal="center"/>
    </xf>
    <xf numFmtId="0" fontId="24" fillId="8" borderId="3" xfId="0" applyFont="1" applyFill="1" applyBorder="1" applyAlignment="1">
      <alignment vertical="center" wrapText="1"/>
    </xf>
    <xf numFmtId="0" fontId="31" fillId="7" borderId="9" xfId="0" applyFont="1" applyFill="1" applyBorder="1" applyAlignment="1">
      <alignment wrapText="1"/>
    </xf>
    <xf numFmtId="0" fontId="25" fillId="0" borderId="14" xfId="0" applyFont="1" applyBorder="1" applyAlignment="1">
      <alignment wrapText="1"/>
    </xf>
    <xf numFmtId="0" fontId="24" fillId="7" borderId="9" xfId="0" applyFont="1" applyFill="1" applyBorder="1" applyAlignment="1">
      <alignment wrapText="1"/>
    </xf>
    <xf numFmtId="0" fontId="24" fillId="7" borderId="3" xfId="0" applyFont="1" applyFill="1" applyBorder="1" applyAlignment="1">
      <alignment wrapText="1"/>
    </xf>
    <xf numFmtId="0" fontId="33" fillId="0" borderId="0" xfId="0" applyFont="1" applyFill="1" applyAlignment="1"/>
    <xf numFmtId="0" fontId="4" fillId="0" borderId="3" xfId="0" applyFont="1" applyFill="1" applyBorder="1" applyAlignment="1"/>
    <xf numFmtId="0" fontId="11" fillId="0" borderId="3" xfId="0" applyFont="1" applyFill="1" applyBorder="1" applyAlignment="1"/>
    <xf numFmtId="0" fontId="34" fillId="0" borderId="3" xfId="0" applyFont="1" applyBorder="1" applyAlignment="1"/>
    <xf numFmtId="0" fontId="29" fillId="0" borderId="13" xfId="0" applyFont="1" applyFill="1" applyBorder="1" applyAlignment="1">
      <alignment horizontal="center" wrapText="1"/>
    </xf>
    <xf numFmtId="0" fontId="30" fillId="0" borderId="14" xfId="0" applyFont="1" applyFill="1" applyBorder="1" applyAlignment="1"/>
    <xf numFmtId="0" fontId="25" fillId="0" borderId="13" xfId="0" applyFont="1" applyFill="1" applyBorder="1" applyAlignment="1">
      <alignment horizontal="center" wrapText="1"/>
    </xf>
    <xf numFmtId="0" fontId="25" fillId="0" borderId="14" xfId="0" applyFont="1" applyFill="1" applyBorder="1" applyAlignment="1">
      <alignment horizont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15" fillId="3" borderId="13" xfId="0" applyFont="1" applyFill="1" applyBorder="1" applyAlignment="1">
      <alignment horizontal="center" vertical="top" wrapText="1"/>
    </xf>
    <xf numFmtId="0" fontId="15" fillId="3" borderId="8" xfId="0" applyFont="1" applyFill="1" applyBorder="1" applyAlignment="1">
      <alignment horizontal="center" vertical="top" wrapText="1"/>
    </xf>
    <xf numFmtId="0" fontId="1" fillId="0" borderId="0" xfId="0" applyFont="1" applyAlignment="1"/>
    <xf numFmtId="0" fontId="1" fillId="0" borderId="0" xfId="0" applyFont="1" applyAlignment="1">
      <alignment vertical="center"/>
    </xf>
    <xf numFmtId="0" fontId="1" fillId="0" borderId="0" xfId="0" applyFont="1" applyAlignment="1">
      <alignment horizontal="left" vertical="center"/>
    </xf>
    <xf numFmtId="0" fontId="1" fillId="0" borderId="3" xfId="0" applyFont="1" applyFill="1" applyBorder="1"/>
    <xf numFmtId="0" fontId="40" fillId="0" borderId="3" xfId="0" applyFont="1" applyBorder="1" applyAlignment="1">
      <alignment horizontal="center" vertical="center" wrapText="1"/>
    </xf>
    <xf numFmtId="0" fontId="40" fillId="0" borderId="3" xfId="0" applyFont="1" applyBorder="1" applyAlignment="1">
      <alignment vertical="center" wrapText="1"/>
    </xf>
    <xf numFmtId="0" fontId="40" fillId="0" borderId="3" xfId="0" applyFont="1" applyBorder="1" applyAlignment="1">
      <alignment vertical="center" wrapText="1"/>
    </xf>
    <xf numFmtId="0" fontId="0" fillId="0" borderId="3" xfId="0" applyFont="1" applyBorder="1" applyAlignment="1">
      <alignment vertical="top" wrapText="1"/>
    </xf>
    <xf numFmtId="0" fontId="45" fillId="0" borderId="3" xfId="0" applyFont="1" applyBorder="1" applyAlignment="1">
      <alignment vertical="center" wrapText="1"/>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41" fillId="0" borderId="8" xfId="0" applyFont="1" applyBorder="1" applyAlignment="1">
      <alignment horizontal="center" vertical="center" wrapText="1"/>
    </xf>
    <xf numFmtId="0" fontId="45" fillId="0" borderId="8" xfId="0" applyFont="1" applyBorder="1" applyAlignment="1">
      <alignment vertical="center" wrapText="1"/>
    </xf>
    <xf numFmtId="0" fontId="46" fillId="0" borderId="9" xfId="0" applyFont="1" applyBorder="1" applyAlignment="1">
      <alignment horizontal="center" vertical="center" wrapText="1"/>
    </xf>
    <xf numFmtId="0" fontId="41" fillId="0" borderId="10" xfId="0" applyFont="1" applyBorder="1" applyAlignment="1">
      <alignment horizontal="center" vertical="center" wrapText="1"/>
    </xf>
    <xf numFmtId="0" fontId="40" fillId="0" borderId="6" xfId="0" applyFont="1" applyBorder="1" applyAlignment="1">
      <alignment vertical="center" wrapText="1"/>
    </xf>
    <xf numFmtId="0" fontId="40" fillId="0" borderId="11" xfId="0" applyFont="1" applyBorder="1" applyAlignment="1">
      <alignment horizontal="center" vertical="center" wrapText="1"/>
    </xf>
    <xf numFmtId="0" fontId="41" fillId="0" borderId="13" xfId="0" applyFont="1" applyBorder="1" applyAlignment="1">
      <alignment vertical="center" wrapText="1"/>
    </xf>
    <xf numFmtId="0" fontId="41" fillId="0" borderId="14" xfId="0" applyFont="1" applyBorder="1" applyAlignment="1">
      <alignment vertical="center" wrapText="1"/>
    </xf>
    <xf numFmtId="0" fontId="41" fillId="0" borderId="14" xfId="0" applyFont="1" applyBorder="1" applyAlignment="1">
      <alignment horizontal="center" vertical="center" wrapText="1"/>
    </xf>
    <xf numFmtId="0" fontId="41" fillId="0" borderId="12" xfId="0" applyFont="1" applyBorder="1" applyAlignment="1">
      <alignment horizontal="center" vertical="center" wrapText="1"/>
    </xf>
    <xf numFmtId="0" fontId="40" fillId="0" borderId="6" xfId="0" applyFont="1" applyBorder="1" applyAlignment="1">
      <alignment vertical="center" wrapText="1"/>
    </xf>
    <xf numFmtId="0" fontId="17" fillId="0" borderId="3" xfId="0" applyFont="1" applyBorder="1" applyAlignment="1">
      <alignment vertical="center"/>
    </xf>
    <xf numFmtId="0" fontId="17" fillId="0" borderId="3" xfId="0" applyFont="1" applyBorder="1" applyAlignment="1">
      <alignment horizontal="left" vertical="center" wrapText="1"/>
    </xf>
  </cellXfs>
  <cellStyles count="5">
    <cellStyle name="Normal" xfId="0" builtinId="0"/>
    <cellStyle name="Normal 2" xfId="2" xr:uid="{5B6CB034-C7D7-46B1-8833-EF4CF2CF904B}"/>
    <cellStyle name="Normal 3" xfId="1" xr:uid="{76B1D249-AB26-4148-85EE-A4852BC6A1DC}"/>
    <cellStyle name="Normal 3 2" xfId="4" xr:uid="{665BD051-CA44-4EDC-9A91-09F98716D0D7}"/>
    <cellStyle name="Percent 2" xfId="3" xr:uid="{357A3C1B-EDC0-4104-BB40-BBECA547A3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38100</xdr:colOff>
      <xdr:row>2</xdr:row>
      <xdr:rowOff>38100</xdr:rowOff>
    </xdr:from>
    <xdr:to>
      <xdr:col>10</xdr:col>
      <xdr:colOff>317500</xdr:colOff>
      <xdr:row>17</xdr:row>
      <xdr:rowOff>12700</xdr:rowOff>
    </xdr:to>
    <xdr:sp macro="" textlink="">
      <xdr:nvSpPr>
        <xdr:cNvPr id="7" name="TextBox 6">
          <a:extLst>
            <a:ext uri="{FF2B5EF4-FFF2-40B4-BE49-F238E27FC236}">
              <a16:creationId xmlns:a16="http://schemas.microsoft.com/office/drawing/2014/main" id="{3EDB4DCA-9908-4BEE-B78C-D33776BE47D1}"/>
            </a:ext>
          </a:extLst>
        </xdr:cNvPr>
        <xdr:cNvSpPr txBox="1"/>
      </xdr:nvSpPr>
      <xdr:spPr>
        <a:xfrm>
          <a:off x="7759700" y="203200"/>
          <a:ext cx="2921000" cy="379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50" baseline="30000">
              <a:solidFill>
                <a:schemeClr val="dk1"/>
              </a:solidFill>
              <a:effectLst/>
              <a:latin typeface="Times New Roman" panose="02020603050405020304" pitchFamily="18" charset="0"/>
              <a:ea typeface="+mn-ea"/>
              <a:cs typeface="Times New Roman" panose="02020603050405020304" pitchFamily="18" charset="0"/>
            </a:rPr>
            <a:t>1 </a:t>
          </a:r>
          <a:r>
            <a:rPr lang="en-GB" sz="1050">
              <a:solidFill>
                <a:schemeClr val="dk1"/>
              </a:solidFill>
              <a:effectLst/>
              <a:latin typeface="Times New Roman" panose="02020603050405020304" pitchFamily="18" charset="0"/>
              <a:ea typeface="+mn-ea"/>
              <a:cs typeface="Times New Roman" panose="02020603050405020304" pitchFamily="18" charset="0"/>
            </a:rPr>
            <a:t>Trait set : A. Specialized habitat and/or microhabitat requirements; B. Narrow environmental tolerances or thresholds that are likely to be exceeded due to climate change at any stage in the life cycle; C. Dependence on a specific environmental trigger or cue that is likely to be disrupted by climate change; D. Dependence on interspecific interactions which are likely to be disrupted by climate change; E. Rarity; F. Sensitive life history; G. Poor dispersal ability; H. Limited behavioural adaptation; I. Poor evolvability. </a:t>
          </a:r>
        </a:p>
        <a:p>
          <a:endParaRPr lang="en-GB" sz="1050" baseline="30000">
            <a:solidFill>
              <a:schemeClr val="dk1"/>
            </a:solidFill>
            <a:effectLst/>
            <a:latin typeface="Times New Roman" panose="02020603050405020304" pitchFamily="18" charset="0"/>
            <a:ea typeface="+mn-ea"/>
            <a:cs typeface="Times New Roman" panose="02020603050405020304" pitchFamily="18" charset="0"/>
          </a:endParaRPr>
        </a:p>
        <a:p>
          <a:r>
            <a:rPr lang="en-GB" sz="1050" baseline="30000">
              <a:solidFill>
                <a:schemeClr val="dk1"/>
              </a:solidFill>
              <a:effectLst/>
              <a:latin typeface="Times New Roman" panose="02020603050405020304" pitchFamily="18" charset="0"/>
              <a:ea typeface="+mn-ea"/>
              <a:cs typeface="Times New Roman" panose="02020603050405020304" pitchFamily="18" charset="0"/>
            </a:rPr>
            <a:t>2</a:t>
          </a:r>
          <a:r>
            <a:rPr lang="en-GB" sz="1050">
              <a:solidFill>
                <a:schemeClr val="dk1"/>
              </a:solidFill>
              <a:effectLst/>
              <a:latin typeface="Times New Roman" panose="02020603050405020304" pitchFamily="18" charset="0"/>
              <a:ea typeface="+mn-ea"/>
              <a:cs typeface="Times New Roman" panose="02020603050405020304" pitchFamily="18" charset="0"/>
            </a:rPr>
            <a:t>Expert weighting refers to the degree of relative importance a trait has on the sensitivity or adaptive capacity of a species when considered independently from the other traits. </a:t>
          </a:r>
        </a:p>
        <a:p>
          <a:endParaRPr lang="en-GB" sz="1100"/>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A98ED-95EF-4C6E-83A2-9CD341BD411A}">
  <dimension ref="A1:L44"/>
  <sheetViews>
    <sheetView tabSelected="1" workbookViewId="0">
      <selection activeCell="L6" sqref="L6"/>
    </sheetView>
  </sheetViews>
  <sheetFormatPr defaultRowHeight="14" x14ac:dyDescent="0.3"/>
  <cols>
    <col min="2" max="2" width="15.83203125" bestFit="1" customWidth="1"/>
    <col min="3" max="3" width="7.25" bestFit="1" customWidth="1"/>
    <col min="4" max="4" width="28.83203125" customWidth="1"/>
    <col min="5" max="5" width="32.08203125" customWidth="1"/>
  </cols>
  <sheetData>
    <row r="1" spans="1:12" s="171" customFormat="1" ht="14" customHeight="1" x14ac:dyDescent="0.3">
      <c r="A1" s="172" t="s">
        <v>838</v>
      </c>
      <c r="B1" s="172"/>
      <c r="C1" s="172"/>
      <c r="D1" s="172"/>
      <c r="E1" s="172"/>
      <c r="F1" s="172"/>
      <c r="G1" s="172"/>
      <c r="H1" s="172"/>
      <c r="I1" s="172"/>
      <c r="J1" s="172"/>
      <c r="K1" s="172"/>
      <c r="L1" s="172"/>
    </row>
    <row r="2" spans="1:12" s="171" customFormat="1" ht="14" customHeight="1" x14ac:dyDescent="0.3">
      <c r="A2" s="172"/>
      <c r="B2" s="172"/>
      <c r="C2" s="172"/>
      <c r="D2" s="172"/>
      <c r="E2" s="172"/>
      <c r="F2" s="172"/>
      <c r="G2" s="172"/>
      <c r="H2" s="172"/>
      <c r="I2" s="172"/>
      <c r="J2" s="172"/>
      <c r="K2" s="172"/>
      <c r="L2" s="172"/>
    </row>
    <row r="3" spans="1:12" x14ac:dyDescent="0.3">
      <c r="A3" s="166" t="s">
        <v>839</v>
      </c>
      <c r="B3" s="167"/>
      <c r="C3" s="167"/>
      <c r="D3" s="167"/>
      <c r="E3" s="168"/>
      <c r="F3" s="169"/>
    </row>
    <row r="4" spans="1:12" x14ac:dyDescent="0.3">
      <c r="A4" s="158" t="s">
        <v>840</v>
      </c>
      <c r="B4" s="153" t="s">
        <v>841</v>
      </c>
      <c r="C4" s="153" t="s">
        <v>842</v>
      </c>
      <c r="D4" s="153" t="s">
        <v>843</v>
      </c>
      <c r="E4" s="153" t="s">
        <v>844</v>
      </c>
      <c r="F4" s="159" t="s">
        <v>845</v>
      </c>
    </row>
    <row r="5" spans="1:12" ht="23" x14ac:dyDescent="0.3">
      <c r="A5" s="160" t="s">
        <v>846</v>
      </c>
      <c r="B5" s="154" t="s">
        <v>539</v>
      </c>
      <c r="C5" s="154" t="s">
        <v>847</v>
      </c>
      <c r="D5" s="154" t="s">
        <v>848</v>
      </c>
      <c r="E5" s="155" t="s">
        <v>849</v>
      </c>
      <c r="F5" s="159">
        <v>0</v>
      </c>
    </row>
    <row r="6" spans="1:12" ht="23" x14ac:dyDescent="0.3">
      <c r="A6" s="160"/>
      <c r="B6" s="154"/>
      <c r="C6" s="154"/>
      <c r="D6" s="154"/>
      <c r="E6" s="155" t="s">
        <v>850</v>
      </c>
      <c r="F6" s="159">
        <v>41</v>
      </c>
    </row>
    <row r="7" spans="1:12" ht="23" x14ac:dyDescent="0.3">
      <c r="A7" s="160" t="s">
        <v>846</v>
      </c>
      <c r="B7" s="154" t="s">
        <v>540</v>
      </c>
      <c r="C7" s="154" t="s">
        <v>317</v>
      </c>
      <c r="D7" s="154" t="s">
        <v>851</v>
      </c>
      <c r="E7" s="155" t="s">
        <v>852</v>
      </c>
      <c r="F7" s="159">
        <v>0</v>
      </c>
    </row>
    <row r="8" spans="1:12" ht="34.5" x14ac:dyDescent="0.3">
      <c r="A8" s="160"/>
      <c r="B8" s="154"/>
      <c r="C8" s="154"/>
      <c r="D8" s="154"/>
      <c r="E8" s="155" t="s">
        <v>853</v>
      </c>
      <c r="F8" s="159">
        <v>41</v>
      </c>
    </row>
    <row r="9" spans="1:12" ht="23" x14ac:dyDescent="0.3">
      <c r="A9" s="160" t="s">
        <v>846</v>
      </c>
      <c r="B9" s="154" t="s">
        <v>854</v>
      </c>
      <c r="C9" s="154" t="s">
        <v>69</v>
      </c>
      <c r="D9" s="154" t="s">
        <v>855</v>
      </c>
      <c r="E9" s="155" t="s">
        <v>856</v>
      </c>
      <c r="F9" s="159">
        <v>0</v>
      </c>
    </row>
    <row r="10" spans="1:12" ht="23" x14ac:dyDescent="0.3">
      <c r="A10" s="160"/>
      <c r="B10" s="154"/>
      <c r="C10" s="154"/>
      <c r="D10" s="154"/>
      <c r="E10" s="155" t="s">
        <v>857</v>
      </c>
      <c r="F10" s="159">
        <v>41</v>
      </c>
    </row>
    <row r="11" spans="1:12" x14ac:dyDescent="0.3">
      <c r="A11" s="160" t="s">
        <v>858</v>
      </c>
      <c r="B11" s="154" t="s">
        <v>859</v>
      </c>
      <c r="C11" s="154" t="s">
        <v>317</v>
      </c>
      <c r="D11" s="154" t="s">
        <v>860</v>
      </c>
      <c r="E11" s="155" t="s">
        <v>861</v>
      </c>
      <c r="F11" s="159">
        <v>11</v>
      </c>
    </row>
    <row r="12" spans="1:12" ht="21" customHeight="1" x14ac:dyDescent="0.3">
      <c r="A12" s="160"/>
      <c r="B12" s="154"/>
      <c r="C12" s="154"/>
      <c r="D12" s="154"/>
      <c r="E12" s="155" t="s">
        <v>862</v>
      </c>
      <c r="F12" s="159">
        <v>30</v>
      </c>
    </row>
    <row r="13" spans="1:12" x14ac:dyDescent="0.3">
      <c r="A13" s="160" t="s">
        <v>858</v>
      </c>
      <c r="B13" s="154" t="s">
        <v>863</v>
      </c>
      <c r="C13" s="154" t="s">
        <v>317</v>
      </c>
      <c r="D13" s="154" t="s">
        <v>864</v>
      </c>
      <c r="E13" s="155" t="s">
        <v>861</v>
      </c>
      <c r="F13" s="159">
        <v>11</v>
      </c>
    </row>
    <row r="14" spans="1:12" x14ac:dyDescent="0.3">
      <c r="A14" s="160"/>
      <c r="B14" s="154"/>
      <c r="C14" s="154"/>
      <c r="D14" s="154"/>
      <c r="E14" s="155" t="s">
        <v>862</v>
      </c>
      <c r="F14" s="159">
        <v>30</v>
      </c>
    </row>
    <row r="15" spans="1:12" ht="23" x14ac:dyDescent="0.3">
      <c r="A15" s="160" t="s">
        <v>858</v>
      </c>
      <c r="B15" s="154" t="s">
        <v>541</v>
      </c>
      <c r="C15" s="154" t="s">
        <v>317</v>
      </c>
      <c r="D15" s="154" t="s">
        <v>865</v>
      </c>
      <c r="E15" s="155" t="s">
        <v>866</v>
      </c>
      <c r="F15" s="159">
        <v>6</v>
      </c>
    </row>
    <row r="16" spans="1:12" ht="23" x14ac:dyDescent="0.3">
      <c r="A16" s="160"/>
      <c r="B16" s="154"/>
      <c r="C16" s="154"/>
      <c r="D16" s="154"/>
      <c r="E16" s="155" t="s">
        <v>867</v>
      </c>
      <c r="F16" s="159">
        <v>16</v>
      </c>
    </row>
    <row r="17" spans="1:6" x14ac:dyDescent="0.3">
      <c r="A17" s="160"/>
      <c r="B17" s="154"/>
      <c r="C17" s="154"/>
      <c r="D17" s="154"/>
      <c r="E17" s="155" t="s">
        <v>868</v>
      </c>
      <c r="F17" s="159">
        <v>19</v>
      </c>
    </row>
    <row r="18" spans="1:6" ht="23" x14ac:dyDescent="0.3">
      <c r="A18" s="160" t="s">
        <v>858</v>
      </c>
      <c r="B18" s="154" t="s">
        <v>869</v>
      </c>
      <c r="C18" s="154" t="s">
        <v>46</v>
      </c>
      <c r="D18" s="154" t="s">
        <v>870</v>
      </c>
      <c r="E18" s="155" t="s">
        <v>871</v>
      </c>
      <c r="F18" s="159">
        <v>2</v>
      </c>
    </row>
    <row r="19" spans="1:6" x14ac:dyDescent="0.3">
      <c r="A19" s="160"/>
      <c r="B19" s="154"/>
      <c r="C19" s="154"/>
      <c r="D19" s="154"/>
      <c r="E19" s="155" t="s">
        <v>872</v>
      </c>
      <c r="F19" s="159">
        <v>39</v>
      </c>
    </row>
    <row r="20" spans="1:6" ht="23" x14ac:dyDescent="0.3">
      <c r="A20" s="160" t="s">
        <v>858</v>
      </c>
      <c r="B20" s="154" t="s">
        <v>873</v>
      </c>
      <c r="C20" s="154" t="s">
        <v>317</v>
      </c>
      <c r="D20" s="154" t="s">
        <v>874</v>
      </c>
      <c r="E20" s="155" t="s">
        <v>875</v>
      </c>
      <c r="F20" s="159">
        <v>8</v>
      </c>
    </row>
    <row r="21" spans="1:6" ht="23" x14ac:dyDescent="0.3">
      <c r="A21" s="160"/>
      <c r="B21" s="154"/>
      <c r="C21" s="154"/>
      <c r="D21" s="154"/>
      <c r="E21" s="155" t="s">
        <v>876</v>
      </c>
      <c r="F21" s="159">
        <v>32</v>
      </c>
    </row>
    <row r="22" spans="1:6" x14ac:dyDescent="0.3">
      <c r="A22" s="160"/>
      <c r="B22" s="154"/>
      <c r="C22" s="154"/>
      <c r="D22" s="154"/>
      <c r="E22" s="155" t="s">
        <v>877</v>
      </c>
      <c r="F22" s="159">
        <v>1</v>
      </c>
    </row>
    <row r="23" spans="1:6" x14ac:dyDescent="0.3">
      <c r="A23" s="160" t="s">
        <v>858</v>
      </c>
      <c r="B23" s="154" t="s">
        <v>878</v>
      </c>
      <c r="C23" s="154" t="s">
        <v>46</v>
      </c>
      <c r="D23" s="154" t="s">
        <v>879</v>
      </c>
      <c r="E23" s="155" t="s">
        <v>880</v>
      </c>
      <c r="F23" s="159">
        <v>11</v>
      </c>
    </row>
    <row r="24" spans="1:6" x14ac:dyDescent="0.3">
      <c r="A24" s="160"/>
      <c r="B24" s="154"/>
      <c r="C24" s="154"/>
      <c r="D24" s="154"/>
      <c r="E24" s="155" t="s">
        <v>862</v>
      </c>
      <c r="F24" s="159">
        <v>30</v>
      </c>
    </row>
    <row r="25" spans="1:6" ht="23" x14ac:dyDescent="0.3">
      <c r="A25" s="160" t="s">
        <v>881</v>
      </c>
      <c r="B25" s="154" t="s">
        <v>570</v>
      </c>
      <c r="C25" s="154" t="s">
        <v>69</v>
      </c>
      <c r="D25" s="154" t="s">
        <v>882</v>
      </c>
      <c r="E25" s="155" t="s">
        <v>883</v>
      </c>
      <c r="F25" s="159">
        <v>0</v>
      </c>
    </row>
    <row r="26" spans="1:6" ht="23" x14ac:dyDescent="0.3">
      <c r="A26" s="160"/>
      <c r="B26" s="154"/>
      <c r="C26" s="154"/>
      <c r="D26" s="154"/>
      <c r="E26" s="155" t="s">
        <v>884</v>
      </c>
      <c r="F26" s="159">
        <v>41</v>
      </c>
    </row>
    <row r="27" spans="1:6" ht="23" x14ac:dyDescent="0.3">
      <c r="A27" s="160" t="s">
        <v>885</v>
      </c>
      <c r="B27" s="154" t="s">
        <v>886</v>
      </c>
      <c r="C27" s="154" t="s">
        <v>317</v>
      </c>
      <c r="D27" s="154" t="s">
        <v>887</v>
      </c>
      <c r="E27" s="155" t="s">
        <v>888</v>
      </c>
      <c r="F27" s="159">
        <v>0</v>
      </c>
    </row>
    <row r="28" spans="1:6" ht="34.5" x14ac:dyDescent="0.3">
      <c r="A28" s="160"/>
      <c r="B28" s="154"/>
      <c r="C28" s="154"/>
      <c r="D28" s="154"/>
      <c r="E28" s="155" t="s">
        <v>889</v>
      </c>
      <c r="F28" s="159">
        <v>41</v>
      </c>
    </row>
    <row r="29" spans="1:6" x14ac:dyDescent="0.3">
      <c r="A29" s="160" t="s">
        <v>890</v>
      </c>
      <c r="B29" s="154" t="s">
        <v>575</v>
      </c>
      <c r="C29" s="154" t="s">
        <v>69</v>
      </c>
      <c r="D29" s="154" t="s">
        <v>891</v>
      </c>
      <c r="E29" s="155" t="s">
        <v>892</v>
      </c>
      <c r="F29" s="159">
        <v>0</v>
      </c>
    </row>
    <row r="30" spans="1:6" x14ac:dyDescent="0.3">
      <c r="A30" s="160"/>
      <c r="B30" s="154"/>
      <c r="C30" s="154"/>
      <c r="D30" s="154"/>
      <c r="E30" s="155" t="s">
        <v>893</v>
      </c>
      <c r="F30" s="159">
        <v>31</v>
      </c>
    </row>
    <row r="31" spans="1:6" x14ac:dyDescent="0.3">
      <c r="A31" s="160"/>
      <c r="B31" s="154"/>
      <c r="C31" s="154"/>
      <c r="D31" s="154"/>
      <c r="E31" s="155" t="s">
        <v>894</v>
      </c>
      <c r="F31" s="159">
        <v>0</v>
      </c>
    </row>
    <row r="32" spans="1:6" ht="23" x14ac:dyDescent="0.3">
      <c r="A32" s="160" t="s">
        <v>890</v>
      </c>
      <c r="B32" s="154" t="s">
        <v>895</v>
      </c>
      <c r="C32" s="154" t="s">
        <v>317</v>
      </c>
      <c r="D32" s="155" t="s">
        <v>896</v>
      </c>
      <c r="E32" s="155" t="s">
        <v>898</v>
      </c>
      <c r="F32" s="159">
        <v>22</v>
      </c>
    </row>
    <row r="33" spans="1:6" ht="23" x14ac:dyDescent="0.3">
      <c r="A33" s="160"/>
      <c r="B33" s="154"/>
      <c r="C33" s="154"/>
      <c r="D33" s="155" t="s">
        <v>897</v>
      </c>
      <c r="E33" s="155" t="s">
        <v>899</v>
      </c>
      <c r="F33" s="159">
        <v>12</v>
      </c>
    </row>
    <row r="34" spans="1:6" x14ac:dyDescent="0.3">
      <c r="A34" s="160"/>
      <c r="B34" s="154"/>
      <c r="C34" s="154"/>
      <c r="D34" s="156"/>
      <c r="E34" s="155" t="s">
        <v>900</v>
      </c>
      <c r="F34" s="159">
        <v>7</v>
      </c>
    </row>
    <row r="35" spans="1:6" x14ac:dyDescent="0.3">
      <c r="A35" s="161" t="s">
        <v>901</v>
      </c>
      <c r="B35" s="157"/>
      <c r="C35" s="157"/>
      <c r="D35" s="157"/>
      <c r="E35" s="157"/>
      <c r="F35" s="162"/>
    </row>
    <row r="36" spans="1:6" ht="34.5" x14ac:dyDescent="0.3">
      <c r="A36" s="160" t="s">
        <v>902</v>
      </c>
      <c r="B36" s="154" t="s">
        <v>903</v>
      </c>
      <c r="C36" s="154" t="s">
        <v>317</v>
      </c>
      <c r="D36" s="154" t="s">
        <v>904</v>
      </c>
      <c r="E36" s="155" t="s">
        <v>905</v>
      </c>
      <c r="F36" s="159">
        <v>0</v>
      </c>
    </row>
    <row r="37" spans="1:6" ht="23" x14ac:dyDescent="0.3">
      <c r="A37" s="160"/>
      <c r="B37" s="154"/>
      <c r="C37" s="154"/>
      <c r="D37" s="154"/>
      <c r="E37" s="155" t="s">
        <v>906</v>
      </c>
      <c r="F37" s="159">
        <v>41</v>
      </c>
    </row>
    <row r="38" spans="1:6" ht="23" x14ac:dyDescent="0.3">
      <c r="A38" s="160" t="s">
        <v>907</v>
      </c>
      <c r="B38" s="154" t="s">
        <v>908</v>
      </c>
      <c r="C38" s="154" t="s">
        <v>317</v>
      </c>
      <c r="D38" s="154" t="s">
        <v>909</v>
      </c>
      <c r="E38" s="155" t="s">
        <v>910</v>
      </c>
      <c r="F38" s="159">
        <v>31</v>
      </c>
    </row>
    <row r="39" spans="1:6" ht="23" x14ac:dyDescent="0.3">
      <c r="A39" s="160"/>
      <c r="B39" s="154"/>
      <c r="C39" s="154"/>
      <c r="D39" s="154"/>
      <c r="E39" s="155" t="s">
        <v>911</v>
      </c>
      <c r="F39" s="159">
        <v>10</v>
      </c>
    </row>
    <row r="40" spans="1:6" x14ac:dyDescent="0.3">
      <c r="A40" s="160" t="s">
        <v>912</v>
      </c>
      <c r="B40" s="154" t="s">
        <v>913</v>
      </c>
      <c r="C40" s="154" t="s">
        <v>317</v>
      </c>
      <c r="D40" s="154" t="s">
        <v>914</v>
      </c>
      <c r="E40" s="155" t="s">
        <v>915</v>
      </c>
      <c r="F40" s="159">
        <v>9</v>
      </c>
    </row>
    <row r="41" spans="1:6" ht="23" x14ac:dyDescent="0.3">
      <c r="A41" s="160"/>
      <c r="B41" s="154"/>
      <c r="C41" s="154"/>
      <c r="D41" s="154"/>
      <c r="E41" s="155" t="s">
        <v>916</v>
      </c>
      <c r="F41" s="159">
        <v>30</v>
      </c>
    </row>
    <row r="42" spans="1:6" x14ac:dyDescent="0.3">
      <c r="A42" s="160"/>
      <c r="B42" s="154"/>
      <c r="C42" s="154"/>
      <c r="D42" s="154"/>
      <c r="E42" s="155" t="s">
        <v>894</v>
      </c>
      <c r="F42" s="159">
        <v>2</v>
      </c>
    </row>
    <row r="43" spans="1:6" ht="34.5" x14ac:dyDescent="0.3">
      <c r="A43" s="160" t="s">
        <v>917</v>
      </c>
      <c r="B43" s="154" t="s">
        <v>918</v>
      </c>
      <c r="C43" s="154" t="s">
        <v>317</v>
      </c>
      <c r="D43" s="155" t="s">
        <v>919</v>
      </c>
      <c r="E43" s="155" t="s">
        <v>921</v>
      </c>
      <c r="F43" s="159">
        <v>11</v>
      </c>
    </row>
    <row r="44" spans="1:6" ht="23" x14ac:dyDescent="0.3">
      <c r="A44" s="163"/>
      <c r="B44" s="164"/>
      <c r="C44" s="164"/>
      <c r="D44" s="170" t="s">
        <v>920</v>
      </c>
      <c r="E44" s="170" t="s">
        <v>922</v>
      </c>
      <c r="F44" s="165">
        <v>30</v>
      </c>
    </row>
  </sheetData>
  <mergeCells count="69">
    <mergeCell ref="A43:A44"/>
    <mergeCell ref="B43:B44"/>
    <mergeCell ref="C43:C44"/>
    <mergeCell ref="A1:L2"/>
    <mergeCell ref="A38:A39"/>
    <mergeCell ref="B38:B39"/>
    <mergeCell ref="C38:C39"/>
    <mergeCell ref="D38:D39"/>
    <mergeCell ref="A40:A42"/>
    <mergeCell ref="B40:B42"/>
    <mergeCell ref="C40:C42"/>
    <mergeCell ref="D40:D42"/>
    <mergeCell ref="A32:A34"/>
    <mergeCell ref="B32:B34"/>
    <mergeCell ref="C32:C34"/>
    <mergeCell ref="A35:E35"/>
    <mergeCell ref="A36:A37"/>
    <mergeCell ref="B36:B37"/>
    <mergeCell ref="C36:C37"/>
    <mergeCell ref="D36:D37"/>
    <mergeCell ref="A27:A28"/>
    <mergeCell ref="B27:B28"/>
    <mergeCell ref="C27:C28"/>
    <mergeCell ref="D27:D28"/>
    <mergeCell ref="A29:A31"/>
    <mergeCell ref="B29:B31"/>
    <mergeCell ref="C29:C31"/>
    <mergeCell ref="D29:D31"/>
    <mergeCell ref="A23:A24"/>
    <mergeCell ref="B23:B24"/>
    <mergeCell ref="C23:C24"/>
    <mergeCell ref="D23:D24"/>
    <mergeCell ref="A25:A26"/>
    <mergeCell ref="B25:B26"/>
    <mergeCell ref="C25:C26"/>
    <mergeCell ref="D25:D26"/>
    <mergeCell ref="A18:A19"/>
    <mergeCell ref="B18:B19"/>
    <mergeCell ref="C18:C19"/>
    <mergeCell ref="D18:D19"/>
    <mergeCell ref="A20:A22"/>
    <mergeCell ref="B20:B22"/>
    <mergeCell ref="C20:C22"/>
    <mergeCell ref="D20:D22"/>
    <mergeCell ref="A13:A14"/>
    <mergeCell ref="B13:B14"/>
    <mergeCell ref="C13:C14"/>
    <mergeCell ref="D13:D14"/>
    <mergeCell ref="A15:A17"/>
    <mergeCell ref="B15:B17"/>
    <mergeCell ref="C15:C17"/>
    <mergeCell ref="D15:D17"/>
    <mergeCell ref="A9:A10"/>
    <mergeCell ref="B9:B10"/>
    <mergeCell ref="C9:C10"/>
    <mergeCell ref="D9:D10"/>
    <mergeCell ref="A11:A12"/>
    <mergeCell ref="B11:B12"/>
    <mergeCell ref="C11:C12"/>
    <mergeCell ref="D11:D12"/>
    <mergeCell ref="A3:D3"/>
    <mergeCell ref="A5:A6"/>
    <mergeCell ref="B5:B6"/>
    <mergeCell ref="C5:C6"/>
    <mergeCell ref="D5:D6"/>
    <mergeCell ref="A7:A8"/>
    <mergeCell ref="B7:B8"/>
    <mergeCell ref="C7:C8"/>
    <mergeCell ref="D7:D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995"/>
  <sheetViews>
    <sheetView zoomScale="55" zoomScaleNormal="55" workbookViewId="0">
      <pane xSplit="2" topLeftCell="C1" activePane="topRight" state="frozen"/>
      <selection pane="topRight" activeCell="BB23" sqref="BB23"/>
    </sheetView>
  </sheetViews>
  <sheetFormatPr defaultColWidth="12.6640625" defaultRowHeight="15" customHeight="1" x14ac:dyDescent="0.3"/>
  <cols>
    <col min="1" max="1" width="24.1640625" customWidth="1"/>
    <col min="2" max="2" width="17.1640625" customWidth="1"/>
    <col min="3" max="3" width="15.9140625" customWidth="1"/>
    <col min="4" max="4" width="13.4140625" customWidth="1"/>
    <col min="5" max="5" width="36.5" customWidth="1"/>
    <col min="6" max="6" width="51.9140625" customWidth="1"/>
    <col min="7" max="7" width="26.33203125" bestFit="1" customWidth="1"/>
    <col min="8" max="8" width="20.75" customWidth="1"/>
    <col min="9" max="9" width="7.33203125" bestFit="1" customWidth="1"/>
    <col min="10" max="10" width="11.4140625" bestFit="1" customWidth="1"/>
    <col min="11" max="11" width="9.1640625" bestFit="1" customWidth="1"/>
    <col min="12" max="12" width="8.33203125" bestFit="1" customWidth="1"/>
    <col min="13" max="13" width="25.33203125" customWidth="1"/>
    <col min="14" max="14" width="13.4140625" customWidth="1"/>
    <col min="15" max="15" width="16.58203125" customWidth="1"/>
    <col min="16" max="16" width="32.75" bestFit="1" customWidth="1"/>
    <col min="17" max="17" width="36.5" customWidth="1"/>
    <col min="18" max="18" width="41.25" customWidth="1"/>
    <col min="19" max="19" width="23.5" customWidth="1"/>
    <col min="20" max="20" width="19.25" customWidth="1"/>
    <col min="21" max="22" width="32.25" customWidth="1"/>
    <col min="23" max="24" width="22.4140625" customWidth="1"/>
    <col min="25" max="25" width="33.1640625" bestFit="1" customWidth="1"/>
    <col min="26" max="26" width="33.1640625" customWidth="1"/>
    <col min="27" max="29" width="28.75" customWidth="1"/>
    <col min="30" max="30" width="58.5" customWidth="1"/>
    <col min="31" max="35" width="21.5" customWidth="1"/>
    <col min="36" max="36" width="24.83203125" customWidth="1"/>
    <col min="37" max="37" width="21.5" customWidth="1"/>
    <col min="38" max="38" width="30.58203125" bestFit="1" customWidth="1"/>
    <col min="39" max="40" width="21.5" customWidth="1"/>
    <col min="41" max="41" width="31.75" customWidth="1"/>
    <col min="42" max="42" width="22.9140625" customWidth="1"/>
    <col min="43" max="46" width="35.6640625" customWidth="1"/>
    <col min="47" max="48" width="15" customWidth="1"/>
    <col min="49" max="51" width="20.25" customWidth="1"/>
    <col min="52" max="56" width="37.1640625" customWidth="1"/>
    <col min="57" max="57" width="17.75" customWidth="1"/>
    <col min="58" max="58" width="16.5" customWidth="1"/>
    <col min="59" max="59" width="15.4140625" customWidth="1"/>
    <col min="60" max="61" width="36.6640625" customWidth="1"/>
    <col min="62" max="62" width="34.25" bestFit="1" customWidth="1"/>
    <col min="63" max="64" width="22.75" customWidth="1"/>
    <col min="65" max="67" width="24.1640625" customWidth="1"/>
    <col min="68" max="68" width="37.5" customWidth="1"/>
    <col min="69" max="69" width="21.5" customWidth="1"/>
    <col min="70" max="71" width="28.75" customWidth="1"/>
    <col min="72" max="72" width="28.5" customWidth="1"/>
    <col min="73" max="73" width="23.33203125" customWidth="1"/>
    <col min="74" max="74" width="34.5" bestFit="1" customWidth="1"/>
    <col min="75" max="75" width="30.83203125" bestFit="1" customWidth="1"/>
    <col min="76" max="76" width="24.33203125" customWidth="1"/>
    <col min="77" max="77" width="37.25" hidden="1" customWidth="1"/>
    <col min="78" max="78" width="11.33203125" customWidth="1"/>
    <col min="79" max="80" width="4.1640625" bestFit="1" customWidth="1"/>
    <col min="81" max="81" width="10.6640625" bestFit="1" customWidth="1"/>
    <col min="82" max="82" width="34.1640625" style="29" bestFit="1" customWidth="1"/>
    <col min="83" max="84" width="37.25" customWidth="1"/>
    <col min="85" max="85" width="25.4140625" customWidth="1"/>
    <col min="86" max="86" width="32.9140625" customWidth="1"/>
    <col min="87" max="88" width="32.9140625" hidden="1" customWidth="1"/>
    <col min="89" max="89" width="7.6640625" hidden="1" customWidth="1"/>
    <col min="90" max="90" width="40.6640625" hidden="1" customWidth="1"/>
    <col min="91" max="91" width="23.6640625" hidden="1" customWidth="1"/>
    <col min="92" max="92" width="17" hidden="1" customWidth="1"/>
    <col min="93" max="93" width="17.6640625" hidden="1" customWidth="1"/>
    <col min="94" max="94" width="13.9140625" hidden="1" customWidth="1"/>
    <col min="95" max="95" width="34.5" hidden="1" customWidth="1"/>
    <col min="96" max="96" width="29.25" hidden="1" customWidth="1"/>
    <col min="97" max="98" width="36.25" hidden="1" customWidth="1"/>
    <col min="99" max="99" width="38.25" hidden="1" customWidth="1"/>
    <col min="100" max="100" width="46.58203125" bestFit="1" customWidth="1"/>
    <col min="101" max="101" width="21.1640625" bestFit="1" customWidth="1"/>
    <col min="102" max="102" width="31.58203125" bestFit="1" customWidth="1"/>
    <col min="103" max="103" width="73.6640625" bestFit="1" customWidth="1"/>
    <col min="104" max="104" width="26.4140625" customWidth="1"/>
    <col min="105" max="105" width="64.25" customWidth="1"/>
    <col min="106" max="106" width="22.6640625" bestFit="1" customWidth="1"/>
    <col min="107" max="107" width="22.6640625" customWidth="1"/>
  </cols>
  <sheetData>
    <row r="1" spans="1:107" ht="63" customHeight="1" x14ac:dyDescent="0.35">
      <c r="A1" s="1"/>
      <c r="B1" s="1"/>
      <c r="C1" s="1"/>
      <c r="D1" s="1"/>
      <c r="E1" s="1"/>
      <c r="F1" s="48"/>
      <c r="G1" s="64" t="s">
        <v>539</v>
      </c>
      <c r="H1" s="66"/>
      <c r="I1" s="141" t="s">
        <v>540</v>
      </c>
      <c r="J1" s="142"/>
      <c r="K1" s="142"/>
      <c r="L1" s="142"/>
      <c r="M1" s="142"/>
      <c r="N1" s="142"/>
      <c r="O1" s="77"/>
      <c r="P1" s="66"/>
      <c r="Q1" s="66"/>
      <c r="R1" s="81" t="s">
        <v>551</v>
      </c>
      <c r="S1" s="66"/>
      <c r="T1" s="66"/>
      <c r="U1" s="143" t="s">
        <v>554</v>
      </c>
      <c r="V1" s="144"/>
      <c r="W1" s="66"/>
      <c r="X1" s="66"/>
      <c r="Y1" s="81" t="s">
        <v>557</v>
      </c>
      <c r="Z1" s="66"/>
      <c r="AA1" s="94" t="s">
        <v>541</v>
      </c>
      <c r="AB1" s="66"/>
      <c r="AC1" s="63"/>
      <c r="AD1" s="94" t="s">
        <v>561</v>
      </c>
      <c r="AE1" s="66"/>
      <c r="AF1" s="63"/>
      <c r="AG1" s="94" t="s">
        <v>542</v>
      </c>
      <c r="AH1" s="66"/>
      <c r="AI1" s="63"/>
      <c r="AJ1" s="94" t="s">
        <v>566</v>
      </c>
      <c r="AK1" s="66"/>
      <c r="AL1" s="132" t="s">
        <v>568</v>
      </c>
      <c r="AM1" s="85" t="s">
        <v>3</v>
      </c>
      <c r="AN1" s="85" t="s">
        <v>4</v>
      </c>
      <c r="AO1" s="85" t="s">
        <v>12</v>
      </c>
      <c r="AP1" s="113" t="s">
        <v>569</v>
      </c>
      <c r="AQ1" s="145" t="s">
        <v>570</v>
      </c>
      <c r="AR1" s="146"/>
      <c r="AS1" s="66"/>
      <c r="AT1" s="63"/>
      <c r="AU1" s="114" t="s">
        <v>573</v>
      </c>
      <c r="AV1" s="63"/>
      <c r="AW1" s="114" t="s">
        <v>575</v>
      </c>
      <c r="AX1" s="66"/>
      <c r="AY1" s="63"/>
      <c r="AZ1" s="114" t="s">
        <v>577</v>
      </c>
      <c r="BA1" s="115" t="s">
        <v>578</v>
      </c>
      <c r="BB1" s="115" t="s">
        <v>6</v>
      </c>
      <c r="BC1" s="116" t="s">
        <v>7</v>
      </c>
      <c r="BD1" s="116" t="s">
        <v>8</v>
      </c>
      <c r="BE1" s="66"/>
      <c r="BF1" s="63"/>
      <c r="BG1" s="147" t="s">
        <v>9</v>
      </c>
      <c r="BH1" s="118" t="s">
        <v>580</v>
      </c>
      <c r="BI1" s="63"/>
      <c r="BJ1" s="81" t="s">
        <v>582</v>
      </c>
      <c r="BK1" s="38"/>
      <c r="BL1" s="58"/>
      <c r="BM1" s="134" t="s">
        <v>587</v>
      </c>
      <c r="BN1" s="119" t="s">
        <v>1</v>
      </c>
      <c r="BO1" s="119" t="s">
        <v>2</v>
      </c>
      <c r="BP1" s="66"/>
      <c r="BQ1" s="63"/>
      <c r="BR1" s="78" t="s">
        <v>590</v>
      </c>
      <c r="BT1" s="78" t="s">
        <v>592</v>
      </c>
      <c r="BU1" s="48"/>
      <c r="BW1" s="78" t="s">
        <v>594</v>
      </c>
      <c r="BY1" s="48" t="s">
        <v>10</v>
      </c>
      <c r="CD1" s="121" t="s">
        <v>603</v>
      </c>
      <c r="CE1" s="48" t="s">
        <v>600</v>
      </c>
      <c r="CF1" s="48" t="s">
        <v>601</v>
      </c>
      <c r="CG1" s="122" t="s">
        <v>602</v>
      </c>
      <c r="CH1" s="117" t="s">
        <v>601</v>
      </c>
      <c r="CI1" s="48" t="s">
        <v>11</v>
      </c>
      <c r="CJ1" s="48" t="s">
        <v>12</v>
      </c>
      <c r="CK1" s="123"/>
      <c r="CL1" s="85" t="s">
        <v>13</v>
      </c>
      <c r="CM1" s="85" t="s">
        <v>14</v>
      </c>
      <c r="CN1" s="48" t="s">
        <v>15</v>
      </c>
      <c r="CO1" s="48" t="s">
        <v>16</v>
      </c>
      <c r="CP1" s="123"/>
      <c r="CQ1" s="85" t="s">
        <v>17</v>
      </c>
      <c r="CR1" s="85" t="s">
        <v>18</v>
      </c>
      <c r="CS1" s="85" t="s">
        <v>19</v>
      </c>
      <c r="CT1" s="85" t="s">
        <v>20</v>
      </c>
      <c r="CU1" s="85" t="s">
        <v>21</v>
      </c>
      <c r="CV1" s="85" t="s">
        <v>598</v>
      </c>
      <c r="CW1" s="92" t="s">
        <v>596</v>
      </c>
      <c r="CX1" s="92" t="s">
        <v>12</v>
      </c>
      <c r="CY1" s="48" t="s">
        <v>597</v>
      </c>
      <c r="CZ1" s="48" t="s">
        <v>598</v>
      </c>
      <c r="DA1" s="92" t="s">
        <v>599</v>
      </c>
      <c r="DB1" s="85" t="s">
        <v>598</v>
      </c>
      <c r="DC1" s="86" t="s">
        <v>569</v>
      </c>
    </row>
    <row r="2" spans="1:107" ht="14.25" customHeight="1" x14ac:dyDescent="0.35">
      <c r="A2" s="3" t="s">
        <v>22</v>
      </c>
      <c r="B2" s="3" t="s">
        <v>23</v>
      </c>
      <c r="C2" s="3" t="s">
        <v>24</v>
      </c>
      <c r="D2" s="3" t="s">
        <v>25</v>
      </c>
      <c r="E2" s="4" t="s">
        <v>26</v>
      </c>
      <c r="F2" s="49" t="s">
        <v>27</v>
      </c>
      <c r="G2" s="65" t="s">
        <v>28</v>
      </c>
      <c r="H2" s="68" t="s">
        <v>527</v>
      </c>
      <c r="I2" s="71" t="s">
        <v>29</v>
      </c>
      <c r="J2" s="32" t="s">
        <v>30</v>
      </c>
      <c r="K2" s="32" t="s">
        <v>31</v>
      </c>
      <c r="L2" s="32" t="s">
        <v>32</v>
      </c>
      <c r="M2" s="32" t="s">
        <v>33</v>
      </c>
      <c r="N2" s="32" t="s">
        <v>34</v>
      </c>
      <c r="O2" s="32" t="s">
        <v>35</v>
      </c>
      <c r="P2" s="67" t="s">
        <v>0</v>
      </c>
      <c r="Q2" s="79" t="s">
        <v>529</v>
      </c>
      <c r="R2" s="72"/>
      <c r="S2" s="98" t="s">
        <v>553</v>
      </c>
      <c r="T2" s="39" t="s">
        <v>552</v>
      </c>
      <c r="U2" s="99" t="s">
        <v>545</v>
      </c>
      <c r="V2" s="100" t="s">
        <v>544</v>
      </c>
      <c r="W2" s="101" t="s">
        <v>555</v>
      </c>
      <c r="X2" s="102" t="s">
        <v>556</v>
      </c>
      <c r="Y2" s="99" t="s">
        <v>545</v>
      </c>
      <c r="Z2" s="102" t="s">
        <v>558</v>
      </c>
      <c r="AA2" s="72"/>
      <c r="AB2" s="98" t="s">
        <v>559</v>
      </c>
      <c r="AC2" s="103" t="s">
        <v>560</v>
      </c>
      <c r="AD2" s="72"/>
      <c r="AE2" s="104" t="s">
        <v>562</v>
      </c>
      <c r="AF2" s="105" t="s">
        <v>563</v>
      </c>
      <c r="AG2" s="72"/>
      <c r="AH2" s="98" t="s">
        <v>564</v>
      </c>
      <c r="AI2" s="103" t="s">
        <v>565</v>
      </c>
      <c r="AJ2" s="72"/>
      <c r="AK2" s="95" t="s">
        <v>567</v>
      </c>
      <c r="AL2" s="72"/>
      <c r="AM2" s="34"/>
      <c r="AN2" s="34"/>
      <c r="AO2" s="34"/>
      <c r="AP2" s="109"/>
      <c r="AQ2" s="72"/>
      <c r="AR2" s="85" t="s">
        <v>5</v>
      </c>
      <c r="AS2" s="98" t="s">
        <v>571</v>
      </c>
      <c r="AT2" s="103" t="s">
        <v>572</v>
      </c>
      <c r="AU2" s="72"/>
      <c r="AV2" s="103" t="s">
        <v>574</v>
      </c>
      <c r="AW2" s="72"/>
      <c r="AX2" s="98" t="s">
        <v>576</v>
      </c>
      <c r="AY2" s="103" t="s">
        <v>530</v>
      </c>
      <c r="AZ2" s="72"/>
      <c r="BA2" s="34"/>
      <c r="BB2" s="34"/>
      <c r="BC2" s="34"/>
      <c r="BD2" s="34"/>
      <c r="BE2" s="98" t="s">
        <v>579</v>
      </c>
      <c r="BF2" s="133" t="s">
        <v>531</v>
      </c>
      <c r="BG2" s="148"/>
      <c r="BH2" s="72"/>
      <c r="BI2" s="133" t="s">
        <v>581</v>
      </c>
      <c r="BJ2" s="72"/>
      <c r="BK2" s="120" t="s">
        <v>583</v>
      </c>
      <c r="BL2" s="135" t="s">
        <v>584</v>
      </c>
      <c r="BM2" s="72"/>
      <c r="BN2" s="34"/>
      <c r="BO2" s="34"/>
      <c r="BP2" s="98" t="s">
        <v>588</v>
      </c>
      <c r="BQ2" s="103" t="s">
        <v>589</v>
      </c>
      <c r="BR2" s="33"/>
      <c r="BS2" s="98" t="s">
        <v>591</v>
      </c>
      <c r="BT2" s="33"/>
      <c r="BU2" s="34"/>
      <c r="BV2" s="120" t="s">
        <v>593</v>
      </c>
      <c r="BW2" s="2"/>
      <c r="BX2" s="48" t="s">
        <v>595</v>
      </c>
      <c r="BY2" s="2"/>
      <c r="BZ2" s="136" t="s">
        <v>585</v>
      </c>
      <c r="CA2" s="136" t="s">
        <v>549</v>
      </c>
      <c r="CB2" s="136" t="s">
        <v>550</v>
      </c>
      <c r="CC2" s="136" t="s">
        <v>586</v>
      </c>
      <c r="CD2" s="35"/>
      <c r="CE2" s="42"/>
      <c r="CF2" s="42"/>
      <c r="CG2" s="28"/>
      <c r="CH2" s="28"/>
      <c r="CI2" s="33"/>
      <c r="CJ2" s="33"/>
      <c r="CK2" s="33"/>
      <c r="CL2" s="33"/>
      <c r="CM2" s="33"/>
      <c r="CN2" s="33"/>
      <c r="CO2" s="33"/>
      <c r="CP2" s="33"/>
      <c r="CQ2" s="33"/>
      <c r="CR2" s="33"/>
      <c r="CS2" s="33"/>
      <c r="CT2" s="33"/>
      <c r="CU2" s="33"/>
      <c r="CV2" s="33"/>
      <c r="CW2" s="33"/>
      <c r="CX2" s="33"/>
      <c r="CY2" s="33"/>
      <c r="CZ2" s="33"/>
      <c r="DA2" s="33"/>
      <c r="DB2" s="33"/>
      <c r="DC2" s="34"/>
    </row>
    <row r="3" spans="1:107" ht="14.25" customHeight="1" x14ac:dyDescent="0.35">
      <c r="A3" s="43" t="s">
        <v>36</v>
      </c>
      <c r="B3" s="2" t="s">
        <v>37</v>
      </c>
      <c r="C3" s="7" t="s">
        <v>38</v>
      </c>
      <c r="D3" s="7" t="s">
        <v>39</v>
      </c>
      <c r="E3" s="7" t="s">
        <v>40</v>
      </c>
      <c r="F3" s="50" t="s">
        <v>41</v>
      </c>
      <c r="G3" s="55">
        <v>29</v>
      </c>
      <c r="H3" s="17" t="s">
        <v>528</v>
      </c>
      <c r="I3" s="72" t="s">
        <v>42</v>
      </c>
      <c r="J3" s="34" t="s">
        <v>43</v>
      </c>
      <c r="K3" s="34" t="s">
        <v>43</v>
      </c>
      <c r="L3" s="34" t="s">
        <v>43</v>
      </c>
      <c r="M3" s="34" t="s">
        <v>42</v>
      </c>
      <c r="N3" s="34" t="s">
        <v>43</v>
      </c>
      <c r="O3" s="34" t="s">
        <v>43</v>
      </c>
      <c r="P3" s="34" t="s">
        <v>44</v>
      </c>
      <c r="Q3" s="80" t="s">
        <v>69</v>
      </c>
      <c r="R3" s="55" t="s">
        <v>60</v>
      </c>
      <c r="S3" s="138" t="s">
        <v>630</v>
      </c>
      <c r="T3" s="17" t="s">
        <v>69</v>
      </c>
      <c r="U3" s="88">
        <v>3.5490035679999998</v>
      </c>
      <c r="V3" s="89">
        <v>41</v>
      </c>
      <c r="W3" s="17" t="s">
        <v>45</v>
      </c>
      <c r="X3" s="17" t="str">
        <f>IF(U3 &gt;3.30383,"Low","High")</f>
        <v>Low</v>
      </c>
      <c r="Y3" s="93">
        <v>17.880369999999999</v>
      </c>
      <c r="Z3" s="97" t="str">
        <f>IF(Y3 &gt;17.7724,"Low","High")</f>
        <v>Low</v>
      </c>
      <c r="AA3" s="83" t="s">
        <v>46</v>
      </c>
      <c r="AB3" s="50" t="s">
        <v>47</v>
      </c>
      <c r="AC3" s="87" t="s">
        <v>69</v>
      </c>
      <c r="AD3" s="55" t="s">
        <v>51</v>
      </c>
      <c r="AE3" s="17" t="s">
        <v>52</v>
      </c>
      <c r="AF3" s="56" t="s">
        <v>69</v>
      </c>
      <c r="AG3" s="55" t="s">
        <v>48</v>
      </c>
      <c r="AH3" s="17" t="s">
        <v>53</v>
      </c>
      <c r="AI3" s="56" t="str">
        <f>IF(AG3="No", "Low", "High")</f>
        <v>Low</v>
      </c>
      <c r="AJ3" s="57">
        <v>5.0476850000000004</v>
      </c>
      <c r="AK3" s="87" t="str">
        <f>IF(AJ3 &gt;5.768784,"Low", "High")</f>
        <v>High</v>
      </c>
      <c r="AL3" s="110">
        <v>177.5</v>
      </c>
      <c r="AM3" s="50" t="s">
        <v>54</v>
      </c>
      <c r="AN3" s="50" t="s">
        <v>54</v>
      </c>
      <c r="AO3" s="50" t="s">
        <v>55</v>
      </c>
      <c r="AP3" s="87" t="str">
        <f>IF(AL3&gt;75,"Low","High")</f>
        <v>Low</v>
      </c>
      <c r="AQ3" s="83" t="s">
        <v>48</v>
      </c>
      <c r="AR3" s="50" t="s">
        <v>58</v>
      </c>
      <c r="AS3" s="50" t="s">
        <v>59</v>
      </c>
      <c r="AT3" s="87" t="s">
        <v>69</v>
      </c>
      <c r="AU3" s="83" t="s">
        <v>61</v>
      </c>
      <c r="AV3" s="87" t="s">
        <v>69</v>
      </c>
      <c r="AW3" s="83" t="s">
        <v>54</v>
      </c>
      <c r="AX3" s="50"/>
      <c r="AY3" s="87" t="s">
        <v>54</v>
      </c>
      <c r="AZ3" s="83" t="s">
        <v>62</v>
      </c>
      <c r="BA3" s="50" t="s">
        <v>54</v>
      </c>
      <c r="BB3" s="50" t="s">
        <v>54</v>
      </c>
      <c r="BC3" s="34" t="s">
        <v>56</v>
      </c>
      <c r="BD3" s="34" t="s">
        <v>48</v>
      </c>
      <c r="BE3" s="50" t="s">
        <v>63</v>
      </c>
      <c r="BF3" s="87" t="s">
        <v>54</v>
      </c>
      <c r="BG3" s="148"/>
      <c r="BH3" s="111" t="s">
        <v>48</v>
      </c>
      <c r="BI3" s="73" t="s">
        <v>69</v>
      </c>
      <c r="BJ3" s="83" t="s">
        <v>48</v>
      </c>
      <c r="BK3" s="50" t="s">
        <v>47</v>
      </c>
      <c r="BL3" s="87" t="str">
        <f>+IF(BJ3="No", "Low", "High")</f>
        <v>Low</v>
      </c>
      <c r="BM3" s="83" t="s">
        <v>48</v>
      </c>
      <c r="BN3" s="50" t="s">
        <v>49</v>
      </c>
      <c r="BO3" s="50" t="s">
        <v>50</v>
      </c>
      <c r="BP3" s="50" t="s">
        <v>709</v>
      </c>
      <c r="BQ3" s="87" t="s">
        <v>69</v>
      </c>
      <c r="BR3" s="12">
        <f>1*3</f>
        <v>3</v>
      </c>
      <c r="BS3" s="2" t="s">
        <v>64</v>
      </c>
      <c r="BT3" s="2" t="s">
        <v>48</v>
      </c>
      <c r="BU3" s="2" t="s">
        <v>532</v>
      </c>
      <c r="BV3" s="2" t="s">
        <v>65</v>
      </c>
      <c r="BW3" s="2" t="s">
        <v>48</v>
      </c>
      <c r="BX3" s="2" t="s">
        <v>66</v>
      </c>
      <c r="BY3" s="2" t="s">
        <v>54</v>
      </c>
      <c r="BZ3" s="2" t="str">
        <f>IF(BR3&gt;=2,"Low","High")</f>
        <v>Low</v>
      </c>
      <c r="CA3" s="2" t="str">
        <f>IF(BT3="No","Low","High")</f>
        <v>Low</v>
      </c>
      <c r="CB3" s="2" t="str">
        <f>IF(BW3="No","Low","High")</f>
        <v>Low</v>
      </c>
      <c r="CC3" s="2" t="s">
        <v>69</v>
      </c>
      <c r="CD3" s="35"/>
      <c r="CE3" s="42" t="s">
        <v>54</v>
      </c>
      <c r="CF3" s="42"/>
      <c r="CG3" s="124">
        <v>15.707000000000001</v>
      </c>
      <c r="CH3" s="46" t="s">
        <v>67</v>
      </c>
      <c r="CI3" s="42"/>
      <c r="CJ3" s="42"/>
      <c r="CK3" s="33"/>
      <c r="CL3" s="33"/>
      <c r="CM3" s="33" t="s">
        <v>68</v>
      </c>
      <c r="CN3" s="125">
        <v>64439</v>
      </c>
      <c r="CO3" s="33"/>
      <c r="CP3" s="33"/>
      <c r="CQ3" s="33" t="s">
        <v>69</v>
      </c>
      <c r="CR3" s="33"/>
      <c r="CS3" s="33" t="s">
        <v>54</v>
      </c>
      <c r="CT3" s="33"/>
      <c r="CU3" s="33" t="s">
        <v>48</v>
      </c>
      <c r="CV3" s="33" t="s">
        <v>47</v>
      </c>
      <c r="CW3" s="33" t="s">
        <v>70</v>
      </c>
      <c r="CX3" s="33" t="s">
        <v>71</v>
      </c>
      <c r="CY3" s="33" t="s">
        <v>72</v>
      </c>
      <c r="CZ3" s="33"/>
      <c r="DA3" s="42" t="s">
        <v>48</v>
      </c>
      <c r="DB3" s="42" t="s">
        <v>57</v>
      </c>
      <c r="DC3" s="42" t="s">
        <v>69</v>
      </c>
    </row>
    <row r="4" spans="1:107" ht="15" customHeight="1" x14ac:dyDescent="0.35">
      <c r="A4" s="43" t="s">
        <v>73</v>
      </c>
      <c r="B4" s="2" t="s">
        <v>74</v>
      </c>
      <c r="C4" s="7" t="s">
        <v>75</v>
      </c>
      <c r="D4" s="7" t="s">
        <v>76</v>
      </c>
      <c r="E4" s="2"/>
      <c r="F4" s="50" t="s">
        <v>77</v>
      </c>
      <c r="G4" s="55">
        <v>33</v>
      </c>
      <c r="H4" s="17" t="s">
        <v>528</v>
      </c>
      <c r="I4" s="72" t="s">
        <v>43</v>
      </c>
      <c r="J4" s="34" t="s">
        <v>42</v>
      </c>
      <c r="K4" s="34" t="s">
        <v>42</v>
      </c>
      <c r="L4" s="34" t="s">
        <v>43</v>
      </c>
      <c r="M4" s="34" t="s">
        <v>42</v>
      </c>
      <c r="N4" s="34" t="s">
        <v>43</v>
      </c>
      <c r="O4" s="34" t="s">
        <v>43</v>
      </c>
      <c r="P4" s="34" t="s">
        <v>44</v>
      </c>
      <c r="Q4" s="80" t="s">
        <v>69</v>
      </c>
      <c r="R4" s="55" t="s">
        <v>48</v>
      </c>
      <c r="S4" s="138" t="s">
        <v>631</v>
      </c>
      <c r="T4" s="17" t="s">
        <v>69</v>
      </c>
      <c r="U4" s="88">
        <v>3.352414</v>
      </c>
      <c r="V4" s="89"/>
      <c r="W4" s="17"/>
      <c r="X4" s="17" t="str">
        <f>IF(U4 &gt;3.30383,"Low","High")</f>
        <v>Low</v>
      </c>
      <c r="Y4" s="93">
        <v>16.139569999999999</v>
      </c>
      <c r="Z4" s="97" t="str">
        <f t="shared" ref="Z4:Z43" si="0">IF(Y4 &gt;17.7724,"Low","High")</f>
        <v>High</v>
      </c>
      <c r="AA4" s="55" t="s">
        <v>46</v>
      </c>
      <c r="AB4" s="17" t="s">
        <v>78</v>
      </c>
      <c r="AC4" s="56" t="s">
        <v>69</v>
      </c>
      <c r="AD4" s="55" t="s">
        <v>82</v>
      </c>
      <c r="AE4" s="17" t="s">
        <v>83</v>
      </c>
      <c r="AF4" s="56" t="s">
        <v>69</v>
      </c>
      <c r="AG4" s="55" t="s">
        <v>48</v>
      </c>
      <c r="AH4" s="17" t="s">
        <v>53</v>
      </c>
      <c r="AI4" s="56" t="str">
        <f t="shared" ref="AI4:AI5" si="1">IF(AG4="No", "Low", "High")</f>
        <v>Low</v>
      </c>
      <c r="AJ4" s="57">
        <v>6.2353759999999996</v>
      </c>
      <c r="AK4" s="87" t="str">
        <f t="shared" ref="AK4:AK43" si="2">IF(AJ4 &gt;5.768784,"Low", "High")</f>
        <v>Low</v>
      </c>
      <c r="AL4" s="110">
        <v>45.5</v>
      </c>
      <c r="AM4" s="50" t="s">
        <v>54</v>
      </c>
      <c r="AN4" s="50" t="s">
        <v>54</v>
      </c>
      <c r="AO4" s="50" t="s">
        <v>81</v>
      </c>
      <c r="AP4" s="87" t="str">
        <f t="shared" ref="AP4:AP43" si="3">IF(AL4&gt;75,"Low","High")</f>
        <v>High</v>
      </c>
      <c r="AQ4" s="83" t="s">
        <v>48</v>
      </c>
      <c r="AR4" s="50" t="s">
        <v>85</v>
      </c>
      <c r="AS4" s="50" t="s">
        <v>86</v>
      </c>
      <c r="AT4" s="87" t="s">
        <v>69</v>
      </c>
      <c r="AU4" s="83" t="s">
        <v>61</v>
      </c>
      <c r="AV4" s="87" t="s">
        <v>69</v>
      </c>
      <c r="AW4" s="83" t="s">
        <v>54</v>
      </c>
      <c r="AX4" s="50"/>
      <c r="AY4" s="87" t="s">
        <v>54</v>
      </c>
      <c r="AZ4" s="83" t="s">
        <v>54</v>
      </c>
      <c r="BA4" s="48" t="s">
        <v>54</v>
      </c>
      <c r="BB4" s="89">
        <v>1</v>
      </c>
      <c r="BC4" s="34" t="s">
        <v>54</v>
      </c>
      <c r="BD4" s="34" t="s">
        <v>54</v>
      </c>
      <c r="BE4" s="50"/>
      <c r="BF4" s="87" t="s">
        <v>54</v>
      </c>
      <c r="BG4" s="148"/>
      <c r="BH4" s="111" t="s">
        <v>48</v>
      </c>
      <c r="BI4" s="73" t="s">
        <v>69</v>
      </c>
      <c r="BJ4" s="83" t="s">
        <v>48</v>
      </c>
      <c r="BK4" s="50" t="s">
        <v>81</v>
      </c>
      <c r="BL4" s="87" t="str">
        <f t="shared" ref="BL4:BL43" si="4">+IF(BJ4="No", "Low", "High")</f>
        <v>Low</v>
      </c>
      <c r="BM4" s="83" t="s">
        <v>48</v>
      </c>
      <c r="BN4" s="50" t="s">
        <v>79</v>
      </c>
      <c r="BO4" s="17" t="s">
        <v>80</v>
      </c>
      <c r="BP4" s="50" t="s">
        <v>81</v>
      </c>
      <c r="BQ4" s="87" t="s">
        <v>69</v>
      </c>
      <c r="BR4" s="12">
        <f>1*1.5</f>
        <v>1.5</v>
      </c>
      <c r="BS4" s="2" t="s">
        <v>64</v>
      </c>
      <c r="BT4" s="8" t="s">
        <v>48</v>
      </c>
      <c r="BU4" s="8"/>
      <c r="BV4" s="8" t="s">
        <v>83</v>
      </c>
      <c r="BW4" s="2" t="s">
        <v>48</v>
      </c>
      <c r="BX4" s="2" t="s">
        <v>66</v>
      </c>
      <c r="BY4" s="2" t="s">
        <v>54</v>
      </c>
      <c r="BZ4" s="2" t="str">
        <f t="shared" ref="BZ4:BZ43" si="5">IF(BR4&gt;=2,"Low","High")</f>
        <v>High</v>
      </c>
      <c r="CA4" s="2" t="str">
        <f t="shared" ref="CA4:CA43" si="6">IF(BT4="No","Low","High")</f>
        <v>Low</v>
      </c>
      <c r="CB4" s="2" t="str">
        <f t="shared" ref="CB4:CB43" si="7">IF(BW4="No","Low","High")</f>
        <v>Low</v>
      </c>
      <c r="CC4" s="2" t="s">
        <v>69</v>
      </c>
      <c r="CD4" s="35"/>
      <c r="CE4" s="42" t="s">
        <v>54</v>
      </c>
      <c r="CF4" s="42"/>
      <c r="CG4" s="126" t="s">
        <v>54</v>
      </c>
      <c r="CH4" s="42"/>
      <c r="CI4" s="42"/>
      <c r="CJ4" s="42"/>
      <c r="CK4" s="33"/>
      <c r="CL4" s="33"/>
      <c r="CM4" s="33" t="s">
        <v>68</v>
      </c>
      <c r="CN4" s="33"/>
      <c r="CO4" s="33"/>
      <c r="CP4" s="33"/>
      <c r="CQ4" s="33" t="s">
        <v>54</v>
      </c>
      <c r="CR4" s="33"/>
      <c r="CS4" s="33" t="s">
        <v>54</v>
      </c>
      <c r="CT4" s="33"/>
      <c r="CU4" s="33" t="s">
        <v>48</v>
      </c>
      <c r="CV4" s="33"/>
      <c r="CW4" s="33" t="s">
        <v>87</v>
      </c>
      <c r="CX4" s="33" t="s">
        <v>88</v>
      </c>
      <c r="CY4" s="33" t="s">
        <v>89</v>
      </c>
      <c r="CZ4" s="33" t="s">
        <v>90</v>
      </c>
      <c r="DA4" s="42" t="s">
        <v>54</v>
      </c>
      <c r="DB4" s="42"/>
      <c r="DC4" s="42" t="s">
        <v>54</v>
      </c>
    </row>
    <row r="5" spans="1:107" ht="14.25" customHeight="1" x14ac:dyDescent="0.35">
      <c r="A5" s="43" t="s">
        <v>91</v>
      </c>
      <c r="B5" s="2" t="s">
        <v>92</v>
      </c>
      <c r="C5" s="7" t="s">
        <v>93</v>
      </c>
      <c r="D5" s="7" t="s">
        <v>94</v>
      </c>
      <c r="E5" s="15"/>
      <c r="F5" s="50" t="s">
        <v>95</v>
      </c>
      <c r="G5" s="55">
        <v>80</v>
      </c>
      <c r="H5" s="17" t="s">
        <v>528</v>
      </c>
      <c r="I5" s="74" t="s">
        <v>43</v>
      </c>
      <c r="J5" s="34" t="s">
        <v>42</v>
      </c>
      <c r="K5" s="34" t="s">
        <v>43</v>
      </c>
      <c r="L5" s="53" t="s">
        <v>42</v>
      </c>
      <c r="M5" s="34" t="s">
        <v>43</v>
      </c>
      <c r="N5" s="34" t="s">
        <v>43</v>
      </c>
      <c r="O5" s="34" t="s">
        <v>43</v>
      </c>
      <c r="P5" s="34" t="s">
        <v>44</v>
      </c>
      <c r="Q5" s="80" t="str">
        <f t="shared" ref="Q5:Q43" si="8">IF(M5="Y","High", "Low")</f>
        <v>Low</v>
      </c>
      <c r="R5" s="82" t="s">
        <v>102</v>
      </c>
      <c r="S5" s="34" t="s">
        <v>632</v>
      </c>
      <c r="T5" s="17" t="s">
        <v>69</v>
      </c>
      <c r="U5" s="88">
        <v>4.2446412599999999</v>
      </c>
      <c r="V5" s="89"/>
      <c r="W5" s="17"/>
      <c r="X5" s="17" t="str">
        <f t="shared" ref="X5:X43" si="9">IF(U5 &gt;3.30383,"Low","High")</f>
        <v>Low</v>
      </c>
      <c r="Y5" s="93">
        <v>27.729690000000002</v>
      </c>
      <c r="Z5" s="97" t="str">
        <f t="shared" si="0"/>
        <v>Low</v>
      </c>
      <c r="AA5" s="83" t="s">
        <v>69</v>
      </c>
      <c r="AB5" s="70" t="s">
        <v>96</v>
      </c>
      <c r="AC5" s="96" t="s">
        <v>69</v>
      </c>
      <c r="AD5" s="55" t="s">
        <v>82</v>
      </c>
      <c r="AE5" s="17" t="s">
        <v>83</v>
      </c>
      <c r="AF5" s="56" t="s">
        <v>69</v>
      </c>
      <c r="AG5" s="106" t="s">
        <v>48</v>
      </c>
      <c r="AH5" s="140" t="s">
        <v>664</v>
      </c>
      <c r="AI5" s="56" t="str">
        <f t="shared" si="1"/>
        <v>Low</v>
      </c>
      <c r="AJ5" s="107" t="s">
        <v>546</v>
      </c>
      <c r="AK5" s="87" t="str">
        <f t="shared" si="2"/>
        <v>Low</v>
      </c>
      <c r="AL5" s="110">
        <v>95</v>
      </c>
      <c r="AM5" s="50" t="s">
        <v>54</v>
      </c>
      <c r="AN5" s="50" t="s">
        <v>54</v>
      </c>
      <c r="AO5" s="50" t="s">
        <v>81</v>
      </c>
      <c r="AP5" s="87" t="str">
        <f t="shared" si="3"/>
        <v>Low</v>
      </c>
      <c r="AQ5" s="83" t="s">
        <v>48</v>
      </c>
      <c r="AR5" s="50" t="s">
        <v>101</v>
      </c>
      <c r="AS5" s="50" t="s">
        <v>81</v>
      </c>
      <c r="AT5" s="87" t="s">
        <v>69</v>
      </c>
      <c r="AU5" s="83" t="s">
        <v>104</v>
      </c>
      <c r="AV5" s="87" t="s">
        <v>69</v>
      </c>
      <c r="AW5" s="83" t="s">
        <v>105</v>
      </c>
      <c r="AX5" s="50" t="s">
        <v>670</v>
      </c>
      <c r="AY5" s="87" t="s">
        <v>69</v>
      </c>
      <c r="AZ5" s="83" t="s">
        <v>106</v>
      </c>
      <c r="BA5" s="70" t="s">
        <v>107</v>
      </c>
      <c r="BB5" s="89" t="s">
        <v>108</v>
      </c>
      <c r="BC5" s="34" t="s">
        <v>48</v>
      </c>
      <c r="BD5" s="34" t="s">
        <v>48</v>
      </c>
      <c r="BE5" s="53" t="s">
        <v>673</v>
      </c>
      <c r="BF5" s="96" t="s">
        <v>69</v>
      </c>
      <c r="BG5" s="148"/>
      <c r="BH5" s="111" t="s">
        <v>48</v>
      </c>
      <c r="BI5" s="73" t="s">
        <v>69</v>
      </c>
      <c r="BJ5" s="83" t="s">
        <v>56</v>
      </c>
      <c r="BK5" s="50" t="s">
        <v>679</v>
      </c>
      <c r="BL5" s="87" t="str">
        <f t="shared" si="4"/>
        <v>High</v>
      </c>
      <c r="BM5" s="83" t="s">
        <v>48</v>
      </c>
      <c r="BN5" s="50" t="s">
        <v>97</v>
      </c>
      <c r="BO5" s="50" t="s">
        <v>98</v>
      </c>
      <c r="BP5" s="50" t="s">
        <v>710</v>
      </c>
      <c r="BQ5" s="87" t="s">
        <v>69</v>
      </c>
      <c r="BR5" s="12">
        <f>12.5*2</f>
        <v>25</v>
      </c>
      <c r="BS5" s="2" t="s">
        <v>44</v>
      </c>
      <c r="BT5" s="14" t="s">
        <v>48</v>
      </c>
      <c r="BU5" s="20"/>
      <c r="BV5" s="8" t="s">
        <v>83</v>
      </c>
      <c r="BW5" s="2" t="s">
        <v>48</v>
      </c>
      <c r="BX5" s="2" t="s">
        <v>66</v>
      </c>
      <c r="BY5" s="2" t="s">
        <v>54</v>
      </c>
      <c r="BZ5" s="2" t="str">
        <f t="shared" si="5"/>
        <v>Low</v>
      </c>
      <c r="CA5" s="2" t="str">
        <f t="shared" si="6"/>
        <v>Low</v>
      </c>
      <c r="CB5" s="2" t="str">
        <f t="shared" si="7"/>
        <v>Low</v>
      </c>
      <c r="CC5" s="2" t="s">
        <v>69</v>
      </c>
      <c r="CD5" s="35"/>
      <c r="CE5" s="42" t="s">
        <v>54</v>
      </c>
      <c r="CF5" s="42"/>
      <c r="CG5" s="126" t="s">
        <v>54</v>
      </c>
      <c r="CH5" s="42"/>
      <c r="CI5" s="42"/>
      <c r="CJ5" s="42"/>
      <c r="CK5" s="33"/>
      <c r="CL5" s="33"/>
      <c r="CM5" s="33" t="s">
        <v>68</v>
      </c>
      <c r="CN5" s="33"/>
      <c r="CO5" s="33"/>
      <c r="CP5" s="33"/>
      <c r="CQ5" s="33" t="s">
        <v>54</v>
      </c>
      <c r="CR5" s="33"/>
      <c r="CS5" s="33" t="s">
        <v>54</v>
      </c>
      <c r="CT5" s="33"/>
      <c r="CU5" s="33" t="s">
        <v>48</v>
      </c>
      <c r="CV5" s="33"/>
      <c r="CW5" s="33" t="s">
        <v>87</v>
      </c>
      <c r="CX5" s="33" t="s">
        <v>71</v>
      </c>
      <c r="CY5" s="33" t="s">
        <v>54</v>
      </c>
      <c r="CZ5" s="33"/>
      <c r="DA5" s="46" t="s">
        <v>99</v>
      </c>
      <c r="DB5" s="42" t="s">
        <v>100</v>
      </c>
      <c r="DC5" s="42" t="s">
        <v>54</v>
      </c>
    </row>
    <row r="6" spans="1:107" ht="14.25" customHeight="1" x14ac:dyDescent="0.35">
      <c r="A6" s="43" t="s">
        <v>109</v>
      </c>
      <c r="B6" s="2" t="s">
        <v>250</v>
      </c>
      <c r="C6" s="7" t="s">
        <v>111</v>
      </c>
      <c r="D6" s="7" t="s">
        <v>112</v>
      </c>
      <c r="E6" s="15"/>
      <c r="F6" s="50" t="s">
        <v>113</v>
      </c>
      <c r="G6" s="55">
        <v>45</v>
      </c>
      <c r="H6" s="17" t="s">
        <v>528</v>
      </c>
      <c r="I6" s="72" t="s">
        <v>43</v>
      </c>
      <c r="J6" s="34" t="s">
        <v>43</v>
      </c>
      <c r="K6" s="34" t="s">
        <v>43</v>
      </c>
      <c r="L6" s="34" t="s">
        <v>42</v>
      </c>
      <c r="M6" s="34" t="s">
        <v>43</v>
      </c>
      <c r="N6" s="34" t="s">
        <v>43</v>
      </c>
      <c r="O6" s="34" t="s">
        <v>43</v>
      </c>
      <c r="P6" s="34" t="s">
        <v>604</v>
      </c>
      <c r="Q6" s="80" t="str">
        <f t="shared" si="8"/>
        <v>Low</v>
      </c>
      <c r="R6" s="55" t="s">
        <v>48</v>
      </c>
      <c r="S6" s="53" t="s">
        <v>633</v>
      </c>
      <c r="T6" s="17" t="s">
        <v>69</v>
      </c>
      <c r="U6" s="88">
        <v>3.9918089999999999</v>
      </c>
      <c r="V6" s="89"/>
      <c r="W6" s="17"/>
      <c r="X6" s="17" t="str">
        <f t="shared" si="9"/>
        <v>Low</v>
      </c>
      <c r="Y6" s="93">
        <v>36.191249999999997</v>
      </c>
      <c r="Z6" s="97" t="str">
        <f t="shared" si="0"/>
        <v>Low</v>
      </c>
      <c r="AA6" s="83" t="s">
        <v>54</v>
      </c>
      <c r="AB6" s="50"/>
      <c r="AC6" s="87" t="s">
        <v>54</v>
      </c>
      <c r="AD6" s="55" t="s">
        <v>82</v>
      </c>
      <c r="AE6" s="17" t="s">
        <v>83</v>
      </c>
      <c r="AF6" s="56" t="s">
        <v>69</v>
      </c>
      <c r="AG6" s="82" t="s">
        <v>54</v>
      </c>
      <c r="AH6" s="50"/>
      <c r="AI6" s="87" t="s">
        <v>54</v>
      </c>
      <c r="AJ6" s="57">
        <v>6.8197959999999993</v>
      </c>
      <c r="AK6" s="87" t="str">
        <f t="shared" si="2"/>
        <v>Low</v>
      </c>
      <c r="AL6" s="110">
        <v>449.5</v>
      </c>
      <c r="AM6" s="50">
        <v>428</v>
      </c>
      <c r="AN6" s="50">
        <v>471</v>
      </c>
      <c r="AO6" s="50" t="s">
        <v>81</v>
      </c>
      <c r="AP6" s="87" t="str">
        <f t="shared" si="3"/>
        <v>Low</v>
      </c>
      <c r="AQ6" s="83" t="s">
        <v>48</v>
      </c>
      <c r="AR6" s="50" t="s">
        <v>115</v>
      </c>
      <c r="AS6" s="50" t="s">
        <v>116</v>
      </c>
      <c r="AT6" s="87" t="s">
        <v>69</v>
      </c>
      <c r="AU6" s="83" t="s">
        <v>104</v>
      </c>
      <c r="AV6" s="87" t="s">
        <v>69</v>
      </c>
      <c r="AW6" s="83" t="s">
        <v>105</v>
      </c>
      <c r="AX6" s="50" t="s">
        <v>81</v>
      </c>
      <c r="AY6" s="87" t="s">
        <v>69</v>
      </c>
      <c r="AZ6" s="83" t="s">
        <v>117</v>
      </c>
      <c r="BA6" s="50" t="s">
        <v>48</v>
      </c>
      <c r="BB6" s="89">
        <v>1</v>
      </c>
      <c r="BC6" s="53" t="s">
        <v>56</v>
      </c>
      <c r="BD6" s="53" t="s">
        <v>48</v>
      </c>
      <c r="BE6" s="70" t="s">
        <v>118</v>
      </c>
      <c r="BF6" s="96" t="s">
        <v>317</v>
      </c>
      <c r="BG6" s="148"/>
      <c r="BH6" s="111" t="s">
        <v>48</v>
      </c>
      <c r="BI6" s="73" t="s">
        <v>69</v>
      </c>
      <c r="BJ6" s="83" t="s">
        <v>56</v>
      </c>
      <c r="BK6" s="50" t="s">
        <v>116</v>
      </c>
      <c r="BL6" s="87" t="str">
        <f t="shared" si="4"/>
        <v>High</v>
      </c>
      <c r="BM6" s="83" t="s">
        <v>56</v>
      </c>
      <c r="BN6" s="50" t="s">
        <v>114</v>
      </c>
      <c r="BO6" s="50" t="s">
        <v>80</v>
      </c>
      <c r="BP6" s="50" t="s">
        <v>711</v>
      </c>
      <c r="BQ6" s="87" t="s">
        <v>317</v>
      </c>
      <c r="BR6" s="12">
        <f>6*1</f>
        <v>6</v>
      </c>
      <c r="BS6" s="2" t="s">
        <v>119</v>
      </c>
      <c r="BT6" s="14" t="s">
        <v>48</v>
      </c>
      <c r="BU6" s="20"/>
      <c r="BV6" s="8" t="s">
        <v>83</v>
      </c>
      <c r="BW6" s="2" t="s">
        <v>56</v>
      </c>
      <c r="BX6" s="2" t="s">
        <v>66</v>
      </c>
      <c r="BY6" s="2" t="s">
        <v>54</v>
      </c>
      <c r="BZ6" s="2" t="str">
        <f t="shared" si="5"/>
        <v>Low</v>
      </c>
      <c r="CA6" s="2" t="str">
        <f t="shared" si="6"/>
        <v>Low</v>
      </c>
      <c r="CB6" s="2" t="str">
        <f t="shared" si="7"/>
        <v>High</v>
      </c>
      <c r="CC6" s="2" t="s">
        <v>139</v>
      </c>
      <c r="CD6" s="35"/>
      <c r="CE6" s="42" t="s">
        <v>54</v>
      </c>
      <c r="CF6" s="42"/>
      <c r="CG6" s="124" t="s">
        <v>54</v>
      </c>
      <c r="CH6" s="42"/>
      <c r="CI6" s="42"/>
      <c r="CJ6" s="42"/>
      <c r="CK6" s="33"/>
      <c r="CL6" s="33"/>
      <c r="CM6" s="33" t="s">
        <v>68</v>
      </c>
      <c r="CN6" s="33"/>
      <c r="CO6" s="33"/>
      <c r="CP6" s="33"/>
      <c r="CQ6" s="33" t="s">
        <v>54</v>
      </c>
      <c r="CR6" s="33"/>
      <c r="CS6" s="33" t="s">
        <v>54</v>
      </c>
      <c r="CT6" s="33"/>
      <c r="CU6" s="33" t="s">
        <v>48</v>
      </c>
      <c r="CV6" s="33"/>
      <c r="CW6" s="33" t="s">
        <v>70</v>
      </c>
      <c r="CX6" s="33" t="s">
        <v>120</v>
      </c>
      <c r="CY6" s="33" t="s">
        <v>54</v>
      </c>
      <c r="CZ6" s="33"/>
      <c r="DA6" s="42" t="s">
        <v>54</v>
      </c>
      <c r="DB6" s="42"/>
      <c r="DC6" s="42" t="s">
        <v>54</v>
      </c>
    </row>
    <row r="7" spans="1:107" ht="14.25" customHeight="1" x14ac:dyDescent="0.35">
      <c r="A7" s="43" t="s">
        <v>121</v>
      </c>
      <c r="B7" s="2" t="s">
        <v>122</v>
      </c>
      <c r="C7" s="7" t="s">
        <v>123</v>
      </c>
      <c r="D7" s="7" t="s">
        <v>124</v>
      </c>
      <c r="E7" s="15"/>
      <c r="F7" s="50" t="s">
        <v>125</v>
      </c>
      <c r="G7" s="55">
        <v>95</v>
      </c>
      <c r="H7" s="17" t="s">
        <v>528</v>
      </c>
      <c r="I7" s="72" t="s">
        <v>43</v>
      </c>
      <c r="J7" s="34" t="s">
        <v>43</v>
      </c>
      <c r="K7" s="34" t="s">
        <v>43</v>
      </c>
      <c r="L7" s="34" t="s">
        <v>42</v>
      </c>
      <c r="M7" s="34" t="s">
        <v>43</v>
      </c>
      <c r="N7" s="34" t="s">
        <v>43</v>
      </c>
      <c r="O7" s="34" t="s">
        <v>43</v>
      </c>
      <c r="P7" s="34" t="s">
        <v>606</v>
      </c>
      <c r="Q7" s="80" t="str">
        <f t="shared" si="8"/>
        <v>Low</v>
      </c>
      <c r="R7" s="55" t="s">
        <v>48</v>
      </c>
      <c r="S7" s="139" t="s">
        <v>634</v>
      </c>
      <c r="T7" s="17" t="s">
        <v>69</v>
      </c>
      <c r="U7" s="88">
        <v>4.2269560000000004</v>
      </c>
      <c r="V7" s="89"/>
      <c r="W7" s="17"/>
      <c r="X7" s="17" t="str">
        <f t="shared" si="9"/>
        <v>Low</v>
      </c>
      <c r="Y7" s="93">
        <v>28.619430000000001</v>
      </c>
      <c r="Z7" s="97" t="str">
        <f t="shared" si="0"/>
        <v>Low</v>
      </c>
      <c r="AA7" s="82" t="s">
        <v>69</v>
      </c>
      <c r="AB7" s="70" t="s">
        <v>127</v>
      </c>
      <c r="AC7" s="96" t="s">
        <v>69</v>
      </c>
      <c r="AD7" s="55" t="s">
        <v>82</v>
      </c>
      <c r="AE7" s="17" t="s">
        <v>83</v>
      </c>
      <c r="AF7" s="56" t="s">
        <v>69</v>
      </c>
      <c r="AG7" s="82" t="s">
        <v>48</v>
      </c>
      <c r="AH7" s="17" t="s">
        <v>53</v>
      </c>
      <c r="AI7" s="56" t="str">
        <f>IF(AG7="No", "Low", "High")</f>
        <v>Low</v>
      </c>
      <c r="AJ7" s="107" t="s">
        <v>546</v>
      </c>
      <c r="AK7" s="87" t="str">
        <f t="shared" si="2"/>
        <v>Low</v>
      </c>
      <c r="AL7" s="110">
        <v>832</v>
      </c>
      <c r="AM7" s="50">
        <v>1090</v>
      </c>
      <c r="AN7" s="50">
        <v>1100</v>
      </c>
      <c r="AO7" s="50" t="s">
        <v>130</v>
      </c>
      <c r="AP7" s="87" t="str">
        <f t="shared" si="3"/>
        <v>Low</v>
      </c>
      <c r="AQ7" s="83" t="s">
        <v>48</v>
      </c>
      <c r="AR7" s="50" t="s">
        <v>547</v>
      </c>
      <c r="AS7" s="50" t="s">
        <v>548</v>
      </c>
      <c r="AT7" s="87" t="s">
        <v>69</v>
      </c>
      <c r="AU7" s="83" t="s">
        <v>104</v>
      </c>
      <c r="AV7" s="87" t="s">
        <v>69</v>
      </c>
      <c r="AW7" s="83" t="s">
        <v>105</v>
      </c>
      <c r="AX7" s="50" t="s">
        <v>81</v>
      </c>
      <c r="AY7" s="87" t="s">
        <v>69</v>
      </c>
      <c r="AZ7" s="55" t="s">
        <v>132</v>
      </c>
      <c r="BA7" s="70" t="s">
        <v>133</v>
      </c>
      <c r="BB7" s="91" t="s">
        <v>134</v>
      </c>
      <c r="BC7" s="34" t="s">
        <v>56</v>
      </c>
      <c r="BD7" s="53" t="s">
        <v>48</v>
      </c>
      <c r="BE7" s="70" t="s">
        <v>674</v>
      </c>
      <c r="BF7" s="96" t="s">
        <v>317</v>
      </c>
      <c r="BG7" s="148"/>
      <c r="BH7" s="111" t="s">
        <v>48</v>
      </c>
      <c r="BI7" s="73" t="s">
        <v>69</v>
      </c>
      <c r="BJ7" s="83" t="s">
        <v>56</v>
      </c>
      <c r="BK7" s="50" t="s">
        <v>116</v>
      </c>
      <c r="BL7" s="87" t="str">
        <f t="shared" si="4"/>
        <v>High</v>
      </c>
      <c r="BM7" s="83" t="s">
        <v>48</v>
      </c>
      <c r="BN7" s="50" t="s">
        <v>128</v>
      </c>
      <c r="BO7" s="50" t="s">
        <v>98</v>
      </c>
      <c r="BP7" s="70" t="s">
        <v>129</v>
      </c>
      <c r="BQ7" s="96" t="str">
        <f>IF(BM7="No","Low","High")</f>
        <v>Low</v>
      </c>
      <c r="BR7" s="12">
        <f>30*0.5</f>
        <v>15</v>
      </c>
      <c r="BS7" s="2" t="s">
        <v>135</v>
      </c>
      <c r="BT7" s="14" t="s">
        <v>48</v>
      </c>
      <c r="BU7" s="20" t="s">
        <v>533</v>
      </c>
      <c r="BV7" s="8" t="s">
        <v>83</v>
      </c>
      <c r="BW7" s="2" t="s">
        <v>48</v>
      </c>
      <c r="BX7" s="2" t="s">
        <v>66</v>
      </c>
      <c r="BY7" s="2" t="s">
        <v>54</v>
      </c>
      <c r="BZ7" s="2" t="str">
        <f t="shared" si="5"/>
        <v>Low</v>
      </c>
      <c r="CA7" s="2" t="str">
        <f t="shared" si="6"/>
        <v>Low</v>
      </c>
      <c r="CB7" s="2" t="str">
        <f t="shared" si="7"/>
        <v>Low</v>
      </c>
      <c r="CC7" s="2" t="s">
        <v>69</v>
      </c>
      <c r="CD7" s="35"/>
      <c r="CE7" s="42" t="s">
        <v>54</v>
      </c>
      <c r="CF7" s="42"/>
      <c r="CG7" s="124" t="s">
        <v>54</v>
      </c>
      <c r="CH7" s="42"/>
      <c r="CI7" s="42"/>
      <c r="CJ7" s="42"/>
      <c r="CK7" s="33"/>
      <c r="CL7" s="33"/>
      <c r="CM7" s="33" t="s">
        <v>68</v>
      </c>
      <c r="CN7" s="33"/>
      <c r="CO7" s="33"/>
      <c r="CP7" s="33"/>
      <c r="CQ7" s="33" t="s">
        <v>54</v>
      </c>
      <c r="CR7" s="33"/>
      <c r="CS7" s="33" t="s">
        <v>54</v>
      </c>
      <c r="CT7" s="33"/>
      <c r="CU7" s="33" t="s">
        <v>48</v>
      </c>
      <c r="CV7" s="33"/>
      <c r="CW7" s="33" t="s">
        <v>70</v>
      </c>
      <c r="CX7" s="33" t="s">
        <v>81</v>
      </c>
      <c r="CY7" s="33" t="s">
        <v>54</v>
      </c>
      <c r="CZ7" s="33"/>
      <c r="DA7" s="42" t="s">
        <v>54</v>
      </c>
      <c r="DB7" s="42"/>
      <c r="DC7" s="42" t="s">
        <v>54</v>
      </c>
    </row>
    <row r="8" spans="1:107" ht="14.25" customHeight="1" x14ac:dyDescent="0.35">
      <c r="A8" s="43" t="s">
        <v>136</v>
      </c>
      <c r="B8" s="2" t="s">
        <v>122</v>
      </c>
      <c r="C8" s="7" t="s">
        <v>123</v>
      </c>
      <c r="D8" s="7" t="s">
        <v>137</v>
      </c>
      <c r="E8" s="2"/>
      <c r="F8" s="50" t="s">
        <v>138</v>
      </c>
      <c r="G8" s="55">
        <v>11</v>
      </c>
      <c r="H8" s="17" t="s">
        <v>528</v>
      </c>
      <c r="I8" s="72" t="s">
        <v>43</v>
      </c>
      <c r="J8" s="34" t="s">
        <v>42</v>
      </c>
      <c r="K8" s="34" t="s">
        <v>42</v>
      </c>
      <c r="L8" s="34" t="s">
        <v>42</v>
      </c>
      <c r="M8" s="34" t="s">
        <v>43</v>
      </c>
      <c r="N8" s="34" t="s">
        <v>43</v>
      </c>
      <c r="O8" s="34" t="s">
        <v>43</v>
      </c>
      <c r="P8" s="34" t="s">
        <v>681</v>
      </c>
      <c r="Q8" s="80" t="str">
        <f t="shared" si="8"/>
        <v>Low</v>
      </c>
      <c r="R8" s="83" t="s">
        <v>143</v>
      </c>
      <c r="S8" s="34" t="s">
        <v>605</v>
      </c>
      <c r="T8" s="17" t="s">
        <v>69</v>
      </c>
      <c r="U8" s="88">
        <v>2.5723500000000001</v>
      </c>
      <c r="V8" s="89"/>
      <c r="W8" s="17"/>
      <c r="X8" s="17" t="str">
        <f t="shared" si="9"/>
        <v>High</v>
      </c>
      <c r="Y8" s="93">
        <v>19.91966</v>
      </c>
      <c r="Z8" s="97" t="str">
        <f t="shared" si="0"/>
        <v>Low</v>
      </c>
      <c r="AA8" s="83" t="s">
        <v>139</v>
      </c>
      <c r="AB8" s="34" t="s">
        <v>605</v>
      </c>
      <c r="AC8" s="87" t="s">
        <v>317</v>
      </c>
      <c r="AD8" s="55" t="s">
        <v>82</v>
      </c>
      <c r="AE8" s="17" t="s">
        <v>83</v>
      </c>
      <c r="AF8" s="56" t="s">
        <v>69</v>
      </c>
      <c r="AG8" s="82" t="s">
        <v>48</v>
      </c>
      <c r="AH8" s="70" t="s">
        <v>141</v>
      </c>
      <c r="AI8" s="56" t="str">
        <f t="shared" ref="AI8:AI42" si="10">IF(AG8="No", "Low", "High")</f>
        <v>Low</v>
      </c>
      <c r="AJ8" s="57">
        <v>2.8498290000000002</v>
      </c>
      <c r="AK8" s="87" t="str">
        <f t="shared" si="2"/>
        <v>High</v>
      </c>
      <c r="AL8" s="110">
        <v>352</v>
      </c>
      <c r="AM8" s="50">
        <v>330</v>
      </c>
      <c r="AN8" s="50">
        <v>374</v>
      </c>
      <c r="AO8" s="50" t="s">
        <v>81</v>
      </c>
      <c r="AP8" s="87" t="str">
        <f t="shared" si="3"/>
        <v>Low</v>
      </c>
      <c r="AQ8" s="83" t="s">
        <v>48</v>
      </c>
      <c r="AR8" s="50" t="s">
        <v>142</v>
      </c>
      <c r="AS8" s="50" t="s">
        <v>116</v>
      </c>
      <c r="AT8" s="87" t="s">
        <v>69</v>
      </c>
      <c r="AU8" s="83" t="s">
        <v>144</v>
      </c>
      <c r="AV8" s="87" t="s">
        <v>69</v>
      </c>
      <c r="AW8" s="83" t="s">
        <v>105</v>
      </c>
      <c r="AX8" s="50" t="s">
        <v>116</v>
      </c>
      <c r="AY8" s="87" t="s">
        <v>69</v>
      </c>
      <c r="AZ8" s="55" t="s">
        <v>145</v>
      </c>
      <c r="BA8" s="50" t="s">
        <v>48</v>
      </c>
      <c r="BB8" s="89" t="s">
        <v>54</v>
      </c>
      <c r="BC8" s="53" t="s">
        <v>56</v>
      </c>
      <c r="BD8" s="53" t="s">
        <v>48</v>
      </c>
      <c r="BE8" s="70" t="s">
        <v>146</v>
      </c>
      <c r="BF8" s="96" t="s">
        <v>317</v>
      </c>
      <c r="BG8" s="148"/>
      <c r="BH8" s="111" t="s">
        <v>48</v>
      </c>
      <c r="BI8" s="73" t="s">
        <v>69</v>
      </c>
      <c r="BJ8" s="83" t="s">
        <v>56</v>
      </c>
      <c r="BK8" s="50" t="s">
        <v>116</v>
      </c>
      <c r="BL8" s="87" t="str">
        <f t="shared" si="4"/>
        <v>High</v>
      </c>
      <c r="BM8" s="83" t="s">
        <v>48</v>
      </c>
      <c r="BN8" s="50" t="s">
        <v>128</v>
      </c>
      <c r="BO8" s="50" t="s">
        <v>98</v>
      </c>
      <c r="BP8" s="70" t="s">
        <v>140</v>
      </c>
      <c r="BQ8" s="96" t="str">
        <f t="shared" ref="BQ8:BQ43" si="11">IF(BM8="No","Low","High")</f>
        <v>Low</v>
      </c>
      <c r="BR8" s="12">
        <f>3.5*0.5</f>
        <v>1.75</v>
      </c>
      <c r="BS8" s="2" t="s">
        <v>116</v>
      </c>
      <c r="BT8" s="14" t="s">
        <v>424</v>
      </c>
      <c r="BU8" s="20" t="s">
        <v>534</v>
      </c>
      <c r="BV8" s="14" t="s">
        <v>715</v>
      </c>
      <c r="BW8" s="2" t="s">
        <v>56</v>
      </c>
      <c r="BX8" s="2" t="s">
        <v>66</v>
      </c>
      <c r="BY8" s="2" t="s">
        <v>54</v>
      </c>
      <c r="BZ8" s="2" t="str">
        <f t="shared" si="5"/>
        <v>High</v>
      </c>
      <c r="CA8" s="2" t="str">
        <f t="shared" si="6"/>
        <v>High</v>
      </c>
      <c r="CB8" s="2" t="str">
        <f t="shared" si="7"/>
        <v>High</v>
      </c>
      <c r="CC8" s="2" t="s">
        <v>139</v>
      </c>
      <c r="CD8" s="35"/>
      <c r="CE8" s="42" t="s">
        <v>54</v>
      </c>
      <c r="CF8" s="42"/>
      <c r="CG8" s="124" t="s">
        <v>54</v>
      </c>
      <c r="CH8" s="42"/>
      <c r="CI8" s="42"/>
      <c r="CJ8" s="42"/>
      <c r="CK8" s="33"/>
      <c r="CL8" s="33"/>
      <c r="CM8" s="33" t="s">
        <v>147</v>
      </c>
      <c r="CN8" s="33" t="s">
        <v>148</v>
      </c>
      <c r="CO8" s="33">
        <v>830</v>
      </c>
      <c r="CP8" s="33"/>
      <c r="CQ8" s="33" t="s">
        <v>54</v>
      </c>
      <c r="CR8" s="33"/>
      <c r="CS8" s="33" t="s">
        <v>54</v>
      </c>
      <c r="CT8" s="33"/>
      <c r="CU8" s="33" t="s">
        <v>48</v>
      </c>
      <c r="CV8" s="33"/>
      <c r="CW8" s="33" t="s">
        <v>70</v>
      </c>
      <c r="CX8" s="33" t="s">
        <v>149</v>
      </c>
      <c r="CY8" s="33" t="s">
        <v>54</v>
      </c>
      <c r="CZ8" s="28"/>
      <c r="DA8" s="42" t="s">
        <v>54</v>
      </c>
      <c r="DB8" s="42"/>
      <c r="DC8" s="42" t="s">
        <v>54</v>
      </c>
    </row>
    <row r="9" spans="1:107" ht="14.25" customHeight="1" x14ac:dyDescent="0.35">
      <c r="A9" s="43" t="s">
        <v>150</v>
      </c>
      <c r="B9" s="2" t="s">
        <v>122</v>
      </c>
      <c r="C9" s="7" t="s">
        <v>123</v>
      </c>
      <c r="D9" s="7" t="s">
        <v>151</v>
      </c>
      <c r="E9" s="2"/>
      <c r="F9" s="50" t="s">
        <v>152</v>
      </c>
      <c r="G9" s="55">
        <v>47</v>
      </c>
      <c r="H9" s="17" t="s">
        <v>528</v>
      </c>
      <c r="I9" s="72" t="s">
        <v>43</v>
      </c>
      <c r="J9" s="34" t="s">
        <v>42</v>
      </c>
      <c r="K9" s="34" t="s">
        <v>43</v>
      </c>
      <c r="L9" s="34" t="s">
        <v>42</v>
      </c>
      <c r="M9" s="34" t="s">
        <v>43</v>
      </c>
      <c r="N9" s="34" t="s">
        <v>43</v>
      </c>
      <c r="O9" s="34" t="s">
        <v>43</v>
      </c>
      <c r="P9" s="34" t="s">
        <v>607</v>
      </c>
      <c r="Q9" s="80" t="str">
        <f t="shared" si="8"/>
        <v>Low</v>
      </c>
      <c r="R9" s="82" t="s">
        <v>155</v>
      </c>
      <c r="S9" s="53" t="s">
        <v>156</v>
      </c>
      <c r="T9" s="17" t="s">
        <v>69</v>
      </c>
      <c r="U9" s="88">
        <v>3.814654</v>
      </c>
      <c r="V9" s="89"/>
      <c r="W9" s="17"/>
      <c r="X9" s="17" t="str">
        <f t="shared" si="9"/>
        <v>Low</v>
      </c>
      <c r="Y9" s="93">
        <v>34.55321</v>
      </c>
      <c r="Z9" s="97" t="str">
        <f t="shared" si="0"/>
        <v>Low</v>
      </c>
      <c r="AA9" s="83" t="s">
        <v>139</v>
      </c>
      <c r="AB9" s="50" t="s">
        <v>607</v>
      </c>
      <c r="AC9" s="87" t="s">
        <v>317</v>
      </c>
      <c r="AD9" s="55" t="s">
        <v>82</v>
      </c>
      <c r="AE9" s="17" t="s">
        <v>83</v>
      </c>
      <c r="AF9" s="56" t="s">
        <v>69</v>
      </c>
      <c r="AG9" s="82" t="s">
        <v>56</v>
      </c>
      <c r="AH9" s="70" t="s">
        <v>83</v>
      </c>
      <c r="AI9" s="56" t="str">
        <f t="shared" si="10"/>
        <v>High</v>
      </c>
      <c r="AJ9" s="57">
        <v>14.891690000000001</v>
      </c>
      <c r="AK9" s="87" t="str">
        <f t="shared" si="2"/>
        <v>Low</v>
      </c>
      <c r="AL9" s="110">
        <v>480</v>
      </c>
      <c r="AM9" s="50">
        <v>470</v>
      </c>
      <c r="AN9" s="50">
        <v>490</v>
      </c>
      <c r="AO9" s="50" t="s">
        <v>81</v>
      </c>
      <c r="AP9" s="87" t="str">
        <f t="shared" si="3"/>
        <v>Low</v>
      </c>
      <c r="AQ9" s="83" t="s">
        <v>48</v>
      </c>
      <c r="AR9" s="50" t="s">
        <v>154</v>
      </c>
      <c r="AS9" s="50" t="s">
        <v>116</v>
      </c>
      <c r="AT9" s="87" t="s">
        <v>69</v>
      </c>
      <c r="AU9" s="83" t="s">
        <v>104</v>
      </c>
      <c r="AV9" s="87" t="s">
        <v>69</v>
      </c>
      <c r="AW9" s="83" t="s">
        <v>105</v>
      </c>
      <c r="AX9" s="50" t="s">
        <v>116</v>
      </c>
      <c r="AY9" s="87" t="s">
        <v>69</v>
      </c>
      <c r="AZ9" s="83" t="s">
        <v>157</v>
      </c>
      <c r="BA9" s="50" t="s">
        <v>48</v>
      </c>
      <c r="BB9" s="89">
        <v>2</v>
      </c>
      <c r="BC9" s="47">
        <v>1</v>
      </c>
      <c r="BD9" s="53" t="s">
        <v>48</v>
      </c>
      <c r="BE9" s="70" t="s">
        <v>158</v>
      </c>
      <c r="BF9" s="96" t="s">
        <v>69</v>
      </c>
      <c r="BG9" s="148"/>
      <c r="BH9" s="111" t="s">
        <v>48</v>
      </c>
      <c r="BI9" s="73" t="s">
        <v>69</v>
      </c>
      <c r="BJ9" s="83" t="s">
        <v>56</v>
      </c>
      <c r="BK9" s="50" t="s">
        <v>680</v>
      </c>
      <c r="BL9" s="87" t="str">
        <f t="shared" si="4"/>
        <v>High</v>
      </c>
      <c r="BM9" s="83" t="s">
        <v>48</v>
      </c>
      <c r="BN9" s="50" t="s">
        <v>128</v>
      </c>
      <c r="BO9" s="50" t="s">
        <v>98</v>
      </c>
      <c r="BP9" s="50" t="s">
        <v>153</v>
      </c>
      <c r="BQ9" s="96" t="str">
        <f t="shared" si="11"/>
        <v>Low</v>
      </c>
      <c r="BR9" s="12">
        <f>10*0.5</f>
        <v>5</v>
      </c>
      <c r="BS9" s="2" t="s">
        <v>135</v>
      </c>
      <c r="BT9" s="14" t="s">
        <v>48</v>
      </c>
      <c r="BU9" s="20"/>
      <c r="BV9" s="14" t="s">
        <v>83</v>
      </c>
      <c r="BW9" s="2" t="s">
        <v>56</v>
      </c>
      <c r="BX9" s="2" t="s">
        <v>66</v>
      </c>
      <c r="BY9" s="2" t="s">
        <v>54</v>
      </c>
      <c r="BZ9" s="2" t="str">
        <f t="shared" si="5"/>
        <v>Low</v>
      </c>
      <c r="CA9" s="2" t="str">
        <f t="shared" si="6"/>
        <v>Low</v>
      </c>
      <c r="CB9" s="2" t="str">
        <f t="shared" si="7"/>
        <v>High</v>
      </c>
      <c r="CC9" s="2" t="s">
        <v>139</v>
      </c>
      <c r="CD9" s="35"/>
      <c r="CE9" s="42" t="s">
        <v>54</v>
      </c>
      <c r="CF9" s="42"/>
      <c r="CG9" s="124" t="s">
        <v>54</v>
      </c>
      <c r="CH9" s="42"/>
      <c r="CI9" s="42" t="s">
        <v>54</v>
      </c>
      <c r="CJ9" s="42"/>
      <c r="CK9" s="33"/>
      <c r="CL9" s="28"/>
      <c r="CM9" s="127" t="s">
        <v>68</v>
      </c>
      <c r="CN9" s="28"/>
      <c r="CO9" s="28"/>
      <c r="CP9" s="33"/>
      <c r="CQ9" s="33" t="s">
        <v>54</v>
      </c>
      <c r="CR9" s="33"/>
      <c r="CS9" s="33" t="s">
        <v>54</v>
      </c>
      <c r="CT9" s="28"/>
      <c r="CU9" s="33" t="s">
        <v>48</v>
      </c>
      <c r="CV9" s="33"/>
      <c r="CW9" s="33" t="s">
        <v>70</v>
      </c>
      <c r="CX9" s="33" t="s">
        <v>159</v>
      </c>
      <c r="CY9" s="33" t="s">
        <v>54</v>
      </c>
      <c r="CZ9" s="28"/>
      <c r="DA9" s="42" t="s">
        <v>54</v>
      </c>
      <c r="DB9" s="42"/>
      <c r="DC9" s="42" t="s">
        <v>54</v>
      </c>
    </row>
    <row r="10" spans="1:107" ht="14.25" customHeight="1" x14ac:dyDescent="0.35">
      <c r="A10" s="43" t="s">
        <v>160</v>
      </c>
      <c r="B10" s="2" t="s">
        <v>161</v>
      </c>
      <c r="C10" s="7" t="s">
        <v>162</v>
      </c>
      <c r="D10" s="7" t="s">
        <v>163</v>
      </c>
      <c r="E10" s="15"/>
      <c r="F10" s="50" t="s">
        <v>164</v>
      </c>
      <c r="G10" s="55">
        <v>13</v>
      </c>
      <c r="H10" s="17" t="s">
        <v>528</v>
      </c>
      <c r="I10" s="72" t="s">
        <v>43</v>
      </c>
      <c r="J10" s="34" t="s">
        <v>43</v>
      </c>
      <c r="K10" s="34" t="s">
        <v>42</v>
      </c>
      <c r="L10" s="34" t="s">
        <v>43</v>
      </c>
      <c r="M10" s="53" t="s">
        <v>43</v>
      </c>
      <c r="N10" s="34" t="s">
        <v>43</v>
      </c>
      <c r="O10" s="34" t="s">
        <v>43</v>
      </c>
      <c r="P10" s="34" t="s">
        <v>608</v>
      </c>
      <c r="Q10" s="80" t="str">
        <f t="shared" si="8"/>
        <v>Low</v>
      </c>
      <c r="R10" s="55" t="s">
        <v>48</v>
      </c>
      <c r="S10" s="34" t="s">
        <v>608</v>
      </c>
      <c r="T10" s="17" t="s">
        <v>69</v>
      </c>
      <c r="U10" s="90">
        <v>2.7920219999999998</v>
      </c>
      <c r="V10" s="91"/>
      <c r="W10" s="17"/>
      <c r="X10" s="17" t="str">
        <f t="shared" si="9"/>
        <v>High</v>
      </c>
      <c r="Y10" s="93">
        <v>23.518719999999998</v>
      </c>
      <c r="Z10" s="97" t="str">
        <f t="shared" si="0"/>
        <v>Low</v>
      </c>
      <c r="AA10" s="83" t="s">
        <v>139</v>
      </c>
      <c r="AB10" s="70" t="s">
        <v>656</v>
      </c>
      <c r="AC10" s="87" t="s">
        <v>317</v>
      </c>
      <c r="AD10" s="55" t="s">
        <v>82</v>
      </c>
      <c r="AE10" s="17" t="s">
        <v>83</v>
      </c>
      <c r="AF10" s="56" t="s">
        <v>69</v>
      </c>
      <c r="AG10" s="82" t="s">
        <v>48</v>
      </c>
      <c r="AH10" s="70" t="s">
        <v>167</v>
      </c>
      <c r="AI10" s="56" t="str">
        <f t="shared" si="10"/>
        <v>Low</v>
      </c>
      <c r="AJ10" s="57">
        <v>0.49628510000000003</v>
      </c>
      <c r="AK10" s="87" t="str">
        <f t="shared" si="2"/>
        <v>High</v>
      </c>
      <c r="AL10" s="110">
        <v>72.5</v>
      </c>
      <c r="AM10" s="50">
        <v>82</v>
      </c>
      <c r="AN10" s="50" t="s">
        <v>54</v>
      </c>
      <c r="AO10" s="50" t="s">
        <v>81</v>
      </c>
      <c r="AP10" s="87" t="str">
        <f t="shared" si="3"/>
        <v>High</v>
      </c>
      <c r="AQ10" s="83" t="s">
        <v>48</v>
      </c>
      <c r="AR10" s="70" t="s">
        <v>170</v>
      </c>
      <c r="AS10" s="70" t="s">
        <v>171</v>
      </c>
      <c r="AT10" s="87" t="s">
        <v>69</v>
      </c>
      <c r="AU10" s="83" t="s">
        <v>144</v>
      </c>
      <c r="AV10" s="87" t="s">
        <v>69</v>
      </c>
      <c r="AW10" s="83" t="s">
        <v>105</v>
      </c>
      <c r="AX10" s="50" t="s">
        <v>671</v>
      </c>
      <c r="AY10" s="87" t="s">
        <v>69</v>
      </c>
      <c r="AZ10" s="83" t="s">
        <v>172</v>
      </c>
      <c r="BA10" s="50" t="s">
        <v>56</v>
      </c>
      <c r="BB10" s="91">
        <v>3</v>
      </c>
      <c r="BC10" s="47">
        <v>1</v>
      </c>
      <c r="BD10" s="53" t="s">
        <v>48</v>
      </c>
      <c r="BE10" s="70" t="s">
        <v>675</v>
      </c>
      <c r="BF10" s="96" t="s">
        <v>69</v>
      </c>
      <c r="BG10" s="148"/>
      <c r="BH10" s="111" t="s">
        <v>48</v>
      </c>
      <c r="BI10" s="73" t="s">
        <v>69</v>
      </c>
      <c r="BJ10" s="83" t="s">
        <v>48</v>
      </c>
      <c r="BK10" s="50" t="s">
        <v>682</v>
      </c>
      <c r="BL10" s="87" t="str">
        <f t="shared" si="4"/>
        <v>Low</v>
      </c>
      <c r="BM10" s="83" t="s">
        <v>48</v>
      </c>
      <c r="BN10" s="50" t="s">
        <v>114</v>
      </c>
      <c r="BO10" s="50" t="s">
        <v>165</v>
      </c>
      <c r="BP10" s="70" t="s">
        <v>166</v>
      </c>
      <c r="BQ10" s="96" t="str">
        <f t="shared" si="11"/>
        <v>Low</v>
      </c>
      <c r="BR10" s="12">
        <f>10*3</f>
        <v>30</v>
      </c>
      <c r="BS10" s="2" t="s">
        <v>173</v>
      </c>
      <c r="BT10" s="14" t="s">
        <v>535</v>
      </c>
      <c r="BU10" s="20" t="s">
        <v>536</v>
      </c>
      <c r="BV10" s="14" t="s">
        <v>716</v>
      </c>
      <c r="BW10" s="2" t="s">
        <v>48</v>
      </c>
      <c r="BX10" s="14" t="s">
        <v>717</v>
      </c>
      <c r="BY10" s="2" t="s">
        <v>54</v>
      </c>
      <c r="BZ10" s="2" t="str">
        <f t="shared" si="5"/>
        <v>Low</v>
      </c>
      <c r="CA10" s="2" t="str">
        <f t="shared" si="6"/>
        <v>High</v>
      </c>
      <c r="CB10" s="2" t="str">
        <f t="shared" si="7"/>
        <v>Low</v>
      </c>
      <c r="CC10" s="2" t="s">
        <v>139</v>
      </c>
      <c r="CD10" s="35"/>
      <c r="CE10" s="42" t="s">
        <v>54</v>
      </c>
      <c r="CF10" s="42"/>
      <c r="CG10" s="124">
        <v>7</v>
      </c>
      <c r="CH10" s="46" t="s">
        <v>174</v>
      </c>
      <c r="CI10" s="42" t="s">
        <v>54</v>
      </c>
      <c r="CJ10" s="42"/>
      <c r="CK10" s="33"/>
      <c r="CL10" s="28"/>
      <c r="CM10" s="127" t="s">
        <v>175</v>
      </c>
      <c r="CN10" s="127">
        <v>13407</v>
      </c>
      <c r="CO10" s="127">
        <v>3366</v>
      </c>
      <c r="CP10" s="33"/>
      <c r="CQ10" s="33" t="s">
        <v>54</v>
      </c>
      <c r="CR10" s="33"/>
      <c r="CS10" s="33" t="s">
        <v>54</v>
      </c>
      <c r="CT10" s="28"/>
      <c r="CU10" s="33" t="s">
        <v>48</v>
      </c>
      <c r="CV10" s="33"/>
      <c r="CW10" s="33" t="s">
        <v>70</v>
      </c>
      <c r="CX10" s="33" t="s">
        <v>81</v>
      </c>
      <c r="CY10" s="33" t="s">
        <v>176</v>
      </c>
      <c r="CZ10" s="33" t="s">
        <v>177</v>
      </c>
      <c r="DA10" s="46" t="s">
        <v>169</v>
      </c>
      <c r="DB10" s="46" t="s">
        <v>83</v>
      </c>
      <c r="DC10" s="42" t="s">
        <v>54</v>
      </c>
    </row>
    <row r="11" spans="1:107" ht="14.25" customHeight="1" x14ac:dyDescent="0.35">
      <c r="A11" s="43" t="s">
        <v>178</v>
      </c>
      <c r="B11" s="2" t="s">
        <v>179</v>
      </c>
      <c r="C11" s="7" t="s">
        <v>180</v>
      </c>
      <c r="D11" s="7" t="s">
        <v>181</v>
      </c>
      <c r="E11" s="2" t="s">
        <v>182</v>
      </c>
      <c r="F11" s="50" t="s">
        <v>183</v>
      </c>
      <c r="G11" s="55">
        <v>63</v>
      </c>
      <c r="H11" s="17" t="s">
        <v>528</v>
      </c>
      <c r="I11" s="72" t="s">
        <v>43</v>
      </c>
      <c r="J11" s="34" t="s">
        <v>43</v>
      </c>
      <c r="K11" s="34" t="s">
        <v>42</v>
      </c>
      <c r="L11" s="34" t="s">
        <v>42</v>
      </c>
      <c r="M11" s="34" t="s">
        <v>43</v>
      </c>
      <c r="N11" s="34" t="s">
        <v>43</v>
      </c>
      <c r="O11" s="34" t="s">
        <v>43</v>
      </c>
      <c r="P11" s="34" t="s">
        <v>622</v>
      </c>
      <c r="Q11" s="80" t="str">
        <f t="shared" si="8"/>
        <v>Low</v>
      </c>
      <c r="R11" s="82" t="s">
        <v>186</v>
      </c>
      <c r="S11" s="34" t="s">
        <v>635</v>
      </c>
      <c r="T11" s="17" t="s">
        <v>69</v>
      </c>
      <c r="U11" s="90">
        <v>3.1433019999999998</v>
      </c>
      <c r="V11" s="91"/>
      <c r="W11" s="17"/>
      <c r="X11" s="17" t="str">
        <f t="shared" si="9"/>
        <v>High</v>
      </c>
      <c r="Y11" s="93">
        <v>33.789679999999997</v>
      </c>
      <c r="Z11" s="97" t="str">
        <f t="shared" si="0"/>
        <v>Low</v>
      </c>
      <c r="AA11" s="83" t="s">
        <v>139</v>
      </c>
      <c r="AB11" s="50" t="s">
        <v>657</v>
      </c>
      <c r="AC11" s="87" t="s">
        <v>317</v>
      </c>
      <c r="AD11" s="55" t="s">
        <v>82</v>
      </c>
      <c r="AE11" s="17" t="s">
        <v>83</v>
      </c>
      <c r="AF11" s="56" t="s">
        <v>69</v>
      </c>
      <c r="AG11" s="82" t="s">
        <v>48</v>
      </c>
      <c r="AH11" s="70" t="s">
        <v>167</v>
      </c>
      <c r="AI11" s="56" t="str">
        <f t="shared" si="10"/>
        <v>Low</v>
      </c>
      <c r="AJ11" s="57">
        <v>9.6523430000000001</v>
      </c>
      <c r="AK11" s="87" t="str">
        <f t="shared" si="2"/>
        <v>Low</v>
      </c>
      <c r="AL11" s="110">
        <v>97.14</v>
      </c>
      <c r="AM11" s="50">
        <v>115</v>
      </c>
      <c r="AN11" s="50">
        <v>152</v>
      </c>
      <c r="AO11" s="50" t="s">
        <v>184</v>
      </c>
      <c r="AP11" s="87" t="str">
        <f t="shared" si="3"/>
        <v>Low</v>
      </c>
      <c r="AQ11" s="83" t="s">
        <v>48</v>
      </c>
      <c r="AR11" s="50" t="s">
        <v>185</v>
      </c>
      <c r="AS11" s="50" t="s">
        <v>184</v>
      </c>
      <c r="AT11" s="87" t="s">
        <v>69</v>
      </c>
      <c r="AU11" s="83" t="s">
        <v>104</v>
      </c>
      <c r="AV11" s="87" t="s">
        <v>69</v>
      </c>
      <c r="AW11" s="83" t="s">
        <v>54</v>
      </c>
      <c r="AX11" s="50"/>
      <c r="AY11" s="87" t="s">
        <v>54</v>
      </c>
      <c r="AZ11" s="83" t="s">
        <v>187</v>
      </c>
      <c r="BA11" s="50" t="s">
        <v>56</v>
      </c>
      <c r="BB11" s="91">
        <v>2</v>
      </c>
      <c r="BC11" s="53" t="s">
        <v>48</v>
      </c>
      <c r="BD11" s="53" t="s">
        <v>48</v>
      </c>
      <c r="BE11" s="50" t="s">
        <v>722</v>
      </c>
      <c r="BF11" s="87" t="s">
        <v>69</v>
      </c>
      <c r="BG11" s="148"/>
      <c r="BH11" s="111" t="s">
        <v>48</v>
      </c>
      <c r="BI11" s="73" t="s">
        <v>69</v>
      </c>
      <c r="BJ11" s="83" t="s">
        <v>56</v>
      </c>
      <c r="BK11" s="50" t="s">
        <v>683</v>
      </c>
      <c r="BL11" s="87" t="str">
        <f t="shared" si="4"/>
        <v>High</v>
      </c>
      <c r="BM11" s="83" t="s">
        <v>48</v>
      </c>
      <c r="BN11" s="50" t="s">
        <v>114</v>
      </c>
      <c r="BO11" s="50" t="s">
        <v>98</v>
      </c>
      <c r="BP11" s="50" t="s">
        <v>168</v>
      </c>
      <c r="BQ11" s="96" t="str">
        <f t="shared" si="11"/>
        <v>Low</v>
      </c>
      <c r="BR11" s="12">
        <f>10*1</f>
        <v>10</v>
      </c>
      <c r="BS11" s="2" t="s">
        <v>188</v>
      </c>
      <c r="BT11" s="14" t="s">
        <v>48</v>
      </c>
      <c r="BU11" s="20"/>
      <c r="BV11" s="14" t="s">
        <v>83</v>
      </c>
      <c r="BW11" s="2" t="s">
        <v>48</v>
      </c>
      <c r="BX11" s="2" t="s">
        <v>66</v>
      </c>
      <c r="BY11" s="2" t="s">
        <v>54</v>
      </c>
      <c r="BZ11" s="2" t="str">
        <f t="shared" si="5"/>
        <v>Low</v>
      </c>
      <c r="CA11" s="2" t="str">
        <f t="shared" si="6"/>
        <v>Low</v>
      </c>
      <c r="CB11" s="2" t="str">
        <f t="shared" si="7"/>
        <v>Low</v>
      </c>
      <c r="CC11" s="2" t="s">
        <v>69</v>
      </c>
      <c r="CD11" s="35"/>
      <c r="CE11" s="42" t="s">
        <v>54</v>
      </c>
      <c r="CF11" s="42"/>
      <c r="CG11" s="124" t="s">
        <v>54</v>
      </c>
      <c r="CH11" s="42"/>
      <c r="CI11" s="42"/>
      <c r="CJ11" s="42"/>
      <c r="CK11" s="33"/>
      <c r="CL11" s="28"/>
      <c r="CM11" s="127" t="s">
        <v>68</v>
      </c>
      <c r="CN11" s="28"/>
      <c r="CO11" s="28"/>
      <c r="CP11" s="33"/>
      <c r="CQ11" s="33" t="s">
        <v>54</v>
      </c>
      <c r="CR11" s="33"/>
      <c r="CS11" s="33" t="s">
        <v>54</v>
      </c>
      <c r="CT11" s="28"/>
      <c r="CU11" s="33" t="s">
        <v>48</v>
      </c>
      <c r="CV11" s="33"/>
      <c r="CW11" s="33" t="s">
        <v>70</v>
      </c>
      <c r="CX11" s="33" t="s">
        <v>159</v>
      </c>
      <c r="CY11" s="33" t="s">
        <v>54</v>
      </c>
      <c r="CZ11" s="28"/>
      <c r="DA11" s="42" t="s">
        <v>54</v>
      </c>
      <c r="DB11" s="42"/>
      <c r="DC11" s="42" t="s">
        <v>54</v>
      </c>
    </row>
    <row r="12" spans="1:107" ht="14.25" customHeight="1" x14ac:dyDescent="0.35">
      <c r="A12" s="43" t="s">
        <v>189</v>
      </c>
      <c r="B12" s="2" t="s">
        <v>190</v>
      </c>
      <c r="C12" s="7" t="s">
        <v>191</v>
      </c>
      <c r="D12" s="7" t="s">
        <v>192</v>
      </c>
      <c r="E12" s="15"/>
      <c r="F12" s="50" t="s">
        <v>193</v>
      </c>
      <c r="G12" s="55">
        <v>42</v>
      </c>
      <c r="H12" s="17" t="s">
        <v>528</v>
      </c>
      <c r="I12" s="72" t="s">
        <v>43</v>
      </c>
      <c r="J12" s="34" t="s">
        <v>43</v>
      </c>
      <c r="K12" s="34" t="s">
        <v>43</v>
      </c>
      <c r="L12" s="34" t="s">
        <v>42</v>
      </c>
      <c r="M12" s="34" t="s">
        <v>43</v>
      </c>
      <c r="N12" s="34" t="s">
        <v>43</v>
      </c>
      <c r="O12" s="34" t="s">
        <v>43</v>
      </c>
      <c r="P12" s="137" t="s">
        <v>689</v>
      </c>
      <c r="Q12" s="80" t="str">
        <f t="shared" si="8"/>
        <v>Low</v>
      </c>
      <c r="R12" s="82" t="s">
        <v>198</v>
      </c>
      <c r="S12" s="137" t="s">
        <v>689</v>
      </c>
      <c r="T12" s="17" t="s">
        <v>69</v>
      </c>
      <c r="U12" s="90">
        <v>3.5126840000000001</v>
      </c>
      <c r="V12" s="91"/>
      <c r="W12" s="17"/>
      <c r="X12" s="17" t="str">
        <f t="shared" si="9"/>
        <v>Low</v>
      </c>
      <c r="Y12" s="93">
        <v>15.34137</v>
      </c>
      <c r="Z12" s="97" t="str">
        <f t="shared" si="0"/>
        <v>High</v>
      </c>
      <c r="AA12" s="83" t="s">
        <v>139</v>
      </c>
      <c r="AB12" s="50" t="s">
        <v>692</v>
      </c>
      <c r="AC12" s="87" t="s">
        <v>317</v>
      </c>
      <c r="AD12" s="83" t="s">
        <v>194</v>
      </c>
      <c r="AE12" s="50" t="s">
        <v>195</v>
      </c>
      <c r="AF12" s="87" t="s">
        <v>317</v>
      </c>
      <c r="AG12" s="82" t="s">
        <v>48</v>
      </c>
      <c r="AH12" s="70" t="s">
        <v>167</v>
      </c>
      <c r="AI12" s="56" t="str">
        <f t="shared" si="10"/>
        <v>Low</v>
      </c>
      <c r="AJ12" s="57">
        <v>5.0932459999999997</v>
      </c>
      <c r="AK12" s="87" t="str">
        <f t="shared" si="2"/>
        <v>High</v>
      </c>
      <c r="AL12" s="110">
        <v>200</v>
      </c>
      <c r="AM12" s="50">
        <v>300</v>
      </c>
      <c r="AN12" s="50" t="s">
        <v>54</v>
      </c>
      <c r="AO12" s="50"/>
      <c r="AP12" s="87" t="str">
        <f t="shared" si="3"/>
        <v>Low</v>
      </c>
      <c r="AQ12" s="83" t="s">
        <v>48</v>
      </c>
      <c r="AR12" s="50" t="s">
        <v>197</v>
      </c>
      <c r="AS12" s="50" t="s">
        <v>690</v>
      </c>
      <c r="AT12" s="87" t="s">
        <v>69</v>
      </c>
      <c r="AU12" s="83" t="s">
        <v>104</v>
      </c>
      <c r="AV12" s="87" t="s">
        <v>69</v>
      </c>
      <c r="AW12" s="83" t="s">
        <v>105</v>
      </c>
      <c r="AX12" s="50" t="s">
        <v>689</v>
      </c>
      <c r="AY12" s="87" t="s">
        <v>69</v>
      </c>
      <c r="AZ12" s="83" t="s">
        <v>199</v>
      </c>
      <c r="BA12" s="50" t="s">
        <v>56</v>
      </c>
      <c r="BB12" s="89">
        <v>6</v>
      </c>
      <c r="BC12" s="34" t="s">
        <v>48</v>
      </c>
      <c r="BD12" s="53" t="s">
        <v>48</v>
      </c>
      <c r="BE12" s="50" t="s">
        <v>200</v>
      </c>
      <c r="BF12" s="87" t="s">
        <v>69</v>
      </c>
      <c r="BG12" s="148"/>
      <c r="BH12" s="111" t="s">
        <v>48</v>
      </c>
      <c r="BI12" s="73" t="s">
        <v>69</v>
      </c>
      <c r="BJ12" s="83" t="s">
        <v>56</v>
      </c>
      <c r="BK12" s="50" t="s">
        <v>689</v>
      </c>
      <c r="BL12" s="87" t="str">
        <f t="shared" si="4"/>
        <v>High</v>
      </c>
      <c r="BM12" s="83" t="s">
        <v>54</v>
      </c>
      <c r="BN12" s="50" t="s">
        <v>97</v>
      </c>
      <c r="BO12" s="50" t="s">
        <v>80</v>
      </c>
      <c r="BP12" s="50" t="s">
        <v>168</v>
      </c>
      <c r="BQ12" s="96" t="s">
        <v>54</v>
      </c>
      <c r="BR12" s="12">
        <f>4*1</f>
        <v>4</v>
      </c>
      <c r="BS12" s="2" t="s">
        <v>168</v>
      </c>
      <c r="BT12" s="2" t="s">
        <v>48</v>
      </c>
      <c r="BU12" s="2"/>
      <c r="BV12" s="2" t="s">
        <v>201</v>
      </c>
      <c r="BW12" s="2" t="s">
        <v>48</v>
      </c>
      <c r="BX12" s="2" t="s">
        <v>66</v>
      </c>
      <c r="BY12" s="2" t="s">
        <v>54</v>
      </c>
      <c r="BZ12" s="2" t="str">
        <f t="shared" si="5"/>
        <v>Low</v>
      </c>
      <c r="CA12" s="2" t="str">
        <f t="shared" si="6"/>
        <v>Low</v>
      </c>
      <c r="CB12" s="2" t="str">
        <f t="shared" si="7"/>
        <v>Low</v>
      </c>
      <c r="CC12" s="2" t="s">
        <v>69</v>
      </c>
      <c r="CD12" s="35"/>
      <c r="CE12" s="42" t="s">
        <v>54</v>
      </c>
      <c r="CF12" s="42"/>
      <c r="CG12" s="128" t="s">
        <v>54</v>
      </c>
      <c r="CH12" s="28"/>
      <c r="CI12" s="42" t="s">
        <v>54</v>
      </c>
      <c r="CJ12" s="42"/>
      <c r="CK12" s="33"/>
      <c r="CL12" s="28"/>
      <c r="CM12" s="127" t="s">
        <v>68</v>
      </c>
      <c r="CN12" s="28"/>
      <c r="CO12" s="28"/>
      <c r="CP12" s="33"/>
      <c r="CQ12" s="33" t="s">
        <v>54</v>
      </c>
      <c r="CR12" s="33"/>
      <c r="CS12" s="33" t="s">
        <v>56</v>
      </c>
      <c r="CT12" s="33" t="s">
        <v>202</v>
      </c>
      <c r="CU12" s="33" t="s">
        <v>48</v>
      </c>
      <c r="CV12" s="33"/>
      <c r="CW12" s="33" t="s">
        <v>87</v>
      </c>
      <c r="CX12" s="33" t="s">
        <v>203</v>
      </c>
      <c r="CY12" s="33" t="s">
        <v>54</v>
      </c>
      <c r="CZ12" s="28"/>
      <c r="DA12" s="42" t="s">
        <v>196</v>
      </c>
      <c r="DB12" s="42" t="s">
        <v>168</v>
      </c>
      <c r="DC12" s="42" t="s">
        <v>317</v>
      </c>
    </row>
    <row r="13" spans="1:107" ht="14.25" customHeight="1" x14ac:dyDescent="0.35">
      <c r="A13" s="43" t="s">
        <v>204</v>
      </c>
      <c r="B13" s="2" t="s">
        <v>179</v>
      </c>
      <c r="C13" s="7" t="s">
        <v>205</v>
      </c>
      <c r="D13" s="7" t="s">
        <v>206</v>
      </c>
      <c r="E13" s="15"/>
      <c r="F13" s="50" t="s">
        <v>207</v>
      </c>
      <c r="G13" s="55">
        <v>49</v>
      </c>
      <c r="H13" s="17" t="s">
        <v>528</v>
      </c>
      <c r="I13" s="72" t="s">
        <v>43</v>
      </c>
      <c r="J13" s="34" t="s">
        <v>42</v>
      </c>
      <c r="K13" s="34" t="s">
        <v>43</v>
      </c>
      <c r="L13" s="34" t="s">
        <v>43</v>
      </c>
      <c r="M13" s="34" t="s">
        <v>42</v>
      </c>
      <c r="N13" s="34" t="s">
        <v>43</v>
      </c>
      <c r="O13" s="34" t="s">
        <v>43</v>
      </c>
      <c r="P13" s="34" t="s">
        <v>686</v>
      </c>
      <c r="Q13" s="80" t="s">
        <v>69</v>
      </c>
      <c r="R13" s="55" t="s">
        <v>48</v>
      </c>
      <c r="S13" s="53" t="s">
        <v>81</v>
      </c>
      <c r="T13" s="17" t="s">
        <v>69</v>
      </c>
      <c r="U13" s="88">
        <v>3.4469526620000002</v>
      </c>
      <c r="V13" s="89">
        <v>41.6</v>
      </c>
      <c r="W13" s="17" t="s">
        <v>208</v>
      </c>
      <c r="X13" s="17" t="str">
        <f t="shared" si="9"/>
        <v>Low</v>
      </c>
      <c r="Y13" s="93">
        <v>21.35238</v>
      </c>
      <c r="Z13" s="97" t="str">
        <f t="shared" si="0"/>
        <v>Low</v>
      </c>
      <c r="AA13" s="83" t="s">
        <v>69</v>
      </c>
      <c r="AB13" s="50" t="s">
        <v>658</v>
      </c>
      <c r="AC13" s="87" t="s">
        <v>69</v>
      </c>
      <c r="AD13" s="55" t="s">
        <v>82</v>
      </c>
      <c r="AE13" s="17" t="s">
        <v>83</v>
      </c>
      <c r="AF13" s="56" t="s">
        <v>69</v>
      </c>
      <c r="AG13" s="82" t="s">
        <v>56</v>
      </c>
      <c r="AH13" s="70" t="s">
        <v>83</v>
      </c>
      <c r="AI13" s="56" t="str">
        <f t="shared" si="10"/>
        <v>High</v>
      </c>
      <c r="AJ13" s="57">
        <v>7.8205349999999996</v>
      </c>
      <c r="AK13" s="87" t="str">
        <f t="shared" si="2"/>
        <v>Low</v>
      </c>
      <c r="AL13" s="110">
        <v>75</v>
      </c>
      <c r="AM13" s="50">
        <v>98</v>
      </c>
      <c r="AN13" s="50" t="s">
        <v>54</v>
      </c>
      <c r="AO13" s="50" t="s">
        <v>81</v>
      </c>
      <c r="AP13" s="87" t="str">
        <f t="shared" si="3"/>
        <v>High</v>
      </c>
      <c r="AQ13" s="83" t="s">
        <v>48</v>
      </c>
      <c r="AR13" s="70" t="s">
        <v>209</v>
      </c>
      <c r="AS13" s="70" t="s">
        <v>665</v>
      </c>
      <c r="AT13" s="87" t="s">
        <v>69</v>
      </c>
      <c r="AU13" s="83" t="s">
        <v>61</v>
      </c>
      <c r="AV13" s="87" t="s">
        <v>69</v>
      </c>
      <c r="AW13" s="83" t="s">
        <v>105</v>
      </c>
      <c r="AX13" s="50" t="s">
        <v>168</v>
      </c>
      <c r="AY13" s="87" t="s">
        <v>69</v>
      </c>
      <c r="AZ13" s="83" t="s">
        <v>210</v>
      </c>
      <c r="BA13" s="50" t="s">
        <v>48</v>
      </c>
      <c r="BB13" s="89">
        <v>1</v>
      </c>
      <c r="BC13" s="34" t="s">
        <v>54</v>
      </c>
      <c r="BD13" s="53" t="s">
        <v>48</v>
      </c>
      <c r="BE13" s="50" t="s">
        <v>168</v>
      </c>
      <c r="BF13" s="87" t="s">
        <v>317</v>
      </c>
      <c r="BG13" s="148"/>
      <c r="BH13" s="111" t="s">
        <v>48</v>
      </c>
      <c r="BI13" s="73" t="s">
        <v>69</v>
      </c>
      <c r="BJ13" s="83" t="s">
        <v>56</v>
      </c>
      <c r="BK13" s="50" t="s">
        <v>685</v>
      </c>
      <c r="BL13" s="87" t="str">
        <f t="shared" si="4"/>
        <v>High</v>
      </c>
      <c r="BM13" s="83" t="s">
        <v>48</v>
      </c>
      <c r="BN13" s="50" t="s">
        <v>128</v>
      </c>
      <c r="BO13" s="50" t="s">
        <v>98</v>
      </c>
      <c r="BP13" s="50" t="s">
        <v>712</v>
      </c>
      <c r="BQ13" s="96" t="str">
        <f t="shared" si="11"/>
        <v>Low</v>
      </c>
      <c r="BR13" s="12">
        <f t="shared" ref="BR13:BR14" si="12">2*1</f>
        <v>2</v>
      </c>
      <c r="BS13" s="2" t="s">
        <v>211</v>
      </c>
      <c r="BT13" s="14" t="s">
        <v>48</v>
      </c>
      <c r="BU13" s="20"/>
      <c r="BV13" s="14" t="s">
        <v>83</v>
      </c>
      <c r="BW13" s="2" t="s">
        <v>48</v>
      </c>
      <c r="BX13" s="2" t="s">
        <v>66</v>
      </c>
      <c r="BY13" s="2" t="s">
        <v>54</v>
      </c>
      <c r="BZ13" s="2" t="str">
        <f t="shared" si="5"/>
        <v>Low</v>
      </c>
      <c r="CA13" s="2" t="str">
        <f t="shared" si="6"/>
        <v>Low</v>
      </c>
      <c r="CB13" s="2" t="str">
        <f t="shared" si="7"/>
        <v>Low</v>
      </c>
      <c r="CC13" s="2" t="s">
        <v>69</v>
      </c>
      <c r="CD13" s="35"/>
      <c r="CE13" s="42" t="s">
        <v>54</v>
      </c>
      <c r="CF13" s="42"/>
      <c r="CG13" s="124">
        <v>30</v>
      </c>
      <c r="CH13" s="46" t="s">
        <v>67</v>
      </c>
      <c r="CI13" s="42">
        <v>30</v>
      </c>
      <c r="CJ13" s="42" t="s">
        <v>67</v>
      </c>
      <c r="CK13" s="33"/>
      <c r="CL13" s="28"/>
      <c r="CM13" s="127" t="s">
        <v>68</v>
      </c>
      <c r="CN13" s="28"/>
      <c r="CO13" s="28"/>
      <c r="CP13" s="33"/>
      <c r="CQ13" s="33" t="s">
        <v>54</v>
      </c>
      <c r="CR13" s="33"/>
      <c r="CS13" s="33" t="s">
        <v>54</v>
      </c>
      <c r="CT13" s="28"/>
      <c r="CU13" s="33" t="s">
        <v>48</v>
      </c>
      <c r="CV13" s="33"/>
      <c r="CW13" s="33" t="s">
        <v>70</v>
      </c>
      <c r="CX13" s="33" t="s">
        <v>212</v>
      </c>
      <c r="CY13" s="33" t="s">
        <v>54</v>
      </c>
      <c r="CZ13" s="28"/>
      <c r="DA13" s="42" t="s">
        <v>54</v>
      </c>
      <c r="DB13" s="42"/>
      <c r="DC13" s="42" t="s">
        <v>54</v>
      </c>
    </row>
    <row r="14" spans="1:107" ht="14.25" customHeight="1" x14ac:dyDescent="0.35">
      <c r="A14" s="43" t="s">
        <v>213</v>
      </c>
      <c r="B14" s="2" t="s">
        <v>179</v>
      </c>
      <c r="C14" s="7" t="s">
        <v>205</v>
      </c>
      <c r="D14" s="7" t="s">
        <v>214</v>
      </c>
      <c r="E14" s="2"/>
      <c r="F14" s="50" t="s">
        <v>215</v>
      </c>
      <c r="G14" s="55">
        <v>5</v>
      </c>
      <c r="H14" s="17" t="s">
        <v>528</v>
      </c>
      <c r="I14" s="72" t="s">
        <v>43</v>
      </c>
      <c r="J14" s="34" t="s">
        <v>42</v>
      </c>
      <c r="K14" s="34" t="s">
        <v>43</v>
      </c>
      <c r="L14" s="34" t="s">
        <v>43</v>
      </c>
      <c r="M14" s="34" t="s">
        <v>43</v>
      </c>
      <c r="N14" s="34" t="s">
        <v>43</v>
      </c>
      <c r="O14" s="34" t="s">
        <v>43</v>
      </c>
      <c r="P14" s="34" t="s">
        <v>609</v>
      </c>
      <c r="Q14" s="80" t="str">
        <f t="shared" si="8"/>
        <v>Low</v>
      </c>
      <c r="R14" s="82" t="s">
        <v>216</v>
      </c>
      <c r="S14" s="34" t="s">
        <v>217</v>
      </c>
      <c r="T14" s="17" t="s">
        <v>69</v>
      </c>
      <c r="U14" s="88">
        <v>2.2618696539999998</v>
      </c>
      <c r="V14" s="89">
        <v>41</v>
      </c>
      <c r="W14" s="17" t="s">
        <v>208</v>
      </c>
      <c r="X14" s="17" t="str">
        <f t="shared" si="9"/>
        <v>High</v>
      </c>
      <c r="Y14" s="93">
        <v>25.897020000000001</v>
      </c>
      <c r="Z14" s="97" t="str">
        <f t="shared" si="0"/>
        <v>Low</v>
      </c>
      <c r="AA14" s="83" t="s">
        <v>54</v>
      </c>
      <c r="AB14" s="50"/>
      <c r="AC14" s="87" t="s">
        <v>54</v>
      </c>
      <c r="AD14" s="55" t="s">
        <v>82</v>
      </c>
      <c r="AE14" s="70" t="s">
        <v>663</v>
      </c>
      <c r="AF14" s="56" t="s">
        <v>69</v>
      </c>
      <c r="AG14" s="82" t="s">
        <v>56</v>
      </c>
      <c r="AH14" s="70" t="s">
        <v>543</v>
      </c>
      <c r="AI14" s="56" t="str">
        <f t="shared" si="10"/>
        <v>High</v>
      </c>
      <c r="AJ14" s="57">
        <v>7.5063319999999996</v>
      </c>
      <c r="AK14" s="87" t="str">
        <f t="shared" si="2"/>
        <v>Low</v>
      </c>
      <c r="AL14" s="110">
        <v>75</v>
      </c>
      <c r="AM14" s="50">
        <v>92</v>
      </c>
      <c r="AN14" s="50" t="s">
        <v>54</v>
      </c>
      <c r="AO14" s="50" t="s">
        <v>81</v>
      </c>
      <c r="AP14" s="87" t="str">
        <f t="shared" si="3"/>
        <v>High</v>
      </c>
      <c r="AQ14" s="83" t="s">
        <v>48</v>
      </c>
      <c r="AR14" s="50" t="s">
        <v>666</v>
      </c>
      <c r="AS14" s="70" t="s">
        <v>665</v>
      </c>
      <c r="AT14" s="87" t="s">
        <v>69</v>
      </c>
      <c r="AU14" s="83" t="s">
        <v>144</v>
      </c>
      <c r="AV14" s="87" t="s">
        <v>69</v>
      </c>
      <c r="AW14" s="83" t="s">
        <v>105</v>
      </c>
      <c r="AX14" s="50" t="s">
        <v>168</v>
      </c>
      <c r="AY14" s="87" t="s">
        <v>69</v>
      </c>
      <c r="AZ14" s="83" t="s">
        <v>218</v>
      </c>
      <c r="BA14" s="50" t="s">
        <v>48</v>
      </c>
      <c r="BB14" s="89" t="s">
        <v>54</v>
      </c>
      <c r="BC14" s="34" t="s">
        <v>54</v>
      </c>
      <c r="BD14" s="53" t="s">
        <v>48</v>
      </c>
      <c r="BE14" s="50" t="s">
        <v>676</v>
      </c>
      <c r="BF14" s="87" t="s">
        <v>317</v>
      </c>
      <c r="BG14" s="148"/>
      <c r="BH14" s="111" t="s">
        <v>48</v>
      </c>
      <c r="BI14" s="73" t="s">
        <v>69</v>
      </c>
      <c r="BJ14" s="82" t="s">
        <v>56</v>
      </c>
      <c r="BK14" s="50" t="s">
        <v>684</v>
      </c>
      <c r="BL14" s="87" t="str">
        <f t="shared" si="4"/>
        <v>High</v>
      </c>
      <c r="BM14" s="83" t="s">
        <v>48</v>
      </c>
      <c r="BN14" s="50" t="s">
        <v>97</v>
      </c>
      <c r="BO14" s="50" t="s">
        <v>98</v>
      </c>
      <c r="BP14" s="50" t="s">
        <v>712</v>
      </c>
      <c r="BQ14" s="96" t="str">
        <f t="shared" si="11"/>
        <v>Low</v>
      </c>
      <c r="BR14" s="12">
        <f t="shared" si="12"/>
        <v>2</v>
      </c>
      <c r="BS14" s="2" t="s">
        <v>713</v>
      </c>
      <c r="BT14" s="2" t="s">
        <v>48</v>
      </c>
      <c r="BU14" s="2" t="s">
        <v>537</v>
      </c>
      <c r="BV14" s="14" t="s">
        <v>219</v>
      </c>
      <c r="BW14" s="2" t="s">
        <v>56</v>
      </c>
      <c r="BX14" s="2" t="s">
        <v>66</v>
      </c>
      <c r="BY14" s="2" t="s">
        <v>54</v>
      </c>
      <c r="BZ14" s="2" t="str">
        <f t="shared" si="5"/>
        <v>Low</v>
      </c>
      <c r="CA14" s="2" t="str">
        <f t="shared" si="6"/>
        <v>Low</v>
      </c>
      <c r="CB14" s="2" t="str">
        <f t="shared" si="7"/>
        <v>High</v>
      </c>
      <c r="CC14" s="2" t="s">
        <v>139</v>
      </c>
      <c r="CD14" s="35"/>
      <c r="CE14" s="42" t="s">
        <v>54</v>
      </c>
      <c r="CF14" s="42"/>
      <c r="CG14" s="124" t="s">
        <v>54</v>
      </c>
      <c r="CH14" s="42"/>
      <c r="CI14" s="42" t="s">
        <v>54</v>
      </c>
      <c r="CJ14" s="42"/>
      <c r="CK14" s="33"/>
      <c r="CL14" s="28"/>
      <c r="CM14" s="127" t="s">
        <v>220</v>
      </c>
      <c r="CN14" s="28"/>
      <c r="CO14" s="28"/>
      <c r="CP14" s="33"/>
      <c r="CQ14" s="33" t="s">
        <v>54</v>
      </c>
      <c r="CR14" s="33"/>
      <c r="CS14" s="33" t="s">
        <v>54</v>
      </c>
      <c r="CT14" s="28"/>
      <c r="CU14" s="33" t="s">
        <v>48</v>
      </c>
      <c r="CV14" s="33"/>
      <c r="CW14" s="33" t="s">
        <v>70</v>
      </c>
      <c r="CX14" s="33" t="s">
        <v>159</v>
      </c>
      <c r="CY14" s="33" t="s">
        <v>54</v>
      </c>
      <c r="CZ14" s="28"/>
      <c r="DA14" s="42" t="s">
        <v>54</v>
      </c>
      <c r="DB14" s="42"/>
      <c r="DC14" s="42" t="s">
        <v>54</v>
      </c>
    </row>
    <row r="15" spans="1:107" ht="14.25" customHeight="1" x14ac:dyDescent="0.35">
      <c r="A15" s="43" t="s">
        <v>221</v>
      </c>
      <c r="B15" s="2" t="s">
        <v>222</v>
      </c>
      <c r="C15" s="7" t="s">
        <v>223</v>
      </c>
      <c r="D15" s="7" t="s">
        <v>224</v>
      </c>
      <c r="E15" s="15"/>
      <c r="F15" s="50" t="s">
        <v>225</v>
      </c>
      <c r="G15" s="55">
        <v>90</v>
      </c>
      <c r="H15" s="17" t="s">
        <v>528</v>
      </c>
      <c r="I15" s="72" t="s">
        <v>43</v>
      </c>
      <c r="J15" s="34" t="s">
        <v>43</v>
      </c>
      <c r="K15" s="34" t="s">
        <v>43</v>
      </c>
      <c r="L15" s="34" t="s">
        <v>42</v>
      </c>
      <c r="M15" s="34" t="s">
        <v>43</v>
      </c>
      <c r="N15" s="34" t="s">
        <v>43</v>
      </c>
      <c r="O15" s="34" t="s">
        <v>43</v>
      </c>
      <c r="P15" s="34" t="s">
        <v>619</v>
      </c>
      <c r="Q15" s="80" t="str">
        <f t="shared" si="8"/>
        <v>Low</v>
      </c>
      <c r="R15" s="55" t="s">
        <v>48</v>
      </c>
      <c r="S15" s="34" t="s">
        <v>619</v>
      </c>
      <c r="T15" s="17" t="s">
        <v>69</v>
      </c>
      <c r="U15" s="90">
        <v>3.9401130000000002</v>
      </c>
      <c r="V15" s="91"/>
      <c r="W15" s="17"/>
      <c r="X15" s="17" t="str">
        <f t="shared" si="9"/>
        <v>Low</v>
      </c>
      <c r="Y15" s="93">
        <v>33.499009999999998</v>
      </c>
      <c r="Z15" s="97" t="str">
        <f t="shared" si="0"/>
        <v>Low</v>
      </c>
      <c r="AA15" s="83" t="s">
        <v>54</v>
      </c>
      <c r="AB15" s="50"/>
      <c r="AC15" s="87" t="s">
        <v>54</v>
      </c>
      <c r="AD15" s="55" t="s">
        <v>82</v>
      </c>
      <c r="AE15" s="17" t="s">
        <v>83</v>
      </c>
      <c r="AF15" s="56" t="s">
        <v>69</v>
      </c>
      <c r="AG15" s="82" t="s">
        <v>48</v>
      </c>
      <c r="AH15" s="70" t="s">
        <v>167</v>
      </c>
      <c r="AI15" s="56" t="str">
        <f t="shared" si="10"/>
        <v>Low</v>
      </c>
      <c r="AJ15" s="57">
        <v>5.5896869999999996</v>
      </c>
      <c r="AK15" s="87" t="str">
        <f t="shared" si="2"/>
        <v>High</v>
      </c>
      <c r="AL15" s="110">
        <v>440</v>
      </c>
      <c r="AM15" s="50">
        <v>420.6</v>
      </c>
      <c r="AN15" s="50">
        <v>460.6</v>
      </c>
      <c r="AO15" s="50" t="s">
        <v>228</v>
      </c>
      <c r="AP15" s="87" t="str">
        <f t="shared" si="3"/>
        <v>Low</v>
      </c>
      <c r="AQ15" s="83" t="s">
        <v>56</v>
      </c>
      <c r="AR15" s="50" t="s">
        <v>718</v>
      </c>
      <c r="AS15" s="50" t="s">
        <v>229</v>
      </c>
      <c r="AT15" s="87" t="s">
        <v>69</v>
      </c>
      <c r="AU15" s="83" t="s">
        <v>104</v>
      </c>
      <c r="AV15" s="87" t="s">
        <v>69</v>
      </c>
      <c r="AW15" s="83" t="s">
        <v>105</v>
      </c>
      <c r="AX15" s="50" t="s">
        <v>229</v>
      </c>
      <c r="AY15" s="87" t="s">
        <v>69</v>
      </c>
      <c r="AZ15" s="83" t="s">
        <v>230</v>
      </c>
      <c r="BA15" s="50" t="s">
        <v>48</v>
      </c>
      <c r="BB15" s="89" t="s">
        <v>231</v>
      </c>
      <c r="BC15" s="34" t="s">
        <v>48</v>
      </c>
      <c r="BD15" s="53" t="s">
        <v>48</v>
      </c>
      <c r="BE15" s="50" t="s">
        <v>229</v>
      </c>
      <c r="BF15" s="87" t="s">
        <v>69</v>
      </c>
      <c r="BG15" s="148"/>
      <c r="BH15" s="111" t="s">
        <v>48</v>
      </c>
      <c r="BI15" s="73" t="s">
        <v>69</v>
      </c>
      <c r="BJ15" s="83" t="s">
        <v>48</v>
      </c>
      <c r="BK15" s="50" t="s">
        <v>119</v>
      </c>
      <c r="BL15" s="87" t="str">
        <f t="shared" si="4"/>
        <v>Low</v>
      </c>
      <c r="BM15" s="82" t="s">
        <v>48</v>
      </c>
      <c r="BN15" s="50" t="s">
        <v>226</v>
      </c>
      <c r="BO15" s="50" t="s">
        <v>80</v>
      </c>
      <c r="BP15" s="50" t="s">
        <v>227</v>
      </c>
      <c r="BQ15" s="96" t="str">
        <f t="shared" si="11"/>
        <v>Low</v>
      </c>
      <c r="BR15" s="12">
        <f>1*12.5</f>
        <v>12.5</v>
      </c>
      <c r="BS15" s="2" t="s">
        <v>232</v>
      </c>
      <c r="BT15" s="14" t="s">
        <v>48</v>
      </c>
      <c r="BU15" s="20"/>
      <c r="BV15" s="14" t="s">
        <v>83</v>
      </c>
      <c r="BW15" s="2" t="s">
        <v>48</v>
      </c>
      <c r="BX15" s="2" t="s">
        <v>66</v>
      </c>
      <c r="BY15" s="2" t="s">
        <v>54</v>
      </c>
      <c r="BZ15" s="2" t="str">
        <f t="shared" si="5"/>
        <v>Low</v>
      </c>
      <c r="CA15" s="2" t="str">
        <f t="shared" si="6"/>
        <v>Low</v>
      </c>
      <c r="CB15" s="2" t="str">
        <f t="shared" si="7"/>
        <v>Low</v>
      </c>
      <c r="CC15" s="2" t="s">
        <v>69</v>
      </c>
      <c r="CD15" s="35"/>
      <c r="CE15" s="42" t="s">
        <v>54</v>
      </c>
      <c r="CF15" s="42"/>
      <c r="CG15" s="124" t="s">
        <v>54</v>
      </c>
      <c r="CH15" s="42"/>
      <c r="CI15" s="42" t="s">
        <v>54</v>
      </c>
      <c r="CJ15" s="42"/>
      <c r="CK15" s="33"/>
      <c r="CL15" s="28"/>
      <c r="CM15" s="127" t="s">
        <v>68</v>
      </c>
      <c r="CN15" s="28"/>
      <c r="CO15" s="28"/>
      <c r="CP15" s="33"/>
      <c r="CQ15" s="33" t="s">
        <v>54</v>
      </c>
      <c r="CR15" s="33"/>
      <c r="CS15" s="33" t="s">
        <v>54</v>
      </c>
      <c r="CT15" s="28"/>
      <c r="CU15" s="33" t="s">
        <v>48</v>
      </c>
      <c r="CV15" s="33"/>
      <c r="CW15" s="33" t="s">
        <v>87</v>
      </c>
      <c r="CX15" s="33" t="s">
        <v>149</v>
      </c>
      <c r="CY15" s="33" t="s">
        <v>54</v>
      </c>
      <c r="CZ15" s="28"/>
      <c r="DA15" s="42" t="s">
        <v>54</v>
      </c>
      <c r="DB15" s="42"/>
      <c r="DC15" s="42" t="s">
        <v>54</v>
      </c>
    </row>
    <row r="16" spans="1:107" ht="14.25" customHeight="1" x14ac:dyDescent="0.35">
      <c r="A16" s="43" t="s">
        <v>233</v>
      </c>
      <c r="B16" s="2" t="s">
        <v>222</v>
      </c>
      <c r="C16" s="7" t="s">
        <v>234</v>
      </c>
      <c r="D16" s="7" t="s">
        <v>235</v>
      </c>
      <c r="E16" s="2"/>
      <c r="F16" s="50" t="s">
        <v>236</v>
      </c>
      <c r="G16" s="55">
        <v>97</v>
      </c>
      <c r="H16" s="17" t="s">
        <v>528</v>
      </c>
      <c r="I16" s="72" t="s">
        <v>43</v>
      </c>
      <c r="J16" s="34" t="s">
        <v>42</v>
      </c>
      <c r="K16" s="34" t="s">
        <v>43</v>
      </c>
      <c r="L16" s="34" t="s">
        <v>42</v>
      </c>
      <c r="M16" s="34" t="s">
        <v>42</v>
      </c>
      <c r="N16" s="34" t="s">
        <v>43</v>
      </c>
      <c r="O16" s="34" t="s">
        <v>43</v>
      </c>
      <c r="P16" s="34" t="s">
        <v>119</v>
      </c>
      <c r="Q16" s="80" t="s">
        <v>69</v>
      </c>
      <c r="R16" s="55" t="s">
        <v>48</v>
      </c>
      <c r="S16" s="53" t="s">
        <v>636</v>
      </c>
      <c r="T16" s="17" t="s">
        <v>69</v>
      </c>
      <c r="U16" s="90">
        <v>4.2790270000000001</v>
      </c>
      <c r="V16" s="91"/>
      <c r="W16" s="17"/>
      <c r="X16" s="17" t="str">
        <f t="shared" si="9"/>
        <v>Low</v>
      </c>
      <c r="Y16" s="93">
        <v>29.333469999999998</v>
      </c>
      <c r="Z16" s="97" t="str">
        <f t="shared" si="0"/>
        <v>Low</v>
      </c>
      <c r="AA16" s="83" t="s">
        <v>54</v>
      </c>
      <c r="AB16" s="50"/>
      <c r="AC16" s="87" t="s">
        <v>54</v>
      </c>
      <c r="AD16" s="55" t="s">
        <v>82</v>
      </c>
      <c r="AE16" s="17" t="s">
        <v>83</v>
      </c>
      <c r="AF16" s="56" t="s">
        <v>69</v>
      </c>
      <c r="AG16" s="82" t="s">
        <v>48</v>
      </c>
      <c r="AH16" s="70" t="s">
        <v>167</v>
      </c>
      <c r="AI16" s="56" t="str">
        <f t="shared" si="10"/>
        <v>Low</v>
      </c>
      <c r="AJ16" s="107" t="s">
        <v>546</v>
      </c>
      <c r="AK16" s="87" t="str">
        <f t="shared" si="2"/>
        <v>Low</v>
      </c>
      <c r="AL16" s="110">
        <f>(AM16+AN16)/2</f>
        <v>779.5</v>
      </c>
      <c r="AM16" s="50">
        <v>595</v>
      </c>
      <c r="AN16" s="50">
        <v>964</v>
      </c>
      <c r="AO16" s="50" t="s">
        <v>81</v>
      </c>
      <c r="AP16" s="87" t="str">
        <f t="shared" si="3"/>
        <v>Low</v>
      </c>
      <c r="AQ16" s="83" t="s">
        <v>56</v>
      </c>
      <c r="AR16" s="70" t="s">
        <v>237</v>
      </c>
      <c r="AS16" s="70" t="s">
        <v>238</v>
      </c>
      <c r="AT16" s="87" t="s">
        <v>69</v>
      </c>
      <c r="AU16" s="83" t="s">
        <v>104</v>
      </c>
      <c r="AV16" s="87" t="s">
        <v>69</v>
      </c>
      <c r="AW16" s="83" t="s">
        <v>105</v>
      </c>
      <c r="AX16" s="50" t="s">
        <v>116</v>
      </c>
      <c r="AY16" s="87" t="s">
        <v>69</v>
      </c>
      <c r="AZ16" s="83" t="s">
        <v>239</v>
      </c>
      <c r="BA16" s="50" t="s">
        <v>48</v>
      </c>
      <c r="BB16" s="89">
        <v>2</v>
      </c>
      <c r="BC16" s="34" t="s">
        <v>54</v>
      </c>
      <c r="BD16" s="53" t="s">
        <v>48</v>
      </c>
      <c r="BE16" s="70" t="s">
        <v>240</v>
      </c>
      <c r="BF16" s="96" t="s">
        <v>69</v>
      </c>
      <c r="BG16" s="148"/>
      <c r="BH16" s="111" t="s">
        <v>48</v>
      </c>
      <c r="BI16" s="73" t="s">
        <v>69</v>
      </c>
      <c r="BJ16" s="83" t="s">
        <v>56</v>
      </c>
      <c r="BK16" s="50" t="s">
        <v>687</v>
      </c>
      <c r="BL16" s="87" t="str">
        <f t="shared" si="4"/>
        <v>High</v>
      </c>
      <c r="BM16" s="83" t="s">
        <v>48</v>
      </c>
      <c r="BN16" s="50" t="s">
        <v>226</v>
      </c>
      <c r="BO16" s="50" t="s">
        <v>80</v>
      </c>
      <c r="BP16" s="50" t="s">
        <v>119</v>
      </c>
      <c r="BQ16" s="96" t="str">
        <f t="shared" si="11"/>
        <v>Low</v>
      </c>
      <c r="BR16" s="12">
        <f>15.5*1.5</f>
        <v>23.25</v>
      </c>
      <c r="BS16" s="2" t="s">
        <v>211</v>
      </c>
      <c r="BT16" s="14" t="s">
        <v>48</v>
      </c>
      <c r="BU16" s="20"/>
      <c r="BV16" s="14" t="s">
        <v>83</v>
      </c>
      <c r="BW16" s="2" t="s">
        <v>48</v>
      </c>
      <c r="BX16" s="2" t="s">
        <v>66</v>
      </c>
      <c r="BY16" s="2" t="s">
        <v>54</v>
      </c>
      <c r="BZ16" s="2" t="str">
        <f t="shared" si="5"/>
        <v>Low</v>
      </c>
      <c r="CA16" s="2" t="str">
        <f t="shared" si="6"/>
        <v>Low</v>
      </c>
      <c r="CB16" s="2" t="str">
        <f t="shared" si="7"/>
        <v>Low</v>
      </c>
      <c r="CC16" s="2" t="s">
        <v>69</v>
      </c>
      <c r="CD16" s="35"/>
      <c r="CE16" s="42" t="s">
        <v>54</v>
      </c>
      <c r="CF16" s="42"/>
      <c r="CG16" s="124" t="s">
        <v>54</v>
      </c>
      <c r="CH16" s="42"/>
      <c r="CI16" s="42" t="s">
        <v>54</v>
      </c>
      <c r="CJ16" s="42"/>
      <c r="CK16" s="33"/>
      <c r="CL16" s="28"/>
      <c r="CM16" s="127" t="s">
        <v>68</v>
      </c>
      <c r="CN16" s="28"/>
      <c r="CO16" s="28"/>
      <c r="CP16" s="33"/>
      <c r="CQ16" s="33" t="s">
        <v>54</v>
      </c>
      <c r="CR16" s="33"/>
      <c r="CS16" s="33" t="s">
        <v>54</v>
      </c>
      <c r="CT16" s="28"/>
      <c r="CU16" s="33" t="s">
        <v>48</v>
      </c>
      <c r="CV16" s="33"/>
      <c r="CW16" s="33" t="s">
        <v>87</v>
      </c>
      <c r="CX16" s="33" t="s">
        <v>149</v>
      </c>
      <c r="CY16" s="33" t="s">
        <v>54</v>
      </c>
      <c r="CZ16" s="28"/>
      <c r="DA16" s="42" t="s">
        <v>54</v>
      </c>
      <c r="DB16" s="42"/>
      <c r="DC16" s="42" t="s">
        <v>54</v>
      </c>
    </row>
    <row r="17" spans="1:107" ht="14.25" customHeight="1" x14ac:dyDescent="0.35">
      <c r="A17" s="43" t="s">
        <v>241</v>
      </c>
      <c r="B17" s="2" t="s">
        <v>222</v>
      </c>
      <c r="C17" s="7" t="s">
        <v>242</v>
      </c>
      <c r="D17" s="7" t="s">
        <v>243</v>
      </c>
      <c r="E17" s="2"/>
      <c r="F17" s="50" t="s">
        <v>244</v>
      </c>
      <c r="G17" s="55">
        <v>90</v>
      </c>
      <c r="H17" s="17" t="s">
        <v>528</v>
      </c>
      <c r="I17" s="72" t="s">
        <v>43</v>
      </c>
      <c r="J17" s="34" t="s">
        <v>43</v>
      </c>
      <c r="K17" s="34" t="s">
        <v>42</v>
      </c>
      <c r="L17" s="34" t="s">
        <v>42</v>
      </c>
      <c r="M17" s="34" t="s">
        <v>43</v>
      </c>
      <c r="N17" s="34" t="s">
        <v>43</v>
      </c>
      <c r="O17" s="34" t="s">
        <v>43</v>
      </c>
      <c r="P17" s="34" t="s">
        <v>119</v>
      </c>
      <c r="Q17" s="80" t="str">
        <f t="shared" si="8"/>
        <v>Low</v>
      </c>
      <c r="R17" s="55" t="s">
        <v>48</v>
      </c>
      <c r="S17" s="53" t="s">
        <v>637</v>
      </c>
      <c r="T17" s="17" t="s">
        <v>69</v>
      </c>
      <c r="U17" s="90">
        <v>3.8040289999999999</v>
      </c>
      <c r="V17" s="91"/>
      <c r="W17" s="17"/>
      <c r="X17" s="17" t="str">
        <f t="shared" si="9"/>
        <v>Low</v>
      </c>
      <c r="Y17" s="93">
        <v>31.375820000000001</v>
      </c>
      <c r="Z17" s="97" t="str">
        <f t="shared" si="0"/>
        <v>Low</v>
      </c>
      <c r="AA17" s="83" t="s">
        <v>54</v>
      </c>
      <c r="AB17" s="50"/>
      <c r="AC17" s="87" t="s">
        <v>54</v>
      </c>
      <c r="AD17" s="55" t="s">
        <v>82</v>
      </c>
      <c r="AE17" s="17" t="s">
        <v>83</v>
      </c>
      <c r="AF17" s="56" t="s">
        <v>69</v>
      </c>
      <c r="AG17" s="82" t="s">
        <v>48</v>
      </c>
      <c r="AH17" s="70" t="s">
        <v>167</v>
      </c>
      <c r="AI17" s="56" t="str">
        <f t="shared" si="10"/>
        <v>Low</v>
      </c>
      <c r="AJ17" s="57">
        <v>6.4788839999999999</v>
      </c>
      <c r="AK17" s="87" t="str">
        <f t="shared" si="2"/>
        <v>Low</v>
      </c>
      <c r="AL17" s="110">
        <v>973.5</v>
      </c>
      <c r="AM17" s="50">
        <v>1290</v>
      </c>
      <c r="AN17" s="50">
        <v>1260</v>
      </c>
      <c r="AO17" s="17" t="s">
        <v>245</v>
      </c>
      <c r="AP17" s="87" t="str">
        <f t="shared" si="3"/>
        <v>Low</v>
      </c>
      <c r="AQ17" s="83" t="s">
        <v>48</v>
      </c>
      <c r="AR17" s="70" t="s">
        <v>246</v>
      </c>
      <c r="AS17" s="70" t="s">
        <v>247</v>
      </c>
      <c r="AT17" s="87" t="s">
        <v>69</v>
      </c>
      <c r="AU17" s="83" t="s">
        <v>104</v>
      </c>
      <c r="AV17" s="87" t="s">
        <v>69</v>
      </c>
      <c r="AW17" s="83" t="s">
        <v>105</v>
      </c>
      <c r="AX17" s="50" t="s">
        <v>116</v>
      </c>
      <c r="AY17" s="87" t="s">
        <v>69</v>
      </c>
      <c r="AZ17" s="83" t="s">
        <v>248</v>
      </c>
      <c r="BA17" s="50" t="s">
        <v>48</v>
      </c>
      <c r="BB17" s="89">
        <v>1</v>
      </c>
      <c r="BC17" s="34" t="s">
        <v>56</v>
      </c>
      <c r="BD17" s="53" t="s">
        <v>48</v>
      </c>
      <c r="BE17" s="70" t="s">
        <v>158</v>
      </c>
      <c r="BF17" s="96" t="s">
        <v>317</v>
      </c>
      <c r="BG17" s="148"/>
      <c r="BH17" s="111" t="s">
        <v>48</v>
      </c>
      <c r="BI17" s="73" t="s">
        <v>69</v>
      </c>
      <c r="BJ17" s="83" t="s">
        <v>56</v>
      </c>
      <c r="BK17" s="50" t="s">
        <v>688</v>
      </c>
      <c r="BL17" s="87" t="str">
        <f t="shared" si="4"/>
        <v>High</v>
      </c>
      <c r="BM17" s="83" t="s">
        <v>56</v>
      </c>
      <c r="BN17" s="50" t="s">
        <v>97</v>
      </c>
      <c r="BO17" s="50" t="s">
        <v>80</v>
      </c>
      <c r="BP17" s="50" t="s">
        <v>119</v>
      </c>
      <c r="BQ17" s="96" t="str">
        <f t="shared" si="11"/>
        <v>High</v>
      </c>
      <c r="BR17" s="12">
        <f>1*11</f>
        <v>11</v>
      </c>
      <c r="BS17" s="2" t="s">
        <v>119</v>
      </c>
      <c r="BT17" s="14" t="s">
        <v>48</v>
      </c>
      <c r="BU17" s="20"/>
      <c r="BV17" s="14" t="s">
        <v>83</v>
      </c>
      <c r="BW17" s="2" t="s">
        <v>48</v>
      </c>
      <c r="BX17" s="2" t="s">
        <v>66</v>
      </c>
      <c r="BY17" s="2" t="s">
        <v>54</v>
      </c>
      <c r="BZ17" s="2" t="str">
        <f t="shared" si="5"/>
        <v>Low</v>
      </c>
      <c r="CA17" s="2" t="str">
        <f t="shared" si="6"/>
        <v>Low</v>
      </c>
      <c r="CB17" s="2" t="str">
        <f t="shared" si="7"/>
        <v>Low</v>
      </c>
      <c r="CC17" s="2" t="s">
        <v>69</v>
      </c>
      <c r="CD17" s="35"/>
      <c r="CE17" s="42" t="s">
        <v>54</v>
      </c>
      <c r="CF17" s="42"/>
      <c r="CG17" s="124" t="s">
        <v>54</v>
      </c>
      <c r="CH17" s="42"/>
      <c r="CI17" s="42" t="s">
        <v>54</v>
      </c>
      <c r="CJ17" s="42"/>
      <c r="CK17" s="33"/>
      <c r="CL17" s="28"/>
      <c r="CM17" s="127" t="s">
        <v>68</v>
      </c>
      <c r="CN17" s="28"/>
      <c r="CO17" s="28"/>
      <c r="CP17" s="33"/>
      <c r="CQ17" s="33" t="s">
        <v>54</v>
      </c>
      <c r="CR17" s="33"/>
      <c r="CS17" s="33" t="s">
        <v>54</v>
      </c>
      <c r="CT17" s="28"/>
      <c r="CU17" s="33" t="s">
        <v>48</v>
      </c>
      <c r="CV17" s="33"/>
      <c r="CW17" s="33" t="s">
        <v>87</v>
      </c>
      <c r="CX17" s="33" t="s">
        <v>149</v>
      </c>
      <c r="CY17" s="33" t="s">
        <v>54</v>
      </c>
      <c r="CZ17" s="28"/>
      <c r="DA17" s="42" t="s">
        <v>54</v>
      </c>
      <c r="DB17" s="42"/>
      <c r="DC17" s="42" t="s">
        <v>54</v>
      </c>
    </row>
    <row r="18" spans="1:107" ht="14.25" customHeight="1" x14ac:dyDescent="0.35">
      <c r="A18" s="44" t="s">
        <v>249</v>
      </c>
      <c r="B18" s="2" t="s">
        <v>250</v>
      </c>
      <c r="C18" s="7" t="s">
        <v>251</v>
      </c>
      <c r="D18" s="7" t="s">
        <v>252</v>
      </c>
      <c r="E18" s="2"/>
      <c r="F18" s="50" t="s">
        <v>253</v>
      </c>
      <c r="G18" s="55">
        <v>80</v>
      </c>
      <c r="H18" s="17" t="s">
        <v>528</v>
      </c>
      <c r="I18" s="72" t="s">
        <v>43</v>
      </c>
      <c r="J18" s="34" t="s">
        <v>43</v>
      </c>
      <c r="K18" s="34" t="s">
        <v>43</v>
      </c>
      <c r="L18" s="34" t="s">
        <v>42</v>
      </c>
      <c r="M18" s="34" t="s">
        <v>42</v>
      </c>
      <c r="N18" s="34" t="s">
        <v>43</v>
      </c>
      <c r="O18" s="34" t="s">
        <v>43</v>
      </c>
      <c r="P18" s="34" t="s">
        <v>119</v>
      </c>
      <c r="Q18" s="80" t="s">
        <v>69</v>
      </c>
      <c r="R18" s="55" t="s">
        <v>48</v>
      </c>
      <c r="S18" s="53" t="s">
        <v>638</v>
      </c>
      <c r="T18" s="17" t="s">
        <v>69</v>
      </c>
      <c r="U18" s="90">
        <v>3.8419910000000002</v>
      </c>
      <c r="V18" s="91"/>
      <c r="W18" s="17"/>
      <c r="X18" s="17" t="str">
        <f t="shared" si="9"/>
        <v>Low</v>
      </c>
      <c r="Y18" s="93">
        <v>33.328940000000003</v>
      </c>
      <c r="Z18" s="97" t="str">
        <f t="shared" si="0"/>
        <v>Low</v>
      </c>
      <c r="AA18" s="83" t="s">
        <v>54</v>
      </c>
      <c r="AB18" s="50"/>
      <c r="AC18" s="87" t="s">
        <v>54</v>
      </c>
      <c r="AD18" s="55" t="s">
        <v>82</v>
      </c>
      <c r="AE18" s="17" t="s">
        <v>83</v>
      </c>
      <c r="AF18" s="56" t="s">
        <v>69</v>
      </c>
      <c r="AG18" s="82" t="s">
        <v>48</v>
      </c>
      <c r="AH18" s="70" t="s">
        <v>167</v>
      </c>
      <c r="AI18" s="56" t="str">
        <f t="shared" si="10"/>
        <v>Low</v>
      </c>
      <c r="AJ18" s="57">
        <v>5.709085</v>
      </c>
      <c r="AK18" s="87" t="str">
        <f t="shared" si="2"/>
        <v>High</v>
      </c>
      <c r="AL18" s="110">
        <v>357.5</v>
      </c>
      <c r="AM18" s="50">
        <v>355</v>
      </c>
      <c r="AN18" s="50">
        <v>360</v>
      </c>
      <c r="AO18" s="50" t="s">
        <v>81</v>
      </c>
      <c r="AP18" s="87" t="str">
        <f t="shared" si="3"/>
        <v>Low</v>
      </c>
      <c r="AQ18" s="83" t="s">
        <v>56</v>
      </c>
      <c r="AR18" s="70" t="s">
        <v>254</v>
      </c>
      <c r="AS18" s="70" t="s">
        <v>255</v>
      </c>
      <c r="AT18" s="87" t="s">
        <v>69</v>
      </c>
      <c r="AU18" s="83" t="s">
        <v>61</v>
      </c>
      <c r="AV18" s="87" t="s">
        <v>69</v>
      </c>
      <c r="AW18" s="55" t="s">
        <v>105</v>
      </c>
      <c r="AX18" s="70" t="s">
        <v>141</v>
      </c>
      <c r="AY18" s="87" t="s">
        <v>69</v>
      </c>
      <c r="AZ18" s="83" t="s">
        <v>256</v>
      </c>
      <c r="BA18" s="50" t="s">
        <v>48</v>
      </c>
      <c r="BB18" s="89">
        <v>1</v>
      </c>
      <c r="BC18" s="50" t="s">
        <v>56</v>
      </c>
      <c r="BD18" s="70" t="s">
        <v>48</v>
      </c>
      <c r="BE18" s="70" t="s">
        <v>240</v>
      </c>
      <c r="BF18" s="96" t="s">
        <v>317</v>
      </c>
      <c r="BG18" s="148"/>
      <c r="BH18" s="111" t="s">
        <v>48</v>
      </c>
      <c r="BI18" s="73" t="s">
        <v>69</v>
      </c>
      <c r="BJ18" s="83" t="s">
        <v>48</v>
      </c>
      <c r="BK18" s="50" t="s">
        <v>116</v>
      </c>
      <c r="BL18" s="87" t="str">
        <f t="shared" si="4"/>
        <v>Low</v>
      </c>
      <c r="BM18" s="83" t="s">
        <v>56</v>
      </c>
      <c r="BN18" s="50" t="s">
        <v>128</v>
      </c>
      <c r="BO18" s="50" t="s">
        <v>80</v>
      </c>
      <c r="BP18" s="50" t="s">
        <v>119</v>
      </c>
      <c r="BQ18" s="96" t="str">
        <f t="shared" si="11"/>
        <v>High</v>
      </c>
      <c r="BR18" s="12">
        <f>1*14</f>
        <v>14</v>
      </c>
      <c r="BS18" s="2" t="s">
        <v>116</v>
      </c>
      <c r="BT18" s="14" t="s">
        <v>48</v>
      </c>
      <c r="BU18" s="20"/>
      <c r="BV18" s="14" t="s">
        <v>83</v>
      </c>
      <c r="BW18" s="2" t="s">
        <v>48</v>
      </c>
      <c r="BX18" s="2" t="s">
        <v>66</v>
      </c>
      <c r="BY18" s="2" t="s">
        <v>54</v>
      </c>
      <c r="BZ18" s="2" t="str">
        <f t="shared" si="5"/>
        <v>Low</v>
      </c>
      <c r="CA18" s="2" t="str">
        <f t="shared" si="6"/>
        <v>Low</v>
      </c>
      <c r="CB18" s="2" t="str">
        <f t="shared" si="7"/>
        <v>Low</v>
      </c>
      <c r="CC18" s="2" t="s">
        <v>69</v>
      </c>
      <c r="CD18" s="35"/>
      <c r="CE18" s="42" t="s">
        <v>54</v>
      </c>
      <c r="CF18" s="42"/>
      <c r="CG18" s="124" t="s">
        <v>54</v>
      </c>
      <c r="CH18" s="42"/>
      <c r="CI18" s="42" t="s">
        <v>54</v>
      </c>
      <c r="CJ18" s="42"/>
      <c r="CK18" s="33"/>
      <c r="CL18" s="28"/>
      <c r="CM18" s="127" t="s">
        <v>68</v>
      </c>
      <c r="CN18" s="28"/>
      <c r="CO18" s="28"/>
      <c r="CP18" s="33"/>
      <c r="CQ18" s="33" t="s">
        <v>54</v>
      </c>
      <c r="CR18" s="33"/>
      <c r="CS18" s="33" t="s">
        <v>54</v>
      </c>
      <c r="CT18" s="28"/>
      <c r="CU18" s="33" t="s">
        <v>48</v>
      </c>
      <c r="CV18" s="33"/>
      <c r="CW18" s="33" t="s">
        <v>70</v>
      </c>
      <c r="CX18" s="33" t="s">
        <v>149</v>
      </c>
      <c r="CY18" s="33" t="s">
        <v>54</v>
      </c>
      <c r="CZ18" s="28"/>
      <c r="DA18" s="42" t="s">
        <v>54</v>
      </c>
      <c r="DB18" s="42"/>
      <c r="DC18" s="42" t="s">
        <v>54</v>
      </c>
    </row>
    <row r="19" spans="1:107" ht="14.25" customHeight="1" x14ac:dyDescent="0.35">
      <c r="A19" s="43" t="s">
        <v>257</v>
      </c>
      <c r="B19" s="2" t="s">
        <v>258</v>
      </c>
      <c r="C19" s="7" t="s">
        <v>259</v>
      </c>
      <c r="D19" s="7" t="s">
        <v>260</v>
      </c>
      <c r="E19" s="2"/>
      <c r="F19" s="50" t="s">
        <v>261</v>
      </c>
      <c r="G19" s="55">
        <v>88</v>
      </c>
      <c r="H19" s="17" t="s">
        <v>528</v>
      </c>
      <c r="I19" s="72" t="s">
        <v>42</v>
      </c>
      <c r="J19" s="34" t="s">
        <v>42</v>
      </c>
      <c r="K19" s="34" t="s">
        <v>43</v>
      </c>
      <c r="L19" s="34" t="s">
        <v>42</v>
      </c>
      <c r="M19" s="34" t="s">
        <v>43</v>
      </c>
      <c r="N19" s="34" t="s">
        <v>43</v>
      </c>
      <c r="O19" s="34" t="s">
        <v>43</v>
      </c>
      <c r="P19" s="34" t="s">
        <v>639</v>
      </c>
      <c r="Q19" s="80" t="str">
        <f t="shared" si="8"/>
        <v>Low</v>
      </c>
      <c r="R19" s="55" t="s">
        <v>48</v>
      </c>
      <c r="S19" s="53" t="s">
        <v>623</v>
      </c>
      <c r="T19" s="17" t="s">
        <v>69</v>
      </c>
      <c r="U19" s="90">
        <v>3.8917030000000001</v>
      </c>
      <c r="V19" s="91"/>
      <c r="W19" s="17"/>
      <c r="X19" s="17" t="str">
        <f t="shared" si="9"/>
        <v>Low</v>
      </c>
      <c r="Y19" s="93">
        <v>36.656799999999997</v>
      </c>
      <c r="Z19" s="97" t="str">
        <f t="shared" si="0"/>
        <v>Low</v>
      </c>
      <c r="AA19" s="83" t="s">
        <v>54</v>
      </c>
      <c r="AB19" s="50"/>
      <c r="AC19" s="87" t="s">
        <v>54</v>
      </c>
      <c r="AD19" s="55" t="s">
        <v>82</v>
      </c>
      <c r="AE19" s="17" t="s">
        <v>83</v>
      </c>
      <c r="AF19" s="56" t="s">
        <v>69</v>
      </c>
      <c r="AG19" s="82" t="s">
        <v>48</v>
      </c>
      <c r="AH19" s="70" t="s">
        <v>167</v>
      </c>
      <c r="AI19" s="56" t="str">
        <f t="shared" si="10"/>
        <v>Low</v>
      </c>
      <c r="AJ19" s="57">
        <v>5.5252759999999999</v>
      </c>
      <c r="AK19" s="87" t="str">
        <f t="shared" si="2"/>
        <v>High</v>
      </c>
      <c r="AL19" s="110">
        <v>120</v>
      </c>
      <c r="AM19" s="50">
        <v>142</v>
      </c>
      <c r="AN19" s="50" t="s">
        <v>54</v>
      </c>
      <c r="AO19" s="50" t="s">
        <v>81</v>
      </c>
      <c r="AP19" s="87" t="str">
        <f t="shared" si="3"/>
        <v>Low</v>
      </c>
      <c r="AQ19" s="83" t="s">
        <v>48</v>
      </c>
      <c r="AR19" s="50" t="s">
        <v>263</v>
      </c>
      <c r="AS19" s="50" t="s">
        <v>81</v>
      </c>
      <c r="AT19" s="87" t="s">
        <v>69</v>
      </c>
      <c r="AU19" s="83" t="s">
        <v>104</v>
      </c>
      <c r="AV19" s="87" t="s">
        <v>69</v>
      </c>
      <c r="AW19" s="83" t="s">
        <v>105</v>
      </c>
      <c r="AX19" s="50" t="s">
        <v>672</v>
      </c>
      <c r="AY19" s="87" t="s">
        <v>69</v>
      </c>
      <c r="AZ19" s="83" t="s">
        <v>264</v>
      </c>
      <c r="BA19" s="50" t="s">
        <v>48</v>
      </c>
      <c r="BB19" s="89">
        <v>3</v>
      </c>
      <c r="BC19" s="50" t="s">
        <v>54</v>
      </c>
      <c r="BD19" s="70" t="s">
        <v>48</v>
      </c>
      <c r="BE19" s="50" t="s">
        <v>677</v>
      </c>
      <c r="BF19" s="87" t="s">
        <v>69</v>
      </c>
      <c r="BG19" s="148"/>
      <c r="BH19" s="111" t="s">
        <v>48</v>
      </c>
      <c r="BI19" s="73" t="s">
        <v>69</v>
      </c>
      <c r="BJ19" s="83" t="s">
        <v>48</v>
      </c>
      <c r="BK19" s="50" t="s">
        <v>81</v>
      </c>
      <c r="BL19" s="87" t="str">
        <f t="shared" si="4"/>
        <v>Low</v>
      </c>
      <c r="BM19" s="83" t="s">
        <v>56</v>
      </c>
      <c r="BN19" s="50" t="s">
        <v>97</v>
      </c>
      <c r="BO19" s="50" t="s">
        <v>80</v>
      </c>
      <c r="BP19" s="50" t="s">
        <v>262</v>
      </c>
      <c r="BQ19" s="96" t="str">
        <f t="shared" si="11"/>
        <v>High</v>
      </c>
      <c r="BR19" s="12">
        <f>4.5*3</f>
        <v>13.5</v>
      </c>
      <c r="BS19" s="2" t="s">
        <v>211</v>
      </c>
      <c r="BT19" s="14" t="s">
        <v>48</v>
      </c>
      <c r="BU19" s="20"/>
      <c r="BV19" s="14" t="s">
        <v>83</v>
      </c>
      <c r="BW19" s="2" t="s">
        <v>48</v>
      </c>
      <c r="BX19" s="2" t="s">
        <v>66</v>
      </c>
      <c r="BY19" s="2" t="s">
        <v>54</v>
      </c>
      <c r="BZ19" s="2" t="str">
        <f t="shared" si="5"/>
        <v>Low</v>
      </c>
      <c r="CA19" s="2" t="str">
        <f t="shared" si="6"/>
        <v>Low</v>
      </c>
      <c r="CB19" s="2" t="str">
        <f t="shared" si="7"/>
        <v>Low</v>
      </c>
      <c r="CC19" s="2" t="s">
        <v>69</v>
      </c>
      <c r="CD19" s="35"/>
      <c r="CE19" s="42" t="s">
        <v>54</v>
      </c>
      <c r="CF19" s="42"/>
      <c r="CG19" s="126">
        <v>23.192</v>
      </c>
      <c r="CH19" s="46" t="s">
        <v>67</v>
      </c>
      <c r="CI19" s="42">
        <v>23.192</v>
      </c>
      <c r="CJ19" s="42"/>
      <c r="CK19" s="33"/>
      <c r="CL19" s="28"/>
      <c r="CM19" s="127" t="s">
        <v>68</v>
      </c>
      <c r="CN19" s="28"/>
      <c r="CO19" s="28"/>
      <c r="CP19" s="33"/>
      <c r="CQ19" s="33" t="s">
        <v>54</v>
      </c>
      <c r="CR19" s="33"/>
      <c r="CS19" s="33" t="s">
        <v>54</v>
      </c>
      <c r="CT19" s="28"/>
      <c r="CU19" s="33" t="s">
        <v>48</v>
      </c>
      <c r="CV19" s="33"/>
      <c r="CW19" s="33" t="s">
        <v>87</v>
      </c>
      <c r="CX19" s="33" t="s">
        <v>149</v>
      </c>
      <c r="CY19" s="33" t="s">
        <v>54</v>
      </c>
      <c r="CZ19" s="28"/>
      <c r="DA19" s="42" t="s">
        <v>54</v>
      </c>
      <c r="DB19" s="42"/>
      <c r="DC19" s="42" t="s">
        <v>54</v>
      </c>
    </row>
    <row r="20" spans="1:107" ht="14.25" customHeight="1" x14ac:dyDescent="0.35">
      <c r="A20" s="43" t="s">
        <v>265</v>
      </c>
      <c r="B20" s="2" t="s">
        <v>190</v>
      </c>
      <c r="C20" s="7" t="s">
        <v>266</v>
      </c>
      <c r="D20" s="7" t="s">
        <v>267</v>
      </c>
      <c r="E20" s="15"/>
      <c r="F20" s="50" t="s">
        <v>268</v>
      </c>
      <c r="G20" s="55">
        <v>37</v>
      </c>
      <c r="H20" s="17" t="s">
        <v>528</v>
      </c>
      <c r="I20" s="72" t="s">
        <v>43</v>
      </c>
      <c r="J20" s="34" t="s">
        <v>42</v>
      </c>
      <c r="K20" s="34" t="s">
        <v>43</v>
      </c>
      <c r="L20" s="34" t="s">
        <v>42</v>
      </c>
      <c r="M20" s="34" t="s">
        <v>43</v>
      </c>
      <c r="N20" s="34" t="s">
        <v>43</v>
      </c>
      <c r="O20" s="34" t="s">
        <v>43</v>
      </c>
      <c r="P20" s="34" t="s">
        <v>610</v>
      </c>
      <c r="Q20" s="80" t="str">
        <f t="shared" si="8"/>
        <v>Low</v>
      </c>
      <c r="R20" s="82" t="s">
        <v>271</v>
      </c>
      <c r="S20" s="34" t="s">
        <v>691</v>
      </c>
      <c r="T20" s="17" t="s">
        <v>69</v>
      </c>
      <c r="U20" s="90">
        <v>3.2871220000000001</v>
      </c>
      <c r="V20" s="91"/>
      <c r="W20" s="17"/>
      <c r="X20" s="17" t="str">
        <f t="shared" si="9"/>
        <v>High</v>
      </c>
      <c r="Y20" s="93">
        <v>15.602169999999999</v>
      </c>
      <c r="Z20" s="97" t="str">
        <f t="shared" si="0"/>
        <v>High</v>
      </c>
      <c r="AA20" s="83" t="s">
        <v>139</v>
      </c>
      <c r="AB20" s="34" t="s">
        <v>691</v>
      </c>
      <c r="AC20" s="87" t="s">
        <v>317</v>
      </c>
      <c r="AD20" s="83" t="s">
        <v>269</v>
      </c>
      <c r="AE20" s="50" t="s">
        <v>168</v>
      </c>
      <c r="AF20" s="56" t="s">
        <v>69</v>
      </c>
      <c r="AG20" s="82" t="s">
        <v>48</v>
      </c>
      <c r="AH20" s="70" t="s">
        <v>167</v>
      </c>
      <c r="AI20" s="56" t="str">
        <f t="shared" si="10"/>
        <v>Low</v>
      </c>
      <c r="AJ20" s="57">
        <v>6.8355059999999996</v>
      </c>
      <c r="AK20" s="87" t="str">
        <f t="shared" si="2"/>
        <v>Low</v>
      </c>
      <c r="AL20" s="111">
        <v>80</v>
      </c>
      <c r="AM20" s="50" t="s">
        <v>54</v>
      </c>
      <c r="AN20" s="50">
        <v>114</v>
      </c>
      <c r="AO20" s="50" t="s">
        <v>81</v>
      </c>
      <c r="AP20" s="87" t="str">
        <f t="shared" si="3"/>
        <v>Low</v>
      </c>
      <c r="AQ20" s="83" t="s">
        <v>48</v>
      </c>
      <c r="AR20" s="50" t="s">
        <v>270</v>
      </c>
      <c r="AS20" s="34" t="s">
        <v>691</v>
      </c>
      <c r="AT20" s="87" t="s">
        <v>69</v>
      </c>
      <c r="AU20" s="83" t="s">
        <v>61</v>
      </c>
      <c r="AV20" s="87" t="s">
        <v>69</v>
      </c>
      <c r="AW20" s="83" t="s">
        <v>105</v>
      </c>
      <c r="AX20" s="34" t="s">
        <v>691</v>
      </c>
      <c r="AY20" s="87" t="s">
        <v>69</v>
      </c>
      <c r="AZ20" s="83" t="s">
        <v>272</v>
      </c>
      <c r="BA20" s="50" t="s">
        <v>48</v>
      </c>
      <c r="BB20" s="89" t="s">
        <v>231</v>
      </c>
      <c r="BC20" s="50" t="s">
        <v>48</v>
      </c>
      <c r="BD20" s="70" t="s">
        <v>48</v>
      </c>
      <c r="BE20" s="34" t="s">
        <v>691</v>
      </c>
      <c r="BF20" s="87" t="s">
        <v>69</v>
      </c>
      <c r="BG20" s="148"/>
      <c r="BH20" s="111" t="s">
        <v>48</v>
      </c>
      <c r="BI20" s="73" t="s">
        <v>69</v>
      </c>
      <c r="BJ20" s="83" t="s">
        <v>56</v>
      </c>
      <c r="BK20" s="50" t="s">
        <v>691</v>
      </c>
      <c r="BL20" s="87" t="str">
        <f t="shared" si="4"/>
        <v>High</v>
      </c>
      <c r="BM20" s="83" t="s">
        <v>56</v>
      </c>
      <c r="BN20" s="50" t="s">
        <v>97</v>
      </c>
      <c r="BO20" s="50" t="s">
        <v>80</v>
      </c>
      <c r="BP20" s="50" t="s">
        <v>168</v>
      </c>
      <c r="BQ20" s="96" t="str">
        <f t="shared" si="11"/>
        <v>High</v>
      </c>
      <c r="BR20" s="12">
        <f>2*2</f>
        <v>4</v>
      </c>
      <c r="BS20" s="2" t="s">
        <v>90</v>
      </c>
      <c r="BT20" s="14" t="s">
        <v>424</v>
      </c>
      <c r="BU20" s="20" t="s">
        <v>538</v>
      </c>
      <c r="BV20" s="14" t="s">
        <v>83</v>
      </c>
      <c r="BW20" s="2" t="s">
        <v>56</v>
      </c>
      <c r="BX20" s="2" t="s">
        <v>66</v>
      </c>
      <c r="BY20" s="2" t="s">
        <v>54</v>
      </c>
      <c r="BZ20" s="2" t="str">
        <f t="shared" si="5"/>
        <v>Low</v>
      </c>
      <c r="CA20" s="2" t="str">
        <f t="shared" si="6"/>
        <v>High</v>
      </c>
      <c r="CB20" s="2" t="str">
        <f t="shared" si="7"/>
        <v>High</v>
      </c>
      <c r="CC20" s="2" t="s">
        <v>139</v>
      </c>
      <c r="CD20" s="35"/>
      <c r="CE20" s="31">
        <v>20</v>
      </c>
      <c r="CF20" s="42" t="s">
        <v>273</v>
      </c>
      <c r="CG20" s="124" t="s">
        <v>54</v>
      </c>
      <c r="CH20" s="42"/>
      <c r="CI20" s="42" t="s">
        <v>274</v>
      </c>
      <c r="CJ20" s="42" t="s">
        <v>90</v>
      </c>
      <c r="CK20" s="33"/>
      <c r="CL20" s="28"/>
      <c r="CM20" s="28"/>
      <c r="CN20" s="28"/>
      <c r="CO20" s="28"/>
      <c r="CP20" s="33"/>
      <c r="CQ20" s="33" t="s">
        <v>54</v>
      </c>
      <c r="CR20" s="33"/>
      <c r="CS20" s="33" t="s">
        <v>56</v>
      </c>
      <c r="CT20" s="33" t="s">
        <v>275</v>
      </c>
      <c r="CU20" s="33" t="s">
        <v>48</v>
      </c>
      <c r="CV20" s="33"/>
      <c r="CW20" s="33" t="s">
        <v>87</v>
      </c>
      <c r="CX20" s="33" t="s">
        <v>81</v>
      </c>
      <c r="CY20" s="33" t="s">
        <v>54</v>
      </c>
      <c r="CZ20" s="28"/>
      <c r="DA20" s="42" t="s">
        <v>54</v>
      </c>
      <c r="DB20" s="42"/>
      <c r="DC20" s="42" t="s">
        <v>54</v>
      </c>
    </row>
    <row r="21" spans="1:107" ht="14.25" customHeight="1" x14ac:dyDescent="0.35">
      <c r="A21" s="43" t="s">
        <v>276</v>
      </c>
      <c r="B21" s="2" t="s">
        <v>277</v>
      </c>
      <c r="C21" s="7" t="s">
        <v>278</v>
      </c>
      <c r="D21" s="7" t="s">
        <v>279</v>
      </c>
      <c r="E21" s="2"/>
      <c r="F21" s="50" t="s">
        <v>280</v>
      </c>
      <c r="G21" s="55">
        <v>70</v>
      </c>
      <c r="H21" s="17" t="s">
        <v>528</v>
      </c>
      <c r="I21" s="72" t="s">
        <v>42</v>
      </c>
      <c r="J21" s="34" t="s">
        <v>43</v>
      </c>
      <c r="K21" s="34" t="s">
        <v>43</v>
      </c>
      <c r="L21" s="34" t="s">
        <v>42</v>
      </c>
      <c r="M21" s="34" t="s">
        <v>43</v>
      </c>
      <c r="N21" s="34" t="s">
        <v>43</v>
      </c>
      <c r="O21" s="34" t="s">
        <v>42</v>
      </c>
      <c r="P21" s="34" t="s">
        <v>611</v>
      </c>
      <c r="Q21" s="80" t="str">
        <f t="shared" si="8"/>
        <v>Low</v>
      </c>
      <c r="R21" s="82" t="s">
        <v>282</v>
      </c>
      <c r="S21" s="34" t="s">
        <v>641</v>
      </c>
      <c r="T21" s="17" t="s">
        <v>69</v>
      </c>
      <c r="U21" s="90">
        <v>3.7177959999999999</v>
      </c>
      <c r="V21" s="91"/>
      <c r="W21" s="17"/>
      <c r="X21" s="17" t="str">
        <f t="shared" si="9"/>
        <v>Low</v>
      </c>
      <c r="Y21" s="93">
        <v>31.93966</v>
      </c>
      <c r="Z21" s="97" t="str">
        <f t="shared" si="0"/>
        <v>Low</v>
      </c>
      <c r="AA21" s="83" t="s">
        <v>69</v>
      </c>
      <c r="AB21" s="50" t="s">
        <v>119</v>
      </c>
      <c r="AC21" s="87" t="s">
        <v>69</v>
      </c>
      <c r="AD21" s="55" t="s">
        <v>51</v>
      </c>
      <c r="AE21" s="70" t="s">
        <v>52</v>
      </c>
      <c r="AF21" s="56" t="s">
        <v>69</v>
      </c>
      <c r="AG21" s="82" t="s">
        <v>48</v>
      </c>
      <c r="AH21" s="70" t="s">
        <v>167</v>
      </c>
      <c r="AI21" s="56" t="str">
        <f t="shared" si="10"/>
        <v>Low</v>
      </c>
      <c r="AJ21" s="57">
        <v>5.4121620000000004</v>
      </c>
      <c r="AK21" s="87" t="str">
        <f t="shared" si="2"/>
        <v>High</v>
      </c>
      <c r="AL21" s="110">
        <v>612</v>
      </c>
      <c r="AM21" s="50">
        <v>596</v>
      </c>
      <c r="AN21" s="50">
        <v>628</v>
      </c>
      <c r="AO21" s="50" t="s">
        <v>81</v>
      </c>
      <c r="AP21" s="87" t="str">
        <f t="shared" si="3"/>
        <v>Low</v>
      </c>
      <c r="AQ21" s="83" t="s">
        <v>48</v>
      </c>
      <c r="AR21" s="50" t="s">
        <v>281</v>
      </c>
      <c r="AS21" s="50" t="s">
        <v>116</v>
      </c>
      <c r="AT21" s="87" t="s">
        <v>69</v>
      </c>
      <c r="AU21" s="83" t="s">
        <v>61</v>
      </c>
      <c r="AV21" s="87" t="s">
        <v>69</v>
      </c>
      <c r="AW21" s="55" t="s">
        <v>105</v>
      </c>
      <c r="AX21" s="70" t="s">
        <v>141</v>
      </c>
      <c r="AY21" s="87" t="s">
        <v>69</v>
      </c>
      <c r="AZ21" s="83" t="s">
        <v>283</v>
      </c>
      <c r="BA21" s="50" t="s">
        <v>48</v>
      </c>
      <c r="BB21" s="89">
        <v>1</v>
      </c>
      <c r="BC21" s="70" t="s">
        <v>56</v>
      </c>
      <c r="BD21" s="70" t="s">
        <v>48</v>
      </c>
      <c r="BE21" s="70" t="s">
        <v>238</v>
      </c>
      <c r="BF21" s="96" t="s">
        <v>317</v>
      </c>
      <c r="BG21" s="148"/>
      <c r="BH21" s="111" t="s">
        <v>48</v>
      </c>
      <c r="BI21" s="73" t="s">
        <v>69</v>
      </c>
      <c r="BJ21" s="83" t="s">
        <v>56</v>
      </c>
      <c r="BK21" s="50" t="s">
        <v>641</v>
      </c>
      <c r="BL21" s="87" t="str">
        <f t="shared" si="4"/>
        <v>High</v>
      </c>
      <c r="BM21" s="83" t="s">
        <v>48</v>
      </c>
      <c r="BN21" s="50" t="s">
        <v>128</v>
      </c>
      <c r="BO21" s="50" t="s">
        <v>50</v>
      </c>
      <c r="BP21" s="50" t="s">
        <v>119</v>
      </c>
      <c r="BQ21" s="96" t="str">
        <f t="shared" si="11"/>
        <v>Low</v>
      </c>
      <c r="BR21" s="12">
        <f>7.5*1</f>
        <v>7.5</v>
      </c>
      <c r="BS21" s="2" t="s">
        <v>119</v>
      </c>
      <c r="BT21" s="14" t="s">
        <v>48</v>
      </c>
      <c r="BU21" s="20"/>
      <c r="BV21" s="14" t="s">
        <v>83</v>
      </c>
      <c r="BW21" s="14" t="s">
        <v>284</v>
      </c>
      <c r="BX21" s="14" t="s">
        <v>141</v>
      </c>
      <c r="BY21" s="2" t="s">
        <v>54</v>
      </c>
      <c r="BZ21" s="2" t="str">
        <f t="shared" si="5"/>
        <v>Low</v>
      </c>
      <c r="CA21" s="2" t="str">
        <f t="shared" si="6"/>
        <v>Low</v>
      </c>
      <c r="CB21" s="2" t="s">
        <v>69</v>
      </c>
      <c r="CC21" s="2" t="s">
        <v>69</v>
      </c>
      <c r="CD21" s="35"/>
      <c r="CE21" s="42" t="s">
        <v>54</v>
      </c>
      <c r="CF21" s="42"/>
      <c r="CG21" s="124" t="s">
        <v>54</v>
      </c>
      <c r="CH21" s="42"/>
      <c r="CI21" s="42" t="s">
        <v>54</v>
      </c>
      <c r="CJ21" s="42"/>
      <c r="CK21" s="33"/>
      <c r="CL21" s="28"/>
      <c r="CM21" s="28"/>
      <c r="CN21" s="28"/>
      <c r="CO21" s="28"/>
      <c r="CP21" s="33"/>
      <c r="CQ21" s="33" t="s">
        <v>54</v>
      </c>
      <c r="CR21" s="33"/>
      <c r="CS21" s="33" t="s">
        <v>54</v>
      </c>
      <c r="CT21" s="28"/>
      <c r="CU21" s="33" t="s">
        <v>56</v>
      </c>
      <c r="CV21" s="33" t="s">
        <v>285</v>
      </c>
      <c r="CW21" s="33" t="s">
        <v>87</v>
      </c>
      <c r="CX21" s="33" t="s">
        <v>149</v>
      </c>
      <c r="CY21" s="33" t="s">
        <v>54</v>
      </c>
      <c r="CZ21" s="28"/>
      <c r="DA21" s="42" t="s">
        <v>54</v>
      </c>
      <c r="DB21" s="42"/>
      <c r="DC21" s="42" t="s">
        <v>54</v>
      </c>
    </row>
    <row r="22" spans="1:107" ht="14.25" customHeight="1" x14ac:dyDescent="0.35">
      <c r="A22" s="43" t="s">
        <v>286</v>
      </c>
      <c r="B22" s="2" t="s">
        <v>110</v>
      </c>
      <c r="C22" s="7" t="s">
        <v>287</v>
      </c>
      <c r="D22" s="7" t="s">
        <v>288</v>
      </c>
      <c r="E22" s="7"/>
      <c r="F22" s="50" t="s">
        <v>289</v>
      </c>
      <c r="G22" s="55">
        <v>71</v>
      </c>
      <c r="H22" s="17" t="s">
        <v>528</v>
      </c>
      <c r="I22" s="72" t="s">
        <v>43</v>
      </c>
      <c r="J22" s="34" t="s">
        <v>43</v>
      </c>
      <c r="K22" s="34" t="s">
        <v>43</v>
      </c>
      <c r="L22" s="34" t="s">
        <v>42</v>
      </c>
      <c r="M22" s="34" t="s">
        <v>43</v>
      </c>
      <c r="N22" s="34" t="s">
        <v>43</v>
      </c>
      <c r="O22" s="34" t="s">
        <v>43</v>
      </c>
      <c r="P22" s="34" t="s">
        <v>614</v>
      </c>
      <c r="Q22" s="80" t="str">
        <f t="shared" si="8"/>
        <v>Low</v>
      </c>
      <c r="R22" s="82" t="s">
        <v>291</v>
      </c>
      <c r="S22" s="34" t="s">
        <v>643</v>
      </c>
      <c r="T22" s="17" t="s">
        <v>69</v>
      </c>
      <c r="U22" s="90">
        <v>3.9621499999999998</v>
      </c>
      <c r="V22" s="91"/>
      <c r="W22" s="17"/>
      <c r="X22" s="17" t="str">
        <f t="shared" si="9"/>
        <v>Low</v>
      </c>
      <c r="Y22" s="93">
        <v>30.338000000000001</v>
      </c>
      <c r="Z22" s="97" t="str">
        <f t="shared" si="0"/>
        <v>Low</v>
      </c>
      <c r="AA22" s="83" t="s">
        <v>54</v>
      </c>
      <c r="AB22" s="50"/>
      <c r="AC22" s="87" t="s">
        <v>54</v>
      </c>
      <c r="AD22" s="55" t="s">
        <v>82</v>
      </c>
      <c r="AE22" s="70" t="s">
        <v>83</v>
      </c>
      <c r="AF22" s="56" t="s">
        <v>69</v>
      </c>
      <c r="AG22" s="82" t="s">
        <v>48</v>
      </c>
      <c r="AH22" s="70" t="s">
        <v>167</v>
      </c>
      <c r="AI22" s="56" t="str">
        <f t="shared" si="10"/>
        <v>Low</v>
      </c>
      <c r="AJ22" s="107" t="s">
        <v>546</v>
      </c>
      <c r="AK22" s="87" t="str">
        <f t="shared" si="2"/>
        <v>Low</v>
      </c>
      <c r="AL22" s="110">
        <v>551</v>
      </c>
      <c r="AM22" s="50">
        <v>459</v>
      </c>
      <c r="AN22" s="50">
        <v>643</v>
      </c>
      <c r="AO22" s="50" t="s">
        <v>81</v>
      </c>
      <c r="AP22" s="87" t="str">
        <f t="shared" si="3"/>
        <v>Low</v>
      </c>
      <c r="AQ22" s="83" t="s">
        <v>48</v>
      </c>
      <c r="AR22" s="50" t="s">
        <v>290</v>
      </c>
      <c r="AS22" s="50" t="s">
        <v>119</v>
      </c>
      <c r="AT22" s="87" t="s">
        <v>69</v>
      </c>
      <c r="AU22" s="83" t="s">
        <v>61</v>
      </c>
      <c r="AV22" s="87" t="s">
        <v>69</v>
      </c>
      <c r="AW22" s="55" t="s">
        <v>105</v>
      </c>
      <c r="AX22" s="70" t="s">
        <v>141</v>
      </c>
      <c r="AY22" s="87" t="s">
        <v>69</v>
      </c>
      <c r="AZ22" s="83" t="s">
        <v>283</v>
      </c>
      <c r="BA22" s="50" t="s">
        <v>48</v>
      </c>
      <c r="BB22" s="89">
        <v>1</v>
      </c>
      <c r="BC22" s="70" t="s">
        <v>56</v>
      </c>
      <c r="BD22" s="70" t="s">
        <v>48</v>
      </c>
      <c r="BE22" s="70" t="s">
        <v>238</v>
      </c>
      <c r="BF22" s="96" t="s">
        <v>317</v>
      </c>
      <c r="BG22" s="148"/>
      <c r="BH22" s="111" t="s">
        <v>48</v>
      </c>
      <c r="BI22" s="73" t="s">
        <v>69</v>
      </c>
      <c r="BJ22" s="83" t="s">
        <v>56</v>
      </c>
      <c r="BK22" s="50" t="s">
        <v>643</v>
      </c>
      <c r="BL22" s="87" t="str">
        <f t="shared" si="4"/>
        <v>High</v>
      </c>
      <c r="BM22" s="83" t="s">
        <v>48</v>
      </c>
      <c r="BN22" s="50" t="s">
        <v>128</v>
      </c>
      <c r="BO22" s="50" t="s">
        <v>80</v>
      </c>
      <c r="BP22" s="50" t="s">
        <v>119</v>
      </c>
      <c r="BQ22" s="96" t="str">
        <f t="shared" si="11"/>
        <v>Low</v>
      </c>
      <c r="BR22" s="12">
        <f>10*1</f>
        <v>10</v>
      </c>
      <c r="BS22" s="2" t="s">
        <v>116</v>
      </c>
      <c r="BT22" s="14" t="s">
        <v>48</v>
      </c>
      <c r="BU22" s="20"/>
      <c r="BV22" s="14" t="s">
        <v>83</v>
      </c>
      <c r="BW22" s="2" t="s">
        <v>48</v>
      </c>
      <c r="BX22" s="2" t="s">
        <v>66</v>
      </c>
      <c r="BY22" s="2" t="s">
        <v>54</v>
      </c>
      <c r="BZ22" s="2" t="str">
        <f t="shared" si="5"/>
        <v>Low</v>
      </c>
      <c r="CA22" s="2" t="str">
        <f t="shared" si="6"/>
        <v>Low</v>
      </c>
      <c r="CB22" s="2" t="str">
        <f t="shared" si="7"/>
        <v>Low</v>
      </c>
      <c r="CC22" s="2" t="s">
        <v>69</v>
      </c>
      <c r="CD22" s="35"/>
      <c r="CE22" s="42" t="s">
        <v>54</v>
      </c>
      <c r="CF22" s="42"/>
      <c r="CG22" s="124" t="s">
        <v>54</v>
      </c>
      <c r="CH22" s="42"/>
      <c r="CI22" s="42" t="s">
        <v>54</v>
      </c>
      <c r="CJ22" s="42"/>
      <c r="CK22" s="33"/>
      <c r="CL22" s="28"/>
      <c r="CM22" s="28"/>
      <c r="CN22" s="28"/>
      <c r="CO22" s="28"/>
      <c r="CP22" s="33"/>
      <c r="CQ22" s="33" t="s">
        <v>54</v>
      </c>
      <c r="CR22" s="33"/>
      <c r="CS22" s="33" t="s">
        <v>54</v>
      </c>
      <c r="CT22" s="28"/>
      <c r="CU22" s="33" t="s">
        <v>48</v>
      </c>
      <c r="CV22" s="33"/>
      <c r="CW22" s="33" t="s">
        <v>87</v>
      </c>
      <c r="CX22" s="33" t="s">
        <v>149</v>
      </c>
      <c r="CY22" s="33" t="s">
        <v>54</v>
      </c>
      <c r="CZ22" s="28"/>
      <c r="DA22" s="42" t="s">
        <v>54</v>
      </c>
      <c r="DB22" s="42"/>
      <c r="DC22" s="42" t="s">
        <v>54</v>
      </c>
    </row>
    <row r="23" spans="1:107" ht="14.25" customHeight="1" x14ac:dyDescent="0.35">
      <c r="A23" s="43" t="s">
        <v>292</v>
      </c>
      <c r="B23" s="2" t="s">
        <v>110</v>
      </c>
      <c r="C23" s="7" t="s">
        <v>287</v>
      </c>
      <c r="D23" s="7" t="s">
        <v>293</v>
      </c>
      <c r="E23" s="15"/>
      <c r="F23" s="50" t="s">
        <v>294</v>
      </c>
      <c r="G23" s="55">
        <v>67</v>
      </c>
      <c r="H23" s="17" t="s">
        <v>528</v>
      </c>
      <c r="I23" s="72" t="s">
        <v>42</v>
      </c>
      <c r="J23" s="34" t="s">
        <v>43</v>
      </c>
      <c r="K23" s="34" t="s">
        <v>43</v>
      </c>
      <c r="L23" s="34" t="s">
        <v>42</v>
      </c>
      <c r="M23" s="34" t="s">
        <v>43</v>
      </c>
      <c r="N23" s="34" t="s">
        <v>43</v>
      </c>
      <c r="O23" s="34" t="s">
        <v>43</v>
      </c>
      <c r="P23" s="34" t="s">
        <v>612</v>
      </c>
      <c r="Q23" s="80" t="str">
        <f t="shared" si="8"/>
        <v>Low</v>
      </c>
      <c r="R23" s="55" t="s">
        <v>48</v>
      </c>
      <c r="S23" s="53" t="s">
        <v>644</v>
      </c>
      <c r="T23" s="17" t="s">
        <v>69</v>
      </c>
      <c r="U23" s="90">
        <v>3.5907580000000001</v>
      </c>
      <c r="V23" s="91"/>
      <c r="W23" s="17"/>
      <c r="X23" s="17" t="str">
        <f t="shared" si="9"/>
        <v>Low</v>
      </c>
      <c r="Y23" s="93">
        <v>34.96228</v>
      </c>
      <c r="Z23" s="97" t="str">
        <f t="shared" si="0"/>
        <v>Low</v>
      </c>
      <c r="AA23" s="83" t="s">
        <v>69</v>
      </c>
      <c r="AB23" s="50" t="s">
        <v>81</v>
      </c>
      <c r="AC23" s="87" t="s">
        <v>69</v>
      </c>
      <c r="AD23" s="55" t="s">
        <v>296</v>
      </c>
      <c r="AE23" s="70" t="s">
        <v>297</v>
      </c>
      <c r="AF23" s="56" t="s">
        <v>69</v>
      </c>
      <c r="AG23" s="82" t="s">
        <v>48</v>
      </c>
      <c r="AH23" s="70" t="s">
        <v>141</v>
      </c>
      <c r="AI23" s="56" t="str">
        <f t="shared" si="10"/>
        <v>Low</v>
      </c>
      <c r="AJ23" s="57">
        <v>8.4285189999999997</v>
      </c>
      <c r="AK23" s="87" t="str">
        <f t="shared" si="2"/>
        <v>Low</v>
      </c>
      <c r="AL23" s="110">
        <v>547.5</v>
      </c>
      <c r="AM23" s="50">
        <v>460</v>
      </c>
      <c r="AN23" s="50">
        <v>635</v>
      </c>
      <c r="AO23" s="50" t="s">
        <v>81</v>
      </c>
      <c r="AP23" s="87" t="str">
        <f t="shared" si="3"/>
        <v>Low</v>
      </c>
      <c r="AQ23" s="83" t="s">
        <v>48</v>
      </c>
      <c r="AR23" s="50" t="s">
        <v>298</v>
      </c>
      <c r="AS23" s="50" t="s">
        <v>119</v>
      </c>
      <c r="AT23" s="87" t="s">
        <v>69</v>
      </c>
      <c r="AU23" s="83" t="s">
        <v>61</v>
      </c>
      <c r="AV23" s="87" t="s">
        <v>69</v>
      </c>
      <c r="AW23" s="55" t="s">
        <v>105</v>
      </c>
      <c r="AX23" s="70" t="s">
        <v>141</v>
      </c>
      <c r="AY23" s="87" t="s">
        <v>69</v>
      </c>
      <c r="AZ23" s="83" t="s">
        <v>54</v>
      </c>
      <c r="BA23" s="50" t="s">
        <v>54</v>
      </c>
      <c r="BB23" s="89">
        <v>1</v>
      </c>
      <c r="BC23" s="70" t="s">
        <v>56</v>
      </c>
      <c r="BD23" s="70" t="s">
        <v>48</v>
      </c>
      <c r="BE23" s="70" t="s">
        <v>141</v>
      </c>
      <c r="BF23" s="96" t="s">
        <v>54</v>
      </c>
      <c r="BG23" s="148"/>
      <c r="BH23" s="111" t="s">
        <v>48</v>
      </c>
      <c r="BI23" s="73" t="s">
        <v>69</v>
      </c>
      <c r="BJ23" s="83" t="s">
        <v>56</v>
      </c>
      <c r="BK23" s="50" t="s">
        <v>693</v>
      </c>
      <c r="BL23" s="87" t="str">
        <f t="shared" si="4"/>
        <v>High</v>
      </c>
      <c r="BM23" s="83" t="s">
        <v>48</v>
      </c>
      <c r="BN23" s="50" t="s">
        <v>226</v>
      </c>
      <c r="BO23" s="50" t="s">
        <v>80</v>
      </c>
      <c r="BP23" s="50" t="s">
        <v>119</v>
      </c>
      <c r="BQ23" s="96" t="str">
        <f t="shared" si="11"/>
        <v>Low</v>
      </c>
      <c r="BR23" s="22">
        <v>4.5</v>
      </c>
      <c r="BS23" s="14" t="s">
        <v>141</v>
      </c>
      <c r="BT23" s="14" t="s">
        <v>48</v>
      </c>
      <c r="BU23" s="20"/>
      <c r="BV23" s="14" t="s">
        <v>83</v>
      </c>
      <c r="BW23" s="2" t="s">
        <v>48</v>
      </c>
      <c r="BX23" s="2" t="s">
        <v>66</v>
      </c>
      <c r="BY23" s="2" t="s">
        <v>54</v>
      </c>
      <c r="BZ23" s="2" t="str">
        <f t="shared" si="5"/>
        <v>Low</v>
      </c>
      <c r="CA23" s="2" t="str">
        <f t="shared" si="6"/>
        <v>Low</v>
      </c>
      <c r="CB23" s="2" t="str">
        <f t="shared" si="7"/>
        <v>Low</v>
      </c>
      <c r="CC23" s="2" t="s">
        <v>69</v>
      </c>
      <c r="CD23" s="35"/>
      <c r="CE23" s="42" t="s">
        <v>54</v>
      </c>
      <c r="CF23" s="42"/>
      <c r="CG23" s="124" t="s">
        <v>54</v>
      </c>
      <c r="CH23" s="42"/>
      <c r="CI23" s="42" t="s">
        <v>54</v>
      </c>
      <c r="CJ23" s="42"/>
      <c r="CK23" s="33"/>
      <c r="CL23" s="28"/>
      <c r="CM23" s="28"/>
      <c r="CN23" s="28"/>
      <c r="CO23" s="28"/>
      <c r="CP23" s="33"/>
      <c r="CQ23" s="33" t="s">
        <v>54</v>
      </c>
      <c r="CR23" s="33"/>
      <c r="CS23" s="33" t="s">
        <v>54</v>
      </c>
      <c r="CT23" s="28"/>
      <c r="CU23" s="33" t="s">
        <v>48</v>
      </c>
      <c r="CV23" s="33"/>
      <c r="CW23" s="33" t="s">
        <v>87</v>
      </c>
      <c r="CX23" s="33" t="s">
        <v>159</v>
      </c>
      <c r="CY23" s="33" t="s">
        <v>54</v>
      </c>
      <c r="CZ23" s="28"/>
      <c r="DA23" s="42" t="s">
        <v>54</v>
      </c>
      <c r="DB23" s="42"/>
      <c r="DC23" s="42" t="s">
        <v>54</v>
      </c>
    </row>
    <row r="24" spans="1:107" ht="14.25" customHeight="1" x14ac:dyDescent="0.35">
      <c r="A24" s="43" t="s">
        <v>299</v>
      </c>
      <c r="B24" s="2" t="s">
        <v>300</v>
      </c>
      <c r="C24" s="7" t="s">
        <v>301</v>
      </c>
      <c r="D24" s="7" t="s">
        <v>302</v>
      </c>
      <c r="E24" s="7"/>
      <c r="F24" s="50" t="s">
        <v>303</v>
      </c>
      <c r="G24" s="55">
        <v>42</v>
      </c>
      <c r="H24" s="17" t="s">
        <v>528</v>
      </c>
      <c r="I24" s="72" t="s">
        <v>42</v>
      </c>
      <c r="J24" s="34" t="s">
        <v>43</v>
      </c>
      <c r="K24" s="34" t="s">
        <v>43</v>
      </c>
      <c r="L24" s="34" t="s">
        <v>43</v>
      </c>
      <c r="M24" s="34" t="s">
        <v>43</v>
      </c>
      <c r="N24" s="34" t="s">
        <v>43</v>
      </c>
      <c r="O24" s="34" t="s">
        <v>43</v>
      </c>
      <c r="P24" s="34" t="s">
        <v>613</v>
      </c>
      <c r="Q24" s="80" t="str">
        <f t="shared" si="8"/>
        <v>Low</v>
      </c>
      <c r="R24" s="55" t="s">
        <v>48</v>
      </c>
      <c r="S24" s="53" t="s">
        <v>304</v>
      </c>
      <c r="T24" s="17" t="s">
        <v>69</v>
      </c>
      <c r="U24" s="90">
        <v>3.2602289999999998</v>
      </c>
      <c r="V24" s="91"/>
      <c r="W24" s="17"/>
      <c r="X24" s="17" t="str">
        <f t="shared" si="9"/>
        <v>High</v>
      </c>
      <c r="Y24" s="93">
        <v>17.772400000000001</v>
      </c>
      <c r="Z24" s="97" t="str">
        <f t="shared" si="0"/>
        <v>High</v>
      </c>
      <c r="AA24" s="83" t="s">
        <v>69</v>
      </c>
      <c r="AB24" s="53" t="s">
        <v>304</v>
      </c>
      <c r="AC24" s="87" t="s">
        <v>69</v>
      </c>
      <c r="AD24" s="55" t="s">
        <v>51</v>
      </c>
      <c r="AE24" s="70" t="s">
        <v>52</v>
      </c>
      <c r="AF24" s="56" t="s">
        <v>69</v>
      </c>
      <c r="AG24" s="83" t="s">
        <v>48</v>
      </c>
      <c r="AH24" s="50" t="s">
        <v>304</v>
      </c>
      <c r="AI24" s="56" t="str">
        <f t="shared" si="10"/>
        <v>Low</v>
      </c>
      <c r="AJ24" s="57">
        <v>7.2046950000000001</v>
      </c>
      <c r="AK24" s="87" t="str">
        <f t="shared" si="2"/>
        <v>Low</v>
      </c>
      <c r="AL24" s="110">
        <v>196</v>
      </c>
      <c r="AM24" s="50">
        <v>196</v>
      </c>
      <c r="AN24" s="50" t="s">
        <v>54</v>
      </c>
      <c r="AO24" s="50" t="s">
        <v>81</v>
      </c>
      <c r="AP24" s="87" t="str">
        <f t="shared" si="3"/>
        <v>Low</v>
      </c>
      <c r="AQ24" s="83" t="s">
        <v>56</v>
      </c>
      <c r="AR24" s="50" t="s">
        <v>668</v>
      </c>
      <c r="AS24" s="50" t="s">
        <v>667</v>
      </c>
      <c r="AT24" s="87" t="s">
        <v>69</v>
      </c>
      <c r="AU24" s="83" t="s">
        <v>61</v>
      </c>
      <c r="AV24" s="87" t="s">
        <v>69</v>
      </c>
      <c r="AW24" s="55" t="s">
        <v>105</v>
      </c>
      <c r="AX24" s="70" t="s">
        <v>141</v>
      </c>
      <c r="AY24" s="87" t="s">
        <v>69</v>
      </c>
      <c r="AZ24" s="83" t="s">
        <v>54</v>
      </c>
      <c r="BA24" s="50" t="s">
        <v>54</v>
      </c>
      <c r="BB24" s="89">
        <v>1</v>
      </c>
      <c r="BC24" s="70" t="s">
        <v>56</v>
      </c>
      <c r="BD24" s="70" t="s">
        <v>48</v>
      </c>
      <c r="BE24" s="70" t="s">
        <v>141</v>
      </c>
      <c r="BF24" s="96" t="s">
        <v>54</v>
      </c>
      <c r="BG24" s="148"/>
      <c r="BH24" s="111" t="s">
        <v>48</v>
      </c>
      <c r="BI24" s="73" t="s">
        <v>69</v>
      </c>
      <c r="BJ24" s="83" t="s">
        <v>56</v>
      </c>
      <c r="BK24" s="50" t="s">
        <v>694</v>
      </c>
      <c r="BL24" s="87" t="str">
        <f t="shared" si="4"/>
        <v>High</v>
      </c>
      <c r="BM24" s="83" t="s">
        <v>48</v>
      </c>
      <c r="BN24" s="50" t="s">
        <v>128</v>
      </c>
      <c r="BO24" s="50" t="s">
        <v>50</v>
      </c>
      <c r="BP24" s="50" t="s">
        <v>119</v>
      </c>
      <c r="BQ24" s="96" t="str">
        <f t="shared" si="11"/>
        <v>Low</v>
      </c>
      <c r="BR24" s="12">
        <f>4.5*1</f>
        <v>4.5</v>
      </c>
      <c r="BS24" s="2" t="s">
        <v>232</v>
      </c>
      <c r="BT24" s="14" t="s">
        <v>48</v>
      </c>
      <c r="BU24" s="20"/>
      <c r="BV24" s="14" t="s">
        <v>83</v>
      </c>
      <c r="BW24" s="2" t="s">
        <v>48</v>
      </c>
      <c r="BX24" s="2" t="s">
        <v>66</v>
      </c>
      <c r="BY24" s="2" t="s">
        <v>54</v>
      </c>
      <c r="BZ24" s="2" t="str">
        <f t="shared" si="5"/>
        <v>Low</v>
      </c>
      <c r="CA24" s="2" t="str">
        <f t="shared" si="6"/>
        <v>Low</v>
      </c>
      <c r="CB24" s="2" t="str">
        <f t="shared" si="7"/>
        <v>Low</v>
      </c>
      <c r="CC24" s="2" t="s">
        <v>69</v>
      </c>
      <c r="CD24" s="35"/>
      <c r="CE24" s="42" t="s">
        <v>54</v>
      </c>
      <c r="CF24" s="42"/>
      <c r="CG24" s="124" t="s">
        <v>54</v>
      </c>
      <c r="CH24" s="42"/>
      <c r="CI24" s="42" t="s">
        <v>54</v>
      </c>
      <c r="CJ24" s="42"/>
      <c r="CK24" s="33"/>
      <c r="CL24" s="28"/>
      <c r="CM24" s="28"/>
      <c r="CN24" s="28"/>
      <c r="CO24" s="28"/>
      <c r="CP24" s="33"/>
      <c r="CQ24" s="33" t="s">
        <v>54</v>
      </c>
      <c r="CR24" s="33"/>
      <c r="CS24" s="33" t="s">
        <v>54</v>
      </c>
      <c r="CT24" s="28"/>
      <c r="CU24" s="33" t="s">
        <v>48</v>
      </c>
      <c r="CV24" s="33"/>
      <c r="CW24" s="33" t="s">
        <v>87</v>
      </c>
      <c r="CX24" s="33" t="s">
        <v>159</v>
      </c>
      <c r="CY24" s="33" t="s">
        <v>54</v>
      </c>
      <c r="CZ24" s="28"/>
      <c r="DA24" s="42" t="s">
        <v>54</v>
      </c>
      <c r="DB24" s="42"/>
      <c r="DC24" s="42" t="s">
        <v>54</v>
      </c>
    </row>
    <row r="25" spans="1:107" ht="14.25" customHeight="1" x14ac:dyDescent="0.35">
      <c r="A25" s="43" t="s">
        <v>305</v>
      </c>
      <c r="B25" s="2" t="s">
        <v>110</v>
      </c>
      <c r="C25" s="7" t="s">
        <v>306</v>
      </c>
      <c r="D25" s="7" t="s">
        <v>307</v>
      </c>
      <c r="E25" s="2" t="s">
        <v>308</v>
      </c>
      <c r="F25" s="50" t="s">
        <v>309</v>
      </c>
      <c r="G25" s="55">
        <v>71</v>
      </c>
      <c r="H25" s="17" t="s">
        <v>528</v>
      </c>
      <c r="I25" s="72" t="s">
        <v>42</v>
      </c>
      <c r="J25" s="34" t="s">
        <v>43</v>
      </c>
      <c r="K25" s="34" t="s">
        <v>43</v>
      </c>
      <c r="L25" s="34" t="s">
        <v>42</v>
      </c>
      <c r="M25" s="34" t="s">
        <v>42</v>
      </c>
      <c r="N25" s="53" t="s">
        <v>43</v>
      </c>
      <c r="O25" s="34" t="s">
        <v>43</v>
      </c>
      <c r="P25" s="34" t="s">
        <v>310</v>
      </c>
      <c r="Q25" s="80" t="s">
        <v>69</v>
      </c>
      <c r="R25" s="55" t="s">
        <v>48</v>
      </c>
      <c r="S25" s="53" t="s">
        <v>645</v>
      </c>
      <c r="T25" s="17" t="s">
        <v>69</v>
      </c>
      <c r="U25" s="90">
        <v>3.30383</v>
      </c>
      <c r="V25" s="91"/>
      <c r="W25" s="17"/>
      <c r="X25" s="17" t="str">
        <f>IF(U25 &gt;3.30383,"Low","High")</f>
        <v>High</v>
      </c>
      <c r="Y25" s="93">
        <v>36.38879</v>
      </c>
      <c r="Z25" s="97" t="str">
        <f t="shared" si="0"/>
        <v>Low</v>
      </c>
      <c r="AA25" s="83" t="s">
        <v>54</v>
      </c>
      <c r="AB25" s="50"/>
      <c r="AC25" s="87" t="s">
        <v>54</v>
      </c>
      <c r="AD25" s="55" t="s">
        <v>82</v>
      </c>
      <c r="AE25" s="70" t="s">
        <v>83</v>
      </c>
      <c r="AF25" s="56" t="s">
        <v>69</v>
      </c>
      <c r="AG25" s="82" t="s">
        <v>48</v>
      </c>
      <c r="AH25" s="70" t="s">
        <v>167</v>
      </c>
      <c r="AI25" s="56" t="str">
        <f t="shared" si="10"/>
        <v>Low</v>
      </c>
      <c r="AJ25" s="57">
        <v>6.1002690000000008</v>
      </c>
      <c r="AK25" s="87" t="str">
        <f t="shared" si="2"/>
        <v>Low</v>
      </c>
      <c r="AL25" s="110">
        <v>806</v>
      </c>
      <c r="AM25" s="50">
        <v>637</v>
      </c>
      <c r="AN25" s="50">
        <v>975</v>
      </c>
      <c r="AO25" s="50" t="s">
        <v>81</v>
      </c>
      <c r="AP25" s="87" t="str">
        <f t="shared" si="3"/>
        <v>Low</v>
      </c>
      <c r="AQ25" s="83" t="s">
        <v>48</v>
      </c>
      <c r="AR25" s="50" t="s">
        <v>311</v>
      </c>
      <c r="AS25" s="50" t="s">
        <v>168</v>
      </c>
      <c r="AT25" s="87" t="s">
        <v>69</v>
      </c>
      <c r="AU25" s="83" t="s">
        <v>61</v>
      </c>
      <c r="AV25" s="87" t="s">
        <v>69</v>
      </c>
      <c r="AW25" s="83" t="s">
        <v>105</v>
      </c>
      <c r="AX25" s="50" t="s">
        <v>168</v>
      </c>
      <c r="AY25" s="87" t="s">
        <v>69</v>
      </c>
      <c r="AZ25" s="83" t="s">
        <v>283</v>
      </c>
      <c r="BA25" s="50" t="s">
        <v>48</v>
      </c>
      <c r="BB25" s="89">
        <v>1</v>
      </c>
      <c r="BC25" s="70" t="s">
        <v>56</v>
      </c>
      <c r="BD25" s="70" t="s">
        <v>48</v>
      </c>
      <c r="BE25" s="70" t="s">
        <v>238</v>
      </c>
      <c r="BF25" s="87" t="s">
        <v>317</v>
      </c>
      <c r="BG25" s="148"/>
      <c r="BH25" s="111" t="s">
        <v>48</v>
      </c>
      <c r="BI25" s="73" t="s">
        <v>69</v>
      </c>
      <c r="BJ25" s="83" t="s">
        <v>56</v>
      </c>
      <c r="BK25" s="50" t="s">
        <v>695</v>
      </c>
      <c r="BL25" s="87" t="str">
        <f t="shared" si="4"/>
        <v>High</v>
      </c>
      <c r="BM25" s="83" t="s">
        <v>48</v>
      </c>
      <c r="BN25" s="50" t="s">
        <v>226</v>
      </c>
      <c r="BO25" s="50" t="s">
        <v>80</v>
      </c>
      <c r="BP25" s="50" t="s">
        <v>119</v>
      </c>
      <c r="BQ25" s="96" t="str">
        <f t="shared" si="11"/>
        <v>Low</v>
      </c>
      <c r="BR25" s="12">
        <f>10*1</f>
        <v>10</v>
      </c>
      <c r="BS25" s="2" t="s">
        <v>232</v>
      </c>
      <c r="BT25" s="14" t="s">
        <v>48</v>
      </c>
      <c r="BU25" s="20"/>
      <c r="BV25" s="14" t="s">
        <v>83</v>
      </c>
      <c r="BW25" s="2" t="s">
        <v>48</v>
      </c>
      <c r="BX25" s="2" t="s">
        <v>66</v>
      </c>
      <c r="BY25" s="2" t="s">
        <v>54</v>
      </c>
      <c r="BZ25" s="2" t="str">
        <f t="shared" si="5"/>
        <v>Low</v>
      </c>
      <c r="CA25" s="2" t="str">
        <f t="shared" si="6"/>
        <v>Low</v>
      </c>
      <c r="CB25" s="2" t="str">
        <f t="shared" si="7"/>
        <v>Low</v>
      </c>
      <c r="CC25" s="2" t="s">
        <v>69</v>
      </c>
      <c r="CD25" s="35"/>
      <c r="CE25" s="42" t="s">
        <v>54</v>
      </c>
      <c r="CF25" s="42"/>
      <c r="CG25" s="124" t="s">
        <v>54</v>
      </c>
      <c r="CH25" s="42"/>
      <c r="CI25" s="42" t="s">
        <v>54</v>
      </c>
      <c r="CJ25" s="42"/>
      <c r="CK25" s="33"/>
      <c r="CL25" s="28"/>
      <c r="CM25" s="127" t="s">
        <v>68</v>
      </c>
      <c r="CN25" s="28"/>
      <c r="CO25" s="28"/>
      <c r="CP25" s="33"/>
      <c r="CQ25" s="33" t="s">
        <v>54</v>
      </c>
      <c r="CR25" s="33"/>
      <c r="CS25" s="33" t="s">
        <v>54</v>
      </c>
      <c r="CT25" s="28"/>
      <c r="CU25" s="33" t="s">
        <v>48</v>
      </c>
      <c r="CV25" s="33"/>
      <c r="CW25" s="33" t="s">
        <v>87</v>
      </c>
      <c r="CX25" s="33" t="s">
        <v>149</v>
      </c>
      <c r="CY25" s="33" t="s">
        <v>54</v>
      </c>
      <c r="CZ25" s="28"/>
      <c r="DA25" s="42" t="s">
        <v>54</v>
      </c>
      <c r="DB25" s="42"/>
      <c r="DC25" s="42" t="s">
        <v>54</v>
      </c>
    </row>
    <row r="26" spans="1:107" ht="14.25" customHeight="1" x14ac:dyDescent="0.35">
      <c r="A26" s="43" t="s">
        <v>312</v>
      </c>
      <c r="B26" s="2" t="s">
        <v>110</v>
      </c>
      <c r="C26" s="2" t="s">
        <v>306</v>
      </c>
      <c r="D26" s="2" t="s">
        <v>313</v>
      </c>
      <c r="E26" s="2"/>
      <c r="F26" s="50" t="s">
        <v>314</v>
      </c>
      <c r="G26" s="55">
        <v>83</v>
      </c>
      <c r="H26" s="17" t="s">
        <v>528</v>
      </c>
      <c r="I26" s="72" t="s">
        <v>43</v>
      </c>
      <c r="J26" s="34" t="s">
        <v>43</v>
      </c>
      <c r="K26" s="34" t="s">
        <v>43</v>
      </c>
      <c r="L26" s="34" t="s">
        <v>43</v>
      </c>
      <c r="M26" s="34" t="s">
        <v>43</v>
      </c>
      <c r="N26" s="34" t="s">
        <v>42</v>
      </c>
      <c r="O26" s="34" t="s">
        <v>43</v>
      </c>
      <c r="P26" s="34" t="s">
        <v>616</v>
      </c>
      <c r="Q26" s="80" t="s">
        <v>69</v>
      </c>
      <c r="R26" s="55" t="s">
        <v>48</v>
      </c>
      <c r="S26" s="53" t="s">
        <v>615</v>
      </c>
      <c r="T26" s="17" t="s">
        <v>69</v>
      </c>
      <c r="U26" s="90">
        <v>3.8619249999999998</v>
      </c>
      <c r="V26" s="91"/>
      <c r="W26" s="17"/>
      <c r="X26" s="17" t="str">
        <f t="shared" si="9"/>
        <v>Low</v>
      </c>
      <c r="Y26" s="93">
        <v>33.824260000000002</v>
      </c>
      <c r="Z26" s="97" t="str">
        <f t="shared" si="0"/>
        <v>Low</v>
      </c>
      <c r="AA26" s="83" t="s">
        <v>69</v>
      </c>
      <c r="AB26" s="50" t="s">
        <v>616</v>
      </c>
      <c r="AC26" s="87" t="s">
        <v>69</v>
      </c>
      <c r="AD26" s="55" t="s">
        <v>82</v>
      </c>
      <c r="AE26" s="70" t="s">
        <v>83</v>
      </c>
      <c r="AF26" s="56" t="s">
        <v>69</v>
      </c>
      <c r="AG26" s="82" t="s">
        <v>48</v>
      </c>
      <c r="AH26" s="70" t="s">
        <v>167</v>
      </c>
      <c r="AI26" s="56" t="str">
        <f t="shared" si="10"/>
        <v>Low</v>
      </c>
      <c r="AJ26" s="57">
        <v>6.3029299999999999</v>
      </c>
      <c r="AK26" s="87" t="str">
        <f t="shared" si="2"/>
        <v>Low</v>
      </c>
      <c r="AL26" s="110">
        <v>627</v>
      </c>
      <c r="AM26" s="50">
        <v>552</v>
      </c>
      <c r="AN26" s="50">
        <v>702</v>
      </c>
      <c r="AO26" s="50" t="s">
        <v>81</v>
      </c>
      <c r="AP26" s="87" t="str">
        <f t="shared" si="3"/>
        <v>Low</v>
      </c>
      <c r="AQ26" s="83" t="s">
        <v>48</v>
      </c>
      <c r="AR26" s="50" t="s">
        <v>315</v>
      </c>
      <c r="AS26" s="50" t="s">
        <v>119</v>
      </c>
      <c r="AT26" s="87" t="s">
        <v>69</v>
      </c>
      <c r="AU26" s="83" t="s">
        <v>104</v>
      </c>
      <c r="AV26" s="87" t="s">
        <v>69</v>
      </c>
      <c r="AW26" s="83" t="s">
        <v>105</v>
      </c>
      <c r="AX26" s="50" t="s">
        <v>672</v>
      </c>
      <c r="AY26" s="87" t="s">
        <v>69</v>
      </c>
      <c r="AZ26" s="83" t="s">
        <v>316</v>
      </c>
      <c r="BA26" s="50" t="s">
        <v>48</v>
      </c>
      <c r="BB26" s="89">
        <v>1</v>
      </c>
      <c r="BC26" s="70" t="s">
        <v>56</v>
      </c>
      <c r="BD26" s="70" t="s">
        <v>48</v>
      </c>
      <c r="BE26" s="70" t="s">
        <v>238</v>
      </c>
      <c r="BF26" s="87" t="s">
        <v>317</v>
      </c>
      <c r="BG26" s="148"/>
      <c r="BH26" s="111" t="s">
        <v>48</v>
      </c>
      <c r="BI26" s="73" t="s">
        <v>69</v>
      </c>
      <c r="BJ26" s="83" t="s">
        <v>56</v>
      </c>
      <c r="BK26" s="50" t="s">
        <v>700</v>
      </c>
      <c r="BL26" s="87" t="str">
        <f t="shared" si="4"/>
        <v>High</v>
      </c>
      <c r="BM26" s="83" t="s">
        <v>48</v>
      </c>
      <c r="BN26" s="50" t="s">
        <v>128</v>
      </c>
      <c r="BO26" s="50" t="s">
        <v>80</v>
      </c>
      <c r="BP26" s="50" t="s">
        <v>119</v>
      </c>
      <c r="BQ26" s="96" t="str">
        <f t="shared" si="11"/>
        <v>Low</v>
      </c>
      <c r="BR26" s="12">
        <f>14.5*1</f>
        <v>14.5</v>
      </c>
      <c r="BS26" s="2" t="s">
        <v>232</v>
      </c>
      <c r="BT26" s="14" t="s">
        <v>48</v>
      </c>
      <c r="BU26" s="20"/>
      <c r="BV26" s="14" t="s">
        <v>83</v>
      </c>
      <c r="BW26" s="2" t="s">
        <v>48</v>
      </c>
      <c r="BX26" s="2" t="s">
        <v>66</v>
      </c>
      <c r="BY26" s="2" t="s">
        <v>54</v>
      </c>
      <c r="BZ26" s="2" t="str">
        <f t="shared" si="5"/>
        <v>Low</v>
      </c>
      <c r="CA26" s="2" t="str">
        <f t="shared" si="6"/>
        <v>Low</v>
      </c>
      <c r="CB26" s="2" t="str">
        <f t="shared" si="7"/>
        <v>Low</v>
      </c>
      <c r="CC26" s="2" t="s">
        <v>69</v>
      </c>
      <c r="CD26" s="35"/>
      <c r="CE26" s="42" t="s">
        <v>54</v>
      </c>
      <c r="CF26" s="42"/>
      <c r="CG26" s="124" t="s">
        <v>54</v>
      </c>
      <c r="CH26" s="42"/>
      <c r="CI26" s="42" t="s">
        <v>54</v>
      </c>
      <c r="CJ26" s="42"/>
      <c r="CK26" s="33"/>
      <c r="CL26" s="28"/>
      <c r="CM26" s="28"/>
      <c r="CN26" s="28"/>
      <c r="CO26" s="28"/>
      <c r="CP26" s="33"/>
      <c r="CQ26" s="33" t="s">
        <v>317</v>
      </c>
      <c r="CR26" s="33" t="s">
        <v>126</v>
      </c>
      <c r="CS26" s="33" t="s">
        <v>54</v>
      </c>
      <c r="CT26" s="28"/>
      <c r="CU26" s="33" t="s">
        <v>48</v>
      </c>
      <c r="CV26" s="33"/>
      <c r="CW26" s="33" t="s">
        <v>87</v>
      </c>
      <c r="CX26" s="33" t="s">
        <v>149</v>
      </c>
      <c r="CY26" s="33" t="s">
        <v>54</v>
      </c>
      <c r="CZ26" s="28"/>
      <c r="DA26" s="42" t="s">
        <v>54</v>
      </c>
      <c r="DB26" s="42"/>
      <c r="DC26" s="42" t="s">
        <v>54</v>
      </c>
    </row>
    <row r="27" spans="1:107" ht="14.25" customHeight="1" x14ac:dyDescent="0.35">
      <c r="A27" s="43" t="s">
        <v>318</v>
      </c>
      <c r="B27" s="2" t="s">
        <v>319</v>
      </c>
      <c r="C27" s="2" t="s">
        <v>320</v>
      </c>
      <c r="D27" s="2" t="s">
        <v>321</v>
      </c>
      <c r="E27" s="2"/>
      <c r="F27" s="50" t="s">
        <v>322</v>
      </c>
      <c r="G27" s="55">
        <v>25</v>
      </c>
      <c r="H27" s="17" t="s">
        <v>528</v>
      </c>
      <c r="I27" s="72" t="s">
        <v>42</v>
      </c>
      <c r="J27" s="34" t="s">
        <v>43</v>
      </c>
      <c r="K27" s="34" t="s">
        <v>43</v>
      </c>
      <c r="L27" s="34" t="s">
        <v>42</v>
      </c>
      <c r="M27" s="34" t="s">
        <v>43</v>
      </c>
      <c r="N27" s="34" t="s">
        <v>43</v>
      </c>
      <c r="O27" s="34" t="s">
        <v>43</v>
      </c>
      <c r="P27" s="34" t="s">
        <v>81</v>
      </c>
      <c r="Q27" s="80" t="str">
        <f t="shared" si="8"/>
        <v>Low</v>
      </c>
      <c r="R27" s="55" t="s">
        <v>48</v>
      </c>
      <c r="S27" s="53" t="s">
        <v>646</v>
      </c>
      <c r="T27" s="17" t="s">
        <v>69</v>
      </c>
      <c r="U27" s="90">
        <v>3.1766420000000002</v>
      </c>
      <c r="V27" s="91"/>
      <c r="W27" s="17"/>
      <c r="X27" s="17" t="str">
        <f t="shared" si="9"/>
        <v>High</v>
      </c>
      <c r="Y27" s="93">
        <v>10.68599</v>
      </c>
      <c r="Z27" s="97" t="str">
        <f t="shared" si="0"/>
        <v>High</v>
      </c>
      <c r="AA27" s="83" t="s">
        <v>54</v>
      </c>
      <c r="AB27" s="50"/>
      <c r="AC27" s="87" t="s">
        <v>54</v>
      </c>
      <c r="AD27" s="55" t="s">
        <v>296</v>
      </c>
      <c r="AE27" s="70" t="s">
        <v>324</v>
      </c>
      <c r="AF27" s="56" t="s">
        <v>69</v>
      </c>
      <c r="AG27" s="82" t="s">
        <v>48</v>
      </c>
      <c r="AH27" s="70" t="s">
        <v>167</v>
      </c>
      <c r="AI27" s="56" t="str">
        <f t="shared" si="10"/>
        <v>Low</v>
      </c>
      <c r="AJ27" s="107" t="s">
        <v>546</v>
      </c>
      <c r="AK27" s="87" t="str">
        <f t="shared" si="2"/>
        <v>Low</v>
      </c>
      <c r="AL27" s="111">
        <v>60</v>
      </c>
      <c r="AM27" s="50">
        <v>68</v>
      </c>
      <c r="AN27" s="50" t="s">
        <v>54</v>
      </c>
      <c r="AO27" s="50" t="s">
        <v>81</v>
      </c>
      <c r="AP27" s="87" t="str">
        <f t="shared" si="3"/>
        <v>High</v>
      </c>
      <c r="AQ27" s="83" t="s">
        <v>48</v>
      </c>
      <c r="AR27" s="50" t="s">
        <v>325</v>
      </c>
      <c r="AS27" s="50" t="s">
        <v>326</v>
      </c>
      <c r="AT27" s="87" t="s">
        <v>69</v>
      </c>
      <c r="AU27" s="83" t="s">
        <v>104</v>
      </c>
      <c r="AV27" s="87" t="s">
        <v>69</v>
      </c>
      <c r="AW27" s="83" t="s">
        <v>105</v>
      </c>
      <c r="AX27" s="50" t="s">
        <v>327</v>
      </c>
      <c r="AY27" s="87" t="s">
        <v>69</v>
      </c>
      <c r="AZ27" s="83" t="s">
        <v>328</v>
      </c>
      <c r="BA27" s="50" t="s">
        <v>48</v>
      </c>
      <c r="BB27" s="89" t="s">
        <v>231</v>
      </c>
      <c r="BC27" s="50" t="s">
        <v>48</v>
      </c>
      <c r="BD27" s="50" t="s">
        <v>48</v>
      </c>
      <c r="BE27" s="50" t="s">
        <v>327</v>
      </c>
      <c r="BF27" s="87" t="s">
        <v>69</v>
      </c>
      <c r="BG27" s="148"/>
      <c r="BH27" s="111" t="s">
        <v>48</v>
      </c>
      <c r="BI27" s="73" t="s">
        <v>69</v>
      </c>
      <c r="BJ27" s="83" t="s">
        <v>56</v>
      </c>
      <c r="BK27" s="50" t="s">
        <v>697</v>
      </c>
      <c r="BL27" s="87" t="str">
        <f t="shared" si="4"/>
        <v>High</v>
      </c>
      <c r="BM27" s="83" t="s">
        <v>48</v>
      </c>
      <c r="BN27" s="50" t="s">
        <v>97</v>
      </c>
      <c r="BO27" s="50" t="s">
        <v>98</v>
      </c>
      <c r="BP27" s="50" t="s">
        <v>323</v>
      </c>
      <c r="BQ27" s="96" t="str">
        <f t="shared" si="11"/>
        <v>Low</v>
      </c>
      <c r="BR27" s="12">
        <f>2.5*2</f>
        <v>5</v>
      </c>
      <c r="BS27" s="2" t="s">
        <v>329</v>
      </c>
      <c r="BT27" s="14" t="s">
        <v>48</v>
      </c>
      <c r="BU27" s="20"/>
      <c r="BV27" s="14" t="s">
        <v>330</v>
      </c>
      <c r="BW27" s="2" t="s">
        <v>48</v>
      </c>
      <c r="BX27" s="2" t="s">
        <v>66</v>
      </c>
      <c r="BY27" s="2" t="s">
        <v>54</v>
      </c>
      <c r="BZ27" s="2" t="str">
        <f t="shared" si="5"/>
        <v>Low</v>
      </c>
      <c r="CA27" s="2" t="str">
        <f t="shared" si="6"/>
        <v>Low</v>
      </c>
      <c r="CB27" s="2" t="str">
        <f t="shared" si="7"/>
        <v>Low</v>
      </c>
      <c r="CC27" s="2" t="s">
        <v>69</v>
      </c>
      <c r="CD27" s="35"/>
      <c r="CE27" s="42" t="s">
        <v>54</v>
      </c>
      <c r="CF27" s="42"/>
      <c r="CG27" s="124" t="s">
        <v>54</v>
      </c>
      <c r="CH27" s="42"/>
      <c r="CI27" s="42" t="s">
        <v>54</v>
      </c>
      <c r="CJ27" s="42"/>
      <c r="CK27" s="33"/>
      <c r="CL27" s="28"/>
      <c r="CM27" s="28"/>
      <c r="CN27" s="129">
        <v>178409</v>
      </c>
      <c r="CO27" s="28"/>
      <c r="CP27" s="33"/>
      <c r="CQ27" s="33" t="s">
        <v>54</v>
      </c>
      <c r="CR27" s="42"/>
      <c r="CS27" s="33" t="s">
        <v>54</v>
      </c>
      <c r="CT27" s="42"/>
      <c r="CU27" s="33" t="s">
        <v>48</v>
      </c>
      <c r="CV27" s="33"/>
      <c r="CW27" s="33" t="s">
        <v>87</v>
      </c>
      <c r="CX27" s="33" t="s">
        <v>149</v>
      </c>
      <c r="CY27" s="33" t="s">
        <v>54</v>
      </c>
      <c r="CZ27" s="28"/>
      <c r="DA27" s="42" t="s">
        <v>54</v>
      </c>
      <c r="DB27" s="42"/>
      <c r="DC27" s="42" t="s">
        <v>54</v>
      </c>
    </row>
    <row r="28" spans="1:107" ht="14.25" customHeight="1" x14ac:dyDescent="0.35">
      <c r="A28" s="43" t="s">
        <v>331</v>
      </c>
      <c r="B28" s="2" t="s">
        <v>332</v>
      </c>
      <c r="C28" s="2" t="s">
        <v>333</v>
      </c>
      <c r="D28" s="2" t="s">
        <v>334</v>
      </c>
      <c r="E28" s="15"/>
      <c r="F28" s="50" t="s">
        <v>335</v>
      </c>
      <c r="G28" s="55">
        <v>53</v>
      </c>
      <c r="H28" s="17" t="s">
        <v>528</v>
      </c>
      <c r="I28" s="72" t="s">
        <v>43</v>
      </c>
      <c r="J28" s="34" t="s">
        <v>43</v>
      </c>
      <c r="K28" s="34" t="s">
        <v>42</v>
      </c>
      <c r="L28" s="34" t="s">
        <v>42</v>
      </c>
      <c r="M28" s="34" t="s">
        <v>43</v>
      </c>
      <c r="N28" s="34" t="s">
        <v>43</v>
      </c>
      <c r="O28" s="34" t="s">
        <v>43</v>
      </c>
      <c r="P28" s="34" t="s">
        <v>116</v>
      </c>
      <c r="Q28" s="80" t="str">
        <f t="shared" si="8"/>
        <v>Low</v>
      </c>
      <c r="R28" s="82" t="s">
        <v>338</v>
      </c>
      <c r="S28" s="34" t="s">
        <v>647</v>
      </c>
      <c r="T28" s="17" t="s">
        <v>69</v>
      </c>
      <c r="U28" s="90">
        <v>4.4854750000000001</v>
      </c>
      <c r="V28" s="91"/>
      <c r="W28" s="17"/>
      <c r="X28" s="17" t="str">
        <f t="shared" si="9"/>
        <v>Low</v>
      </c>
      <c r="Y28" s="93">
        <v>17.976189999999999</v>
      </c>
      <c r="Z28" s="97" t="str">
        <f t="shared" si="0"/>
        <v>Low</v>
      </c>
      <c r="AA28" s="83" t="s">
        <v>54</v>
      </c>
      <c r="AB28" s="50"/>
      <c r="AC28" s="87" t="s">
        <v>54</v>
      </c>
      <c r="AD28" s="55" t="s">
        <v>82</v>
      </c>
      <c r="AE28" s="70" t="s">
        <v>83</v>
      </c>
      <c r="AF28" s="56" t="s">
        <v>69</v>
      </c>
      <c r="AG28" s="82" t="s">
        <v>48</v>
      </c>
      <c r="AH28" s="70" t="s">
        <v>167</v>
      </c>
      <c r="AI28" s="56" t="str">
        <f t="shared" si="10"/>
        <v>Low</v>
      </c>
      <c r="AJ28" s="107" t="s">
        <v>546</v>
      </c>
      <c r="AK28" s="87" t="str">
        <f t="shared" si="2"/>
        <v>Low</v>
      </c>
      <c r="AL28" s="112">
        <v>1635</v>
      </c>
      <c r="AM28" s="50"/>
      <c r="AN28" s="50"/>
      <c r="AO28" s="70" t="s">
        <v>336</v>
      </c>
      <c r="AP28" s="87" t="str">
        <f t="shared" si="3"/>
        <v>Low</v>
      </c>
      <c r="AQ28" s="83" t="s">
        <v>48</v>
      </c>
      <c r="AR28" s="50" t="s">
        <v>131</v>
      </c>
      <c r="AS28" s="50" t="s">
        <v>337</v>
      </c>
      <c r="AT28" s="87" t="s">
        <v>69</v>
      </c>
      <c r="AU28" s="83" t="s">
        <v>104</v>
      </c>
      <c r="AV28" s="87" t="s">
        <v>69</v>
      </c>
      <c r="AW28" s="83" t="s">
        <v>105</v>
      </c>
      <c r="AX28" s="50" t="s">
        <v>672</v>
      </c>
      <c r="AY28" s="87" t="s">
        <v>69</v>
      </c>
      <c r="AZ28" s="83" t="s">
        <v>316</v>
      </c>
      <c r="BA28" s="50" t="s">
        <v>48</v>
      </c>
      <c r="BB28" s="89">
        <v>1</v>
      </c>
      <c r="BC28" s="70" t="s">
        <v>56</v>
      </c>
      <c r="BD28" s="70" t="s">
        <v>48</v>
      </c>
      <c r="BE28" s="70" t="s">
        <v>238</v>
      </c>
      <c r="BF28" s="87" t="s">
        <v>317</v>
      </c>
      <c r="BG28" s="148"/>
      <c r="BH28" s="111" t="s">
        <v>48</v>
      </c>
      <c r="BI28" s="73" t="s">
        <v>69</v>
      </c>
      <c r="BJ28" s="83" t="s">
        <v>48</v>
      </c>
      <c r="BK28" s="50" t="s">
        <v>698</v>
      </c>
      <c r="BL28" s="87" t="str">
        <f t="shared" si="4"/>
        <v>Low</v>
      </c>
      <c r="BM28" s="83" t="s">
        <v>48</v>
      </c>
      <c r="BN28" s="50" t="s">
        <v>128</v>
      </c>
      <c r="BO28" s="50" t="s">
        <v>80</v>
      </c>
      <c r="BP28" s="50" t="s">
        <v>119</v>
      </c>
      <c r="BQ28" s="96" t="str">
        <f t="shared" si="11"/>
        <v>Low</v>
      </c>
      <c r="BR28" s="12">
        <f>14*1</f>
        <v>14</v>
      </c>
      <c r="BS28" s="2" t="s">
        <v>232</v>
      </c>
      <c r="BT28" s="14" t="s">
        <v>48</v>
      </c>
      <c r="BU28" s="20"/>
      <c r="BV28" s="14" t="s">
        <v>83</v>
      </c>
      <c r="BW28" s="2" t="s">
        <v>48</v>
      </c>
      <c r="BX28" s="2" t="s">
        <v>66</v>
      </c>
      <c r="BY28" s="2" t="s">
        <v>54</v>
      </c>
      <c r="BZ28" s="2" t="str">
        <f t="shared" si="5"/>
        <v>Low</v>
      </c>
      <c r="CA28" s="2" t="str">
        <f t="shared" si="6"/>
        <v>Low</v>
      </c>
      <c r="CB28" s="2" t="str">
        <f t="shared" si="7"/>
        <v>Low</v>
      </c>
      <c r="CC28" s="2" t="s">
        <v>69</v>
      </c>
      <c r="CD28" s="35"/>
      <c r="CE28" s="42" t="s">
        <v>54</v>
      </c>
      <c r="CF28" s="42"/>
      <c r="CG28" s="124" t="s">
        <v>54</v>
      </c>
      <c r="CH28" s="42"/>
      <c r="CI28" s="42" t="s">
        <v>54</v>
      </c>
      <c r="CJ28" s="42"/>
      <c r="CK28" s="33"/>
      <c r="CL28" s="28"/>
      <c r="CM28" s="28"/>
      <c r="CN28" s="28"/>
      <c r="CO28" s="28"/>
      <c r="CP28" s="33"/>
      <c r="CQ28" s="33" t="s">
        <v>54</v>
      </c>
      <c r="CR28" s="28"/>
      <c r="CS28" s="33" t="s">
        <v>54</v>
      </c>
      <c r="CT28" s="28"/>
      <c r="CU28" s="33" t="s">
        <v>48</v>
      </c>
      <c r="CV28" s="33"/>
      <c r="CW28" s="33" t="s">
        <v>87</v>
      </c>
      <c r="CX28" s="33" t="s">
        <v>149</v>
      </c>
      <c r="CY28" s="33" t="s">
        <v>54</v>
      </c>
      <c r="CZ28" s="28"/>
      <c r="DA28" s="42" t="s">
        <v>54</v>
      </c>
      <c r="DB28" s="42"/>
      <c r="DC28" s="42" t="s">
        <v>54</v>
      </c>
    </row>
    <row r="29" spans="1:107" ht="14.25" customHeight="1" x14ac:dyDescent="0.35">
      <c r="A29" s="43" t="s">
        <v>339</v>
      </c>
      <c r="B29" s="2" t="s">
        <v>74</v>
      </c>
      <c r="C29" s="2" t="s">
        <v>340</v>
      </c>
      <c r="D29" s="2" t="s">
        <v>341</v>
      </c>
      <c r="E29" s="2"/>
      <c r="F29" s="50" t="s">
        <v>342</v>
      </c>
      <c r="G29" s="55">
        <v>33</v>
      </c>
      <c r="H29" s="17" t="s">
        <v>528</v>
      </c>
      <c r="I29" s="72" t="s">
        <v>43</v>
      </c>
      <c r="J29" s="34" t="s">
        <v>42</v>
      </c>
      <c r="K29" s="34" t="s">
        <v>43</v>
      </c>
      <c r="L29" s="34" t="s">
        <v>42</v>
      </c>
      <c r="M29" s="34" t="s">
        <v>42</v>
      </c>
      <c r="N29" s="34" t="s">
        <v>43</v>
      </c>
      <c r="O29" s="34" t="s">
        <v>43</v>
      </c>
      <c r="P29" s="34" t="s">
        <v>628</v>
      </c>
      <c r="Q29" s="80" t="s">
        <v>69</v>
      </c>
      <c r="R29" s="82" t="s">
        <v>344</v>
      </c>
      <c r="S29" s="34" t="s">
        <v>648</v>
      </c>
      <c r="T29" s="17" t="s">
        <v>69</v>
      </c>
      <c r="U29" s="90">
        <v>3.7560020000000001</v>
      </c>
      <c r="V29" s="91"/>
      <c r="W29" s="17"/>
      <c r="X29" s="17" t="str">
        <f t="shared" si="9"/>
        <v>Low</v>
      </c>
      <c r="Y29" s="93">
        <v>13.774609999999999</v>
      </c>
      <c r="Z29" s="97" t="str">
        <f t="shared" si="0"/>
        <v>High</v>
      </c>
      <c r="AA29" s="83" t="s">
        <v>54</v>
      </c>
      <c r="AB29" s="50"/>
      <c r="AC29" s="87" t="s">
        <v>54</v>
      </c>
      <c r="AD29" s="55" t="s">
        <v>82</v>
      </c>
      <c r="AE29" s="70" t="s">
        <v>83</v>
      </c>
      <c r="AF29" s="56" t="s">
        <v>69</v>
      </c>
      <c r="AG29" s="82" t="s">
        <v>56</v>
      </c>
      <c r="AH29" s="70" t="s">
        <v>83</v>
      </c>
      <c r="AI29" s="56" t="str">
        <f t="shared" si="10"/>
        <v>High</v>
      </c>
      <c r="AJ29" s="57">
        <v>6.0028649999999999</v>
      </c>
      <c r="AK29" s="87" t="str">
        <f t="shared" si="2"/>
        <v>Low</v>
      </c>
      <c r="AL29" s="110">
        <v>32.5</v>
      </c>
      <c r="AM29" s="50">
        <v>39</v>
      </c>
      <c r="AN29" s="50">
        <v>45</v>
      </c>
      <c r="AO29" s="50" t="s">
        <v>81</v>
      </c>
      <c r="AP29" s="87" t="str">
        <f t="shared" si="3"/>
        <v>High</v>
      </c>
      <c r="AQ29" s="83" t="s">
        <v>48</v>
      </c>
      <c r="AR29" s="50" t="s">
        <v>343</v>
      </c>
      <c r="AS29" s="50" t="s">
        <v>326</v>
      </c>
      <c r="AT29" s="87" t="s">
        <v>69</v>
      </c>
      <c r="AU29" s="83" t="s">
        <v>61</v>
      </c>
      <c r="AV29" s="87" t="s">
        <v>69</v>
      </c>
      <c r="AW29" s="83" t="s">
        <v>105</v>
      </c>
      <c r="AX29" s="50" t="s">
        <v>345</v>
      </c>
      <c r="AY29" s="87" t="s">
        <v>69</v>
      </c>
      <c r="AZ29" s="83" t="s">
        <v>346</v>
      </c>
      <c r="BA29" s="50" t="s">
        <v>54</v>
      </c>
      <c r="BB29" s="89">
        <v>3</v>
      </c>
      <c r="BC29" s="50" t="s">
        <v>48</v>
      </c>
      <c r="BD29" s="70" t="s">
        <v>48</v>
      </c>
      <c r="BE29" s="50" t="s">
        <v>86</v>
      </c>
      <c r="BF29" s="87" t="s">
        <v>69</v>
      </c>
      <c r="BG29" s="148"/>
      <c r="BH29" s="111" t="s">
        <v>48</v>
      </c>
      <c r="BI29" s="73" t="s">
        <v>69</v>
      </c>
      <c r="BJ29" s="83" t="s">
        <v>56</v>
      </c>
      <c r="BK29" s="50" t="s">
        <v>648</v>
      </c>
      <c r="BL29" s="87" t="str">
        <f t="shared" si="4"/>
        <v>High</v>
      </c>
      <c r="BM29" s="83" t="s">
        <v>48</v>
      </c>
      <c r="BN29" s="50" t="s">
        <v>226</v>
      </c>
      <c r="BO29" s="50" t="s">
        <v>54</v>
      </c>
      <c r="BP29" s="50" t="s">
        <v>81</v>
      </c>
      <c r="BQ29" s="96" t="str">
        <f t="shared" si="11"/>
        <v>Low</v>
      </c>
      <c r="BR29" s="12">
        <f>2*2</f>
        <v>4</v>
      </c>
      <c r="BS29" s="2" t="s">
        <v>347</v>
      </c>
      <c r="BT29" s="14" t="s">
        <v>48</v>
      </c>
      <c r="BU29" s="20"/>
      <c r="BV29" s="14" t="s">
        <v>83</v>
      </c>
      <c r="BW29" s="2" t="s">
        <v>56</v>
      </c>
      <c r="BX29" s="2" t="s">
        <v>66</v>
      </c>
      <c r="BY29" s="2" t="s">
        <v>54</v>
      </c>
      <c r="BZ29" s="2" t="str">
        <f t="shared" si="5"/>
        <v>Low</v>
      </c>
      <c r="CA29" s="2" t="str">
        <f t="shared" si="6"/>
        <v>Low</v>
      </c>
      <c r="CB29" s="2" t="str">
        <f t="shared" si="7"/>
        <v>High</v>
      </c>
      <c r="CC29" s="2" t="s">
        <v>139</v>
      </c>
      <c r="CD29" s="35"/>
      <c r="CE29" s="42" t="s">
        <v>54</v>
      </c>
      <c r="CF29" s="42"/>
      <c r="CG29" s="126">
        <v>11.942</v>
      </c>
      <c r="CH29" s="46" t="s">
        <v>67</v>
      </c>
      <c r="CI29" s="42">
        <v>11.942</v>
      </c>
      <c r="CJ29" s="42" t="s">
        <v>67</v>
      </c>
      <c r="CK29" s="33"/>
      <c r="CL29" s="28"/>
      <c r="CM29" s="127" t="s">
        <v>68</v>
      </c>
      <c r="CN29" s="28"/>
      <c r="CO29" s="28"/>
      <c r="CP29" s="33"/>
      <c r="CQ29" s="33" t="s">
        <v>54</v>
      </c>
      <c r="CR29" s="28"/>
      <c r="CS29" s="33" t="s">
        <v>54</v>
      </c>
      <c r="CT29" s="28"/>
      <c r="CU29" s="33" t="s">
        <v>48</v>
      </c>
      <c r="CV29" s="33"/>
      <c r="CW29" s="33" t="s">
        <v>87</v>
      </c>
      <c r="CX29" s="33" t="s">
        <v>149</v>
      </c>
      <c r="CY29" s="33" t="s">
        <v>54</v>
      </c>
      <c r="CZ29" s="28"/>
      <c r="DA29" s="42" t="s">
        <v>54</v>
      </c>
      <c r="DB29" s="42"/>
      <c r="DC29" s="42" t="s">
        <v>54</v>
      </c>
    </row>
    <row r="30" spans="1:107" ht="14.25" customHeight="1" x14ac:dyDescent="0.35">
      <c r="A30" s="43" t="s">
        <v>348</v>
      </c>
      <c r="B30" s="2" t="s">
        <v>349</v>
      </c>
      <c r="C30" s="2" t="s">
        <v>350</v>
      </c>
      <c r="D30" s="2" t="s">
        <v>351</v>
      </c>
      <c r="E30" s="2" t="s">
        <v>352</v>
      </c>
      <c r="F30" s="50" t="s">
        <v>353</v>
      </c>
      <c r="G30" s="55">
        <v>88</v>
      </c>
      <c r="H30" s="17" t="s">
        <v>528</v>
      </c>
      <c r="I30" s="72" t="s">
        <v>43</v>
      </c>
      <c r="J30" s="34" t="s">
        <v>43</v>
      </c>
      <c r="K30" s="34" t="s">
        <v>43</v>
      </c>
      <c r="L30" s="34" t="s">
        <v>43</v>
      </c>
      <c r="M30" s="34" t="s">
        <v>43</v>
      </c>
      <c r="N30" s="34" t="s">
        <v>42</v>
      </c>
      <c r="O30" s="34" t="s">
        <v>43</v>
      </c>
      <c r="P30" s="34" t="s">
        <v>617</v>
      </c>
      <c r="Q30" s="80" t="str">
        <f t="shared" si="8"/>
        <v>Low</v>
      </c>
      <c r="R30" s="55" t="s">
        <v>48</v>
      </c>
      <c r="S30" s="53" t="s">
        <v>355</v>
      </c>
      <c r="T30" s="17" t="s">
        <v>69</v>
      </c>
      <c r="U30" s="90">
        <v>4.0670070000000003</v>
      </c>
      <c r="V30" s="91"/>
      <c r="W30" s="17"/>
      <c r="X30" s="17" t="str">
        <f t="shared" si="9"/>
        <v>Low</v>
      </c>
      <c r="Y30" s="93">
        <v>30.998010000000001</v>
      </c>
      <c r="Z30" s="97" t="str">
        <f t="shared" si="0"/>
        <v>Low</v>
      </c>
      <c r="AA30" s="83" t="s">
        <v>69</v>
      </c>
      <c r="AB30" s="70" t="s">
        <v>617</v>
      </c>
      <c r="AC30" s="96" t="s">
        <v>69</v>
      </c>
      <c r="AD30" s="83" t="s">
        <v>354</v>
      </c>
      <c r="AE30" s="50" t="s">
        <v>617</v>
      </c>
      <c r="AF30" s="87" t="s">
        <v>317</v>
      </c>
      <c r="AG30" s="82" t="s">
        <v>48</v>
      </c>
      <c r="AH30" s="70" t="s">
        <v>167</v>
      </c>
      <c r="AI30" s="56" t="str">
        <f t="shared" si="10"/>
        <v>Low</v>
      </c>
      <c r="AJ30" s="107" t="s">
        <v>546</v>
      </c>
      <c r="AK30" s="87" t="str">
        <f t="shared" si="2"/>
        <v>Low</v>
      </c>
      <c r="AL30" s="111">
        <v>250</v>
      </c>
      <c r="AM30" s="50">
        <v>325</v>
      </c>
      <c r="AN30" s="50" t="s">
        <v>54</v>
      </c>
      <c r="AO30" s="50" t="s">
        <v>81</v>
      </c>
      <c r="AP30" s="87" t="str">
        <f t="shared" si="3"/>
        <v>Low</v>
      </c>
      <c r="AQ30" s="83" t="s">
        <v>48</v>
      </c>
      <c r="AR30" s="50" t="s">
        <v>131</v>
      </c>
      <c r="AS30" s="50" t="s">
        <v>326</v>
      </c>
      <c r="AT30" s="87" t="s">
        <v>69</v>
      </c>
      <c r="AU30" s="83" t="s">
        <v>104</v>
      </c>
      <c r="AV30" s="87" t="s">
        <v>69</v>
      </c>
      <c r="AW30" s="83" t="s">
        <v>105</v>
      </c>
      <c r="AX30" s="50" t="s">
        <v>617</v>
      </c>
      <c r="AY30" s="87" t="s">
        <v>69</v>
      </c>
      <c r="AZ30" s="83" t="s">
        <v>356</v>
      </c>
      <c r="BA30" s="50" t="s">
        <v>48</v>
      </c>
      <c r="BB30" s="89">
        <v>1</v>
      </c>
      <c r="BC30" s="50" t="s">
        <v>54</v>
      </c>
      <c r="BD30" s="70" t="s">
        <v>48</v>
      </c>
      <c r="BE30" s="50" t="s">
        <v>617</v>
      </c>
      <c r="BF30" s="87" t="s">
        <v>317</v>
      </c>
      <c r="BG30" s="148"/>
      <c r="BH30" s="111" t="s">
        <v>48</v>
      </c>
      <c r="BI30" s="73" t="s">
        <v>69</v>
      </c>
      <c r="BJ30" s="83" t="s">
        <v>48</v>
      </c>
      <c r="BK30" s="50" t="s">
        <v>617</v>
      </c>
      <c r="BL30" s="87" t="str">
        <f t="shared" si="4"/>
        <v>Low</v>
      </c>
      <c r="BM30" s="83" t="s">
        <v>48</v>
      </c>
      <c r="BN30" s="50" t="s">
        <v>128</v>
      </c>
      <c r="BO30" s="50" t="s">
        <v>80</v>
      </c>
      <c r="BP30" s="50" t="s">
        <v>168</v>
      </c>
      <c r="BQ30" s="96" t="str">
        <f t="shared" si="11"/>
        <v>Low</v>
      </c>
      <c r="BR30" s="12">
        <f>20*1</f>
        <v>20</v>
      </c>
      <c r="BS30" s="2" t="s">
        <v>714</v>
      </c>
      <c r="BT30" s="14" t="s">
        <v>48</v>
      </c>
      <c r="BU30" s="20"/>
      <c r="BV30" s="14" t="s">
        <v>83</v>
      </c>
      <c r="BW30" s="2" t="s">
        <v>48</v>
      </c>
      <c r="BX30" s="2" t="s">
        <v>66</v>
      </c>
      <c r="BY30" s="2" t="s">
        <v>54</v>
      </c>
      <c r="BZ30" s="2" t="str">
        <f t="shared" si="5"/>
        <v>Low</v>
      </c>
      <c r="CA30" s="2" t="str">
        <f t="shared" si="6"/>
        <v>Low</v>
      </c>
      <c r="CB30" s="2" t="str">
        <f t="shared" si="7"/>
        <v>Low</v>
      </c>
      <c r="CC30" s="2" t="s">
        <v>69</v>
      </c>
      <c r="CD30" s="35"/>
      <c r="CE30" s="31">
        <v>20</v>
      </c>
      <c r="CF30" s="42" t="s">
        <v>273</v>
      </c>
      <c r="CG30" s="124" t="s">
        <v>54</v>
      </c>
      <c r="CH30" s="42"/>
      <c r="CI30" s="42" t="s">
        <v>54</v>
      </c>
      <c r="CJ30" s="42"/>
      <c r="CK30" s="33"/>
      <c r="CL30" s="28"/>
      <c r="CM30" s="28"/>
      <c r="CN30" s="28"/>
      <c r="CO30" s="28"/>
      <c r="CP30" s="33"/>
      <c r="CQ30" s="33" t="s">
        <v>317</v>
      </c>
      <c r="CR30" s="33" t="s">
        <v>273</v>
      </c>
      <c r="CS30" s="33" t="s">
        <v>56</v>
      </c>
      <c r="CT30" s="33" t="s">
        <v>357</v>
      </c>
      <c r="CU30" s="33" t="s">
        <v>48</v>
      </c>
      <c r="CV30" s="33"/>
      <c r="CW30" s="33" t="s">
        <v>87</v>
      </c>
      <c r="CX30" s="33" t="s">
        <v>159</v>
      </c>
      <c r="CY30" s="33" t="s">
        <v>54</v>
      </c>
      <c r="CZ30" s="28"/>
      <c r="DA30" s="42" t="s">
        <v>54</v>
      </c>
      <c r="DB30" s="42"/>
      <c r="DC30" s="42" t="s">
        <v>54</v>
      </c>
    </row>
    <row r="31" spans="1:107" ht="14.25" customHeight="1" x14ac:dyDescent="0.35">
      <c r="A31" s="43" t="s">
        <v>358</v>
      </c>
      <c r="B31" s="2" t="s">
        <v>359</v>
      </c>
      <c r="C31" s="2" t="s">
        <v>360</v>
      </c>
      <c r="D31" s="2" t="s">
        <v>361</v>
      </c>
      <c r="E31" s="2"/>
      <c r="F31" s="50" t="s">
        <v>362</v>
      </c>
      <c r="G31" s="55">
        <v>83</v>
      </c>
      <c r="H31" s="17" t="s">
        <v>528</v>
      </c>
      <c r="I31" s="72" t="s">
        <v>43</v>
      </c>
      <c r="J31" s="34" t="s">
        <v>43</v>
      </c>
      <c r="K31" s="34" t="s">
        <v>43</v>
      </c>
      <c r="L31" s="34" t="s">
        <v>42</v>
      </c>
      <c r="M31" s="34" t="s">
        <v>43</v>
      </c>
      <c r="N31" s="34" t="s">
        <v>43</v>
      </c>
      <c r="O31" s="34" t="s">
        <v>43</v>
      </c>
      <c r="P31" s="34" t="s">
        <v>642</v>
      </c>
      <c r="Q31" s="80" t="str">
        <f t="shared" si="8"/>
        <v>Low</v>
      </c>
      <c r="R31" s="82" t="s">
        <v>367</v>
      </c>
      <c r="S31" s="34" t="s">
        <v>642</v>
      </c>
      <c r="T31" s="17" t="s">
        <v>69</v>
      </c>
      <c r="U31" s="90">
        <v>3.9640059999999999</v>
      </c>
      <c r="V31" s="91"/>
      <c r="W31" s="17"/>
      <c r="X31" s="17" t="str">
        <f t="shared" si="9"/>
        <v>Low</v>
      </c>
      <c r="Y31" s="93">
        <v>31.58746</v>
      </c>
      <c r="Z31" s="97" t="str">
        <f t="shared" si="0"/>
        <v>Low</v>
      </c>
      <c r="AA31" s="83" t="s">
        <v>54</v>
      </c>
      <c r="AB31" s="50"/>
      <c r="AC31" s="87" t="s">
        <v>54</v>
      </c>
      <c r="AD31" s="55" t="s">
        <v>82</v>
      </c>
      <c r="AE31" s="70" t="s">
        <v>83</v>
      </c>
      <c r="AF31" s="96" t="s">
        <v>69</v>
      </c>
      <c r="AG31" s="82" t="s">
        <v>48</v>
      </c>
      <c r="AH31" s="70" t="s">
        <v>167</v>
      </c>
      <c r="AI31" s="56" t="str">
        <f t="shared" si="10"/>
        <v>Low</v>
      </c>
      <c r="AJ31" s="107" t="s">
        <v>546</v>
      </c>
      <c r="AK31" s="87" t="str">
        <f t="shared" si="2"/>
        <v>Low</v>
      </c>
      <c r="AL31" s="111">
        <f t="shared" ref="AL31:AL32" si="13">(AM31+AN31)/2</f>
        <v>555.5</v>
      </c>
      <c r="AM31" s="50">
        <v>490</v>
      </c>
      <c r="AN31" s="50">
        <v>621</v>
      </c>
      <c r="AO31" s="50" t="s">
        <v>81</v>
      </c>
      <c r="AP31" s="87" t="str">
        <f t="shared" si="3"/>
        <v>Low</v>
      </c>
      <c r="AQ31" s="83" t="s">
        <v>48</v>
      </c>
      <c r="AR31" s="50" t="s">
        <v>365</v>
      </c>
      <c r="AS31" s="70" t="s">
        <v>366</v>
      </c>
      <c r="AT31" s="87" t="s">
        <v>69</v>
      </c>
      <c r="AU31" s="83" t="s">
        <v>104</v>
      </c>
      <c r="AV31" s="87" t="s">
        <v>69</v>
      </c>
      <c r="AW31" s="83" t="s">
        <v>105</v>
      </c>
      <c r="AX31" s="50" t="s">
        <v>119</v>
      </c>
      <c r="AY31" s="87" t="s">
        <v>69</v>
      </c>
      <c r="AZ31" s="83" t="s">
        <v>368</v>
      </c>
      <c r="BA31" s="50" t="s">
        <v>48</v>
      </c>
      <c r="BB31" s="89">
        <v>1</v>
      </c>
      <c r="BC31" s="70" t="s">
        <v>56</v>
      </c>
      <c r="BD31" s="70" t="s">
        <v>48</v>
      </c>
      <c r="BE31" s="70" t="s">
        <v>369</v>
      </c>
      <c r="BF31" s="96" t="s">
        <v>69</v>
      </c>
      <c r="BG31" s="148"/>
      <c r="BH31" s="111" t="s">
        <v>48</v>
      </c>
      <c r="BI31" s="73" t="s">
        <v>69</v>
      </c>
      <c r="BJ31" s="83" t="s">
        <v>56</v>
      </c>
      <c r="BK31" s="50" t="s">
        <v>119</v>
      </c>
      <c r="BL31" s="87" t="str">
        <f t="shared" si="4"/>
        <v>High</v>
      </c>
      <c r="BM31" s="83" t="s">
        <v>56</v>
      </c>
      <c r="BN31" s="50" t="s">
        <v>97</v>
      </c>
      <c r="BO31" s="50" t="s">
        <v>80</v>
      </c>
      <c r="BP31" s="50" t="s">
        <v>119</v>
      </c>
      <c r="BQ31" s="96" t="str">
        <f t="shared" si="11"/>
        <v>High</v>
      </c>
      <c r="BR31" s="9">
        <f>8*1</f>
        <v>8</v>
      </c>
      <c r="BS31" s="2" t="s">
        <v>370</v>
      </c>
      <c r="BT31" s="14" t="s">
        <v>48</v>
      </c>
      <c r="BU31" s="20"/>
      <c r="BV31" s="14" t="s">
        <v>83</v>
      </c>
      <c r="BW31" s="2" t="s">
        <v>48</v>
      </c>
      <c r="BX31" s="2" t="s">
        <v>66</v>
      </c>
      <c r="BY31" s="2" t="s">
        <v>54</v>
      </c>
      <c r="BZ31" s="2" t="str">
        <f t="shared" si="5"/>
        <v>Low</v>
      </c>
      <c r="CA31" s="2" t="str">
        <f t="shared" si="6"/>
        <v>Low</v>
      </c>
      <c r="CB31" s="2" t="str">
        <f t="shared" si="7"/>
        <v>Low</v>
      </c>
      <c r="CC31" s="2" t="s">
        <v>69</v>
      </c>
      <c r="CD31" s="35"/>
      <c r="CE31" s="42" t="s">
        <v>54</v>
      </c>
      <c r="CF31" s="42"/>
      <c r="CG31" s="124" t="s">
        <v>54</v>
      </c>
      <c r="CH31" s="42"/>
      <c r="CI31" s="42" t="s">
        <v>54</v>
      </c>
      <c r="CJ31" s="42"/>
      <c r="CK31" s="33"/>
      <c r="CL31" s="28"/>
      <c r="CM31" s="127" t="s">
        <v>68</v>
      </c>
      <c r="CN31" s="28"/>
      <c r="CO31" s="28"/>
      <c r="CP31" s="33"/>
      <c r="CQ31" s="33" t="s">
        <v>54</v>
      </c>
      <c r="CR31" s="28"/>
      <c r="CS31" s="33" t="s">
        <v>54</v>
      </c>
      <c r="CT31" s="28"/>
      <c r="CU31" s="33" t="s">
        <v>48</v>
      </c>
      <c r="CV31" s="33"/>
      <c r="CW31" s="33" t="s">
        <v>87</v>
      </c>
      <c r="CX31" s="33" t="s">
        <v>149</v>
      </c>
      <c r="CY31" s="33" t="s">
        <v>54</v>
      </c>
      <c r="CZ31" s="28"/>
      <c r="DA31" s="130" t="s">
        <v>363</v>
      </c>
      <c r="DB31" s="42" t="s">
        <v>364</v>
      </c>
      <c r="DC31" s="42" t="s">
        <v>54</v>
      </c>
    </row>
    <row r="32" spans="1:107" ht="14.25" customHeight="1" x14ac:dyDescent="0.35">
      <c r="A32" s="43" t="s">
        <v>371</v>
      </c>
      <c r="B32" s="2" t="s">
        <v>359</v>
      </c>
      <c r="C32" s="2" t="s">
        <v>360</v>
      </c>
      <c r="D32" s="2" t="s">
        <v>372</v>
      </c>
      <c r="E32" s="2"/>
      <c r="F32" s="50" t="s">
        <v>373</v>
      </c>
      <c r="G32" s="55">
        <v>49</v>
      </c>
      <c r="H32" s="17" t="s">
        <v>528</v>
      </c>
      <c r="I32" s="72" t="s">
        <v>43</v>
      </c>
      <c r="J32" s="34" t="s">
        <v>43</v>
      </c>
      <c r="K32" s="34" t="s">
        <v>43</v>
      </c>
      <c r="L32" s="34" t="s">
        <v>42</v>
      </c>
      <c r="M32" s="34" t="s">
        <v>43</v>
      </c>
      <c r="N32" s="34" t="s">
        <v>43</v>
      </c>
      <c r="O32" s="34" t="s">
        <v>43</v>
      </c>
      <c r="P32" s="34" t="s">
        <v>618</v>
      </c>
      <c r="Q32" s="80" t="str">
        <f t="shared" si="8"/>
        <v>Low</v>
      </c>
      <c r="R32" s="55" t="s">
        <v>48</v>
      </c>
      <c r="S32" s="34" t="s">
        <v>618</v>
      </c>
      <c r="T32" s="17" t="s">
        <v>69</v>
      </c>
      <c r="U32" s="90">
        <v>4.4768280000000003</v>
      </c>
      <c r="V32" s="91"/>
      <c r="W32" s="17"/>
      <c r="X32" s="17" t="str">
        <f t="shared" si="9"/>
        <v>Low</v>
      </c>
      <c r="Y32" s="93">
        <v>16.293710000000001</v>
      </c>
      <c r="Z32" s="97" t="str">
        <f t="shared" si="0"/>
        <v>High</v>
      </c>
      <c r="AA32" s="83" t="s">
        <v>54</v>
      </c>
      <c r="AB32" s="50"/>
      <c r="AC32" s="87" t="s">
        <v>54</v>
      </c>
      <c r="AD32" s="55" t="s">
        <v>82</v>
      </c>
      <c r="AE32" s="70" t="s">
        <v>83</v>
      </c>
      <c r="AF32" s="96" t="s">
        <v>69</v>
      </c>
      <c r="AG32" s="82" t="s">
        <v>48</v>
      </c>
      <c r="AH32" s="70" t="s">
        <v>167</v>
      </c>
      <c r="AI32" s="56" t="str">
        <f t="shared" si="10"/>
        <v>Low</v>
      </c>
      <c r="AJ32" s="107" t="s">
        <v>546</v>
      </c>
      <c r="AK32" s="87" t="str">
        <f t="shared" si="2"/>
        <v>Low</v>
      </c>
      <c r="AL32" s="111">
        <f t="shared" si="13"/>
        <v>706.5</v>
      </c>
      <c r="AM32" s="50">
        <v>680</v>
      </c>
      <c r="AN32" s="50">
        <v>733</v>
      </c>
      <c r="AO32" s="50" t="s">
        <v>81</v>
      </c>
      <c r="AP32" s="87" t="str">
        <f t="shared" si="3"/>
        <v>Low</v>
      </c>
      <c r="AQ32" s="83" t="s">
        <v>48</v>
      </c>
      <c r="AR32" s="50" t="s">
        <v>375</v>
      </c>
      <c r="AS32" s="50" t="s">
        <v>119</v>
      </c>
      <c r="AT32" s="87" t="s">
        <v>69</v>
      </c>
      <c r="AU32" s="83" t="s">
        <v>104</v>
      </c>
      <c r="AV32" s="87" t="s">
        <v>69</v>
      </c>
      <c r="AW32" s="55" t="s">
        <v>105</v>
      </c>
      <c r="AX32" s="70" t="s">
        <v>141</v>
      </c>
      <c r="AY32" s="87" t="s">
        <v>69</v>
      </c>
      <c r="AZ32" s="83" t="s">
        <v>376</v>
      </c>
      <c r="BA32" s="50" t="s">
        <v>48</v>
      </c>
      <c r="BB32" s="89">
        <v>1</v>
      </c>
      <c r="BC32" s="70" t="s">
        <v>56</v>
      </c>
      <c r="BD32" s="70" t="s">
        <v>48</v>
      </c>
      <c r="BE32" s="70" t="s">
        <v>238</v>
      </c>
      <c r="BF32" s="96" t="s">
        <v>317</v>
      </c>
      <c r="BG32" s="148"/>
      <c r="BH32" s="111" t="s">
        <v>48</v>
      </c>
      <c r="BI32" s="73" t="s">
        <v>69</v>
      </c>
      <c r="BJ32" s="83" t="s">
        <v>56</v>
      </c>
      <c r="BK32" s="50" t="s">
        <v>699</v>
      </c>
      <c r="BL32" s="87" t="str">
        <f t="shared" si="4"/>
        <v>High</v>
      </c>
      <c r="BM32" s="83" t="s">
        <v>56</v>
      </c>
      <c r="BN32" s="50" t="s">
        <v>97</v>
      </c>
      <c r="BO32" s="50" t="s">
        <v>80</v>
      </c>
      <c r="BP32" s="50" t="s">
        <v>140</v>
      </c>
      <c r="BQ32" s="96" t="str">
        <f t="shared" si="11"/>
        <v>High</v>
      </c>
      <c r="BR32" s="12">
        <f>5.5*1</f>
        <v>5.5</v>
      </c>
      <c r="BS32" s="2" t="s">
        <v>232</v>
      </c>
      <c r="BT32" s="14" t="s">
        <v>48</v>
      </c>
      <c r="BU32" s="20"/>
      <c r="BV32" s="14" t="s">
        <v>83</v>
      </c>
      <c r="BW32" s="2" t="s">
        <v>48</v>
      </c>
      <c r="BX32" s="2" t="s">
        <v>66</v>
      </c>
      <c r="BY32" s="2" t="s">
        <v>54</v>
      </c>
      <c r="BZ32" s="2" t="str">
        <f t="shared" si="5"/>
        <v>Low</v>
      </c>
      <c r="CA32" s="2" t="str">
        <f t="shared" si="6"/>
        <v>Low</v>
      </c>
      <c r="CB32" s="2" t="str">
        <f t="shared" si="7"/>
        <v>Low</v>
      </c>
      <c r="CC32" s="2" t="s">
        <v>69</v>
      </c>
      <c r="CD32" s="35"/>
      <c r="CE32" s="42" t="s">
        <v>54</v>
      </c>
      <c r="CF32" s="42"/>
      <c r="CG32" s="124" t="s">
        <v>54</v>
      </c>
      <c r="CH32" s="42"/>
      <c r="CI32" s="42" t="s">
        <v>54</v>
      </c>
      <c r="CJ32" s="42"/>
      <c r="CK32" s="33"/>
      <c r="CL32" s="28"/>
      <c r="CM32" s="28"/>
      <c r="CN32" s="28"/>
      <c r="CO32" s="28"/>
      <c r="CP32" s="33"/>
      <c r="CQ32" s="33" t="s">
        <v>54</v>
      </c>
      <c r="CR32" s="28"/>
      <c r="CS32" s="33" t="s">
        <v>54</v>
      </c>
      <c r="CT32" s="28"/>
      <c r="CU32" s="33" t="s">
        <v>48</v>
      </c>
      <c r="CV32" s="33"/>
      <c r="CW32" s="33" t="s">
        <v>87</v>
      </c>
      <c r="CX32" s="33" t="s">
        <v>149</v>
      </c>
      <c r="CY32" s="33" t="s">
        <v>54</v>
      </c>
      <c r="CZ32" s="28"/>
      <c r="DA32" s="46" t="s">
        <v>374</v>
      </c>
      <c r="DB32" s="42" t="s">
        <v>364</v>
      </c>
      <c r="DC32" s="42" t="s">
        <v>54</v>
      </c>
    </row>
    <row r="33" spans="1:107" ht="14.25" customHeight="1" x14ac:dyDescent="0.35">
      <c r="A33" s="43" t="s">
        <v>377</v>
      </c>
      <c r="B33" s="2" t="s">
        <v>359</v>
      </c>
      <c r="C33" s="2" t="s">
        <v>378</v>
      </c>
      <c r="D33" s="2" t="s">
        <v>379</v>
      </c>
      <c r="E33" s="2"/>
      <c r="F33" s="50" t="s">
        <v>380</v>
      </c>
      <c r="G33" s="55">
        <v>85</v>
      </c>
      <c r="H33" s="17" t="s">
        <v>528</v>
      </c>
      <c r="I33" s="72" t="s">
        <v>43</v>
      </c>
      <c r="J33" s="34" t="s">
        <v>43</v>
      </c>
      <c r="K33" s="34" t="s">
        <v>43</v>
      </c>
      <c r="L33" s="34" t="s">
        <v>42</v>
      </c>
      <c r="M33" s="34" t="s">
        <v>43</v>
      </c>
      <c r="N33" s="34" t="s">
        <v>43</v>
      </c>
      <c r="O33" s="34" t="s">
        <v>43</v>
      </c>
      <c r="P33" s="34" t="s">
        <v>626</v>
      </c>
      <c r="Q33" s="80" t="str">
        <f t="shared" si="8"/>
        <v>Low</v>
      </c>
      <c r="R33" s="82" t="s">
        <v>383</v>
      </c>
      <c r="S33" s="34" t="s">
        <v>626</v>
      </c>
      <c r="T33" s="17" t="s">
        <v>69</v>
      </c>
      <c r="U33" s="90">
        <v>4.0045710000000003</v>
      </c>
      <c r="V33" s="91"/>
      <c r="W33" s="17"/>
      <c r="X33" s="17" t="str">
        <f t="shared" si="9"/>
        <v>Low</v>
      </c>
      <c r="Y33" s="93">
        <v>31.510909999999999</v>
      </c>
      <c r="Z33" s="97" t="str">
        <f t="shared" si="0"/>
        <v>Low</v>
      </c>
      <c r="AA33" s="83" t="s">
        <v>54</v>
      </c>
      <c r="AB33" s="50"/>
      <c r="AC33" s="87" t="s">
        <v>54</v>
      </c>
      <c r="AD33" s="55" t="s">
        <v>82</v>
      </c>
      <c r="AE33" s="70" t="s">
        <v>83</v>
      </c>
      <c r="AF33" s="96" t="s">
        <v>69</v>
      </c>
      <c r="AG33" s="82" t="s">
        <v>48</v>
      </c>
      <c r="AH33" s="70" t="s">
        <v>167</v>
      </c>
      <c r="AI33" s="56" t="str">
        <f t="shared" si="10"/>
        <v>Low</v>
      </c>
      <c r="AJ33" s="107" t="s">
        <v>546</v>
      </c>
      <c r="AK33" s="87" t="str">
        <f t="shared" si="2"/>
        <v>Low</v>
      </c>
      <c r="AL33" s="111">
        <v>550</v>
      </c>
      <c r="AM33" s="50">
        <v>1200</v>
      </c>
      <c r="AN33" s="50">
        <v>932</v>
      </c>
      <c r="AO33" s="50" t="s">
        <v>381</v>
      </c>
      <c r="AP33" s="87" t="str">
        <f t="shared" si="3"/>
        <v>Low</v>
      </c>
      <c r="AQ33" s="83" t="s">
        <v>48</v>
      </c>
      <c r="AR33" s="50" t="s">
        <v>382</v>
      </c>
      <c r="AS33" s="50" t="s">
        <v>119</v>
      </c>
      <c r="AT33" s="87" t="s">
        <v>69</v>
      </c>
      <c r="AU33" s="83" t="s">
        <v>104</v>
      </c>
      <c r="AV33" s="87" t="s">
        <v>69</v>
      </c>
      <c r="AW33" s="55" t="s">
        <v>105</v>
      </c>
      <c r="AX33" s="70" t="s">
        <v>141</v>
      </c>
      <c r="AY33" s="87" t="s">
        <v>69</v>
      </c>
      <c r="AZ33" s="83" t="s">
        <v>376</v>
      </c>
      <c r="BA33" s="50" t="s">
        <v>48</v>
      </c>
      <c r="BB33" s="89">
        <v>1</v>
      </c>
      <c r="BC33" s="70" t="s">
        <v>56</v>
      </c>
      <c r="BD33" s="70" t="s">
        <v>48</v>
      </c>
      <c r="BE33" s="70" t="s">
        <v>238</v>
      </c>
      <c r="BF33" s="96" t="s">
        <v>317</v>
      </c>
      <c r="BG33" s="148"/>
      <c r="BH33" s="111" t="s">
        <v>48</v>
      </c>
      <c r="BI33" s="73" t="s">
        <v>69</v>
      </c>
      <c r="BJ33" s="83" t="s">
        <v>56</v>
      </c>
      <c r="BK33" s="50" t="s">
        <v>701</v>
      </c>
      <c r="BL33" s="87" t="str">
        <f t="shared" si="4"/>
        <v>High</v>
      </c>
      <c r="BM33" s="83" t="s">
        <v>56</v>
      </c>
      <c r="BN33" s="50" t="s">
        <v>97</v>
      </c>
      <c r="BO33" s="50" t="s">
        <v>80</v>
      </c>
      <c r="BP33" s="50" t="s">
        <v>119</v>
      </c>
      <c r="BQ33" s="96" t="str">
        <f t="shared" si="11"/>
        <v>High</v>
      </c>
      <c r="BR33" s="12">
        <f>19*1</f>
        <v>19</v>
      </c>
      <c r="BS33" s="2" t="s">
        <v>232</v>
      </c>
      <c r="BT33" s="14" t="s">
        <v>48</v>
      </c>
      <c r="BU33" s="20"/>
      <c r="BV33" s="14" t="s">
        <v>83</v>
      </c>
      <c r="BW33" s="2" t="s">
        <v>48</v>
      </c>
      <c r="BX33" s="2" t="s">
        <v>66</v>
      </c>
      <c r="BY33" s="2" t="s">
        <v>54</v>
      </c>
      <c r="BZ33" s="2" t="str">
        <f t="shared" si="5"/>
        <v>Low</v>
      </c>
      <c r="CA33" s="2" t="str">
        <f t="shared" si="6"/>
        <v>Low</v>
      </c>
      <c r="CB33" s="2" t="str">
        <f t="shared" si="7"/>
        <v>Low</v>
      </c>
      <c r="CC33" s="2" t="s">
        <v>69</v>
      </c>
      <c r="CD33" s="35"/>
      <c r="CE33" s="42" t="s">
        <v>54</v>
      </c>
      <c r="CF33" s="42"/>
      <c r="CG33" s="124" t="s">
        <v>54</v>
      </c>
      <c r="CH33" s="42"/>
      <c r="CI33" s="42" t="s">
        <v>54</v>
      </c>
      <c r="CJ33" s="42"/>
      <c r="CK33" s="33"/>
      <c r="CL33" s="28"/>
      <c r="CM33" s="28"/>
      <c r="CN33" s="28"/>
      <c r="CO33" s="28"/>
      <c r="CP33" s="33"/>
      <c r="CQ33" s="33" t="s">
        <v>54</v>
      </c>
      <c r="CR33" s="28"/>
      <c r="CS33" s="33" t="s">
        <v>54</v>
      </c>
      <c r="CT33" s="28"/>
      <c r="CU33" s="33" t="s">
        <v>48</v>
      </c>
      <c r="CV33" s="33"/>
      <c r="CW33" s="33" t="s">
        <v>87</v>
      </c>
      <c r="CX33" s="33" t="s">
        <v>149</v>
      </c>
      <c r="CY33" s="33" t="s">
        <v>384</v>
      </c>
      <c r="CZ33" s="33" t="s">
        <v>366</v>
      </c>
      <c r="DA33" s="42" t="s">
        <v>54</v>
      </c>
      <c r="DB33" s="42"/>
      <c r="DC33" s="42" t="s">
        <v>54</v>
      </c>
    </row>
    <row r="34" spans="1:107" ht="14.25" customHeight="1" x14ac:dyDescent="0.35">
      <c r="A34" s="43" t="s">
        <v>385</v>
      </c>
      <c r="B34" s="2" t="s">
        <v>723</v>
      </c>
      <c r="C34" s="2" t="s">
        <v>386</v>
      </c>
      <c r="D34" s="2" t="s">
        <v>387</v>
      </c>
      <c r="E34" s="15"/>
      <c r="F34" s="50" t="s">
        <v>388</v>
      </c>
      <c r="G34" s="55">
        <v>96</v>
      </c>
      <c r="H34" s="17" t="s">
        <v>528</v>
      </c>
      <c r="I34" s="72" t="s">
        <v>42</v>
      </c>
      <c r="J34" s="34" t="s">
        <v>43</v>
      </c>
      <c r="K34" s="34" t="s">
        <v>43</v>
      </c>
      <c r="L34" s="34" t="s">
        <v>43</v>
      </c>
      <c r="M34" s="34" t="s">
        <v>43</v>
      </c>
      <c r="N34" s="34" t="s">
        <v>43</v>
      </c>
      <c r="O34" s="34" t="s">
        <v>43</v>
      </c>
      <c r="P34" s="34" t="s">
        <v>620</v>
      </c>
      <c r="Q34" s="80" t="str">
        <f t="shared" si="8"/>
        <v>Low</v>
      </c>
      <c r="R34" s="55" t="s">
        <v>48</v>
      </c>
      <c r="S34" s="53" t="s">
        <v>649</v>
      </c>
      <c r="T34" s="17" t="s">
        <v>69</v>
      </c>
      <c r="U34" s="90">
        <v>4.1707650000000003</v>
      </c>
      <c r="V34" s="91"/>
      <c r="W34" s="17"/>
      <c r="X34" s="17" t="str">
        <f t="shared" si="9"/>
        <v>Low</v>
      </c>
      <c r="Y34" s="93">
        <v>29.718309999999999</v>
      </c>
      <c r="Z34" s="97" t="str">
        <f t="shared" si="0"/>
        <v>Low</v>
      </c>
      <c r="AA34" s="83" t="s">
        <v>69</v>
      </c>
      <c r="AB34" s="50" t="s">
        <v>659</v>
      </c>
      <c r="AC34" s="87" t="s">
        <v>69</v>
      </c>
      <c r="AD34" s="55" t="s">
        <v>51</v>
      </c>
      <c r="AE34" s="70" t="s">
        <v>52</v>
      </c>
      <c r="AF34" s="96" t="s">
        <v>69</v>
      </c>
      <c r="AG34" s="82" t="s">
        <v>48</v>
      </c>
      <c r="AH34" s="70" t="s">
        <v>167</v>
      </c>
      <c r="AI34" s="56" t="str">
        <f t="shared" si="10"/>
        <v>Low</v>
      </c>
      <c r="AJ34" s="107" t="s">
        <v>546</v>
      </c>
      <c r="AK34" s="87" t="str">
        <f t="shared" si="2"/>
        <v>Low</v>
      </c>
      <c r="AL34" s="111">
        <v>1272.5</v>
      </c>
      <c r="AM34" s="50">
        <v>1265</v>
      </c>
      <c r="AN34" s="50">
        <v>1280</v>
      </c>
      <c r="AO34" s="50" t="s">
        <v>81</v>
      </c>
      <c r="AP34" s="87" t="str">
        <f t="shared" si="3"/>
        <v>Low</v>
      </c>
      <c r="AQ34" s="83" t="s">
        <v>48</v>
      </c>
      <c r="AR34" s="50" t="s">
        <v>389</v>
      </c>
      <c r="AS34" s="50" t="s">
        <v>119</v>
      </c>
      <c r="AT34" s="87" t="s">
        <v>69</v>
      </c>
      <c r="AU34" s="83" t="s">
        <v>104</v>
      </c>
      <c r="AV34" s="87" t="s">
        <v>69</v>
      </c>
      <c r="AW34" s="83" t="s">
        <v>105</v>
      </c>
      <c r="AX34" s="50" t="s">
        <v>672</v>
      </c>
      <c r="AY34" s="87" t="s">
        <v>69</v>
      </c>
      <c r="AZ34" s="83" t="s">
        <v>390</v>
      </c>
      <c r="BA34" s="50" t="s">
        <v>48</v>
      </c>
      <c r="BB34" s="89" t="s">
        <v>54</v>
      </c>
      <c r="BC34" s="70" t="s">
        <v>56</v>
      </c>
      <c r="BD34" s="70" t="s">
        <v>48</v>
      </c>
      <c r="BE34" s="70" t="s">
        <v>238</v>
      </c>
      <c r="BF34" s="96" t="s">
        <v>54</v>
      </c>
      <c r="BG34" s="148"/>
      <c r="BH34" s="111" t="s">
        <v>48</v>
      </c>
      <c r="BI34" s="73" t="s">
        <v>69</v>
      </c>
      <c r="BJ34" s="83" t="s">
        <v>56</v>
      </c>
      <c r="BK34" s="50" t="s">
        <v>702</v>
      </c>
      <c r="BL34" s="87" t="str">
        <f t="shared" si="4"/>
        <v>High</v>
      </c>
      <c r="BM34" s="83" t="s">
        <v>48</v>
      </c>
      <c r="BN34" s="50" t="s">
        <v>97</v>
      </c>
      <c r="BO34" s="50" t="s">
        <v>50</v>
      </c>
      <c r="BP34" s="50" t="s">
        <v>119</v>
      </c>
      <c r="BQ34" s="96" t="str">
        <f t="shared" si="11"/>
        <v>Low</v>
      </c>
      <c r="BR34" s="12">
        <f>34*1</f>
        <v>34</v>
      </c>
      <c r="BS34" s="2" t="s">
        <v>391</v>
      </c>
      <c r="BT34" s="14" t="s">
        <v>48</v>
      </c>
      <c r="BU34" s="20"/>
      <c r="BV34" s="14" t="s">
        <v>83</v>
      </c>
      <c r="BW34" s="2" t="s">
        <v>48</v>
      </c>
      <c r="BX34" s="2" t="s">
        <v>66</v>
      </c>
      <c r="BY34" s="2" t="s">
        <v>54</v>
      </c>
      <c r="BZ34" s="2" t="str">
        <f t="shared" si="5"/>
        <v>Low</v>
      </c>
      <c r="CA34" s="2" t="str">
        <f t="shared" si="6"/>
        <v>Low</v>
      </c>
      <c r="CB34" s="2" t="str">
        <f t="shared" si="7"/>
        <v>Low</v>
      </c>
      <c r="CC34" s="2" t="s">
        <v>69</v>
      </c>
      <c r="CD34" s="35"/>
      <c r="CE34" s="42" t="s">
        <v>54</v>
      </c>
      <c r="CF34" s="42"/>
      <c r="CG34" s="124" t="s">
        <v>54</v>
      </c>
      <c r="CH34" s="42"/>
      <c r="CI34" s="42" t="s">
        <v>54</v>
      </c>
      <c r="CJ34" s="42"/>
      <c r="CK34" s="33"/>
      <c r="CL34" s="28"/>
      <c r="CM34" s="28"/>
      <c r="CN34" s="28"/>
      <c r="CO34" s="28"/>
      <c r="CP34" s="33"/>
      <c r="CQ34" s="33" t="s">
        <v>54</v>
      </c>
      <c r="CR34" s="28"/>
      <c r="CS34" s="33" t="s">
        <v>54</v>
      </c>
      <c r="CT34" s="28"/>
      <c r="CU34" s="33" t="s">
        <v>48</v>
      </c>
      <c r="CV34" s="33"/>
      <c r="CW34" s="33" t="s">
        <v>70</v>
      </c>
      <c r="CX34" s="33" t="s">
        <v>149</v>
      </c>
      <c r="CY34" s="33" t="s">
        <v>54</v>
      </c>
      <c r="CZ34" s="28"/>
      <c r="DA34" s="42" t="s">
        <v>54</v>
      </c>
      <c r="DB34" s="42"/>
      <c r="DC34" s="42" t="s">
        <v>54</v>
      </c>
    </row>
    <row r="35" spans="1:107" ht="14.25" customHeight="1" x14ac:dyDescent="0.35">
      <c r="A35" s="43" t="s">
        <v>392</v>
      </c>
      <c r="B35" s="2" t="s">
        <v>179</v>
      </c>
      <c r="C35" s="2" t="s">
        <v>393</v>
      </c>
      <c r="D35" s="2" t="s">
        <v>394</v>
      </c>
      <c r="E35" s="2"/>
      <c r="F35" s="50" t="s">
        <v>395</v>
      </c>
      <c r="G35" s="55">
        <v>33</v>
      </c>
      <c r="H35" s="17" t="s">
        <v>528</v>
      </c>
      <c r="I35" s="72" t="s">
        <v>43</v>
      </c>
      <c r="J35" s="34" t="s">
        <v>42</v>
      </c>
      <c r="K35" s="34" t="s">
        <v>43</v>
      </c>
      <c r="L35" s="34" t="s">
        <v>43</v>
      </c>
      <c r="M35" s="34" t="s">
        <v>43</v>
      </c>
      <c r="N35" s="34" t="s">
        <v>43</v>
      </c>
      <c r="O35" s="34" t="s">
        <v>43</v>
      </c>
      <c r="P35" s="34" t="s">
        <v>86</v>
      </c>
      <c r="Q35" s="80" t="str">
        <f t="shared" si="8"/>
        <v>Low</v>
      </c>
      <c r="R35" s="82" t="s">
        <v>399</v>
      </c>
      <c r="S35" s="138" t="s">
        <v>650</v>
      </c>
      <c r="T35" s="17" t="s">
        <v>69</v>
      </c>
      <c r="U35" s="90">
        <v>3.432226</v>
      </c>
      <c r="V35" s="91"/>
      <c r="W35" s="17"/>
      <c r="X35" s="17" t="str">
        <f t="shared" si="9"/>
        <v>Low</v>
      </c>
      <c r="Y35" s="93">
        <v>13.89903</v>
      </c>
      <c r="Z35" s="97" t="str">
        <f t="shared" si="0"/>
        <v>High</v>
      </c>
      <c r="AA35" s="83" t="s">
        <v>69</v>
      </c>
      <c r="AB35" s="50" t="s">
        <v>86</v>
      </c>
      <c r="AC35" s="87" t="s">
        <v>69</v>
      </c>
      <c r="AD35" s="83" t="s">
        <v>396</v>
      </c>
      <c r="AE35" s="50" t="s">
        <v>81</v>
      </c>
      <c r="AF35" s="96" t="s">
        <v>69</v>
      </c>
      <c r="AG35" s="55" t="s">
        <v>56</v>
      </c>
      <c r="AH35" s="17" t="s">
        <v>397</v>
      </c>
      <c r="AI35" s="56" t="str">
        <f t="shared" si="10"/>
        <v>High</v>
      </c>
      <c r="AJ35" s="57">
        <v>11.03641</v>
      </c>
      <c r="AK35" s="87" t="str">
        <f t="shared" si="2"/>
        <v>Low</v>
      </c>
      <c r="AL35" s="111">
        <v>120</v>
      </c>
      <c r="AM35" s="50">
        <v>145</v>
      </c>
      <c r="AN35" s="50">
        <v>140</v>
      </c>
      <c r="AO35" s="50" t="s">
        <v>81</v>
      </c>
      <c r="AP35" s="87" t="str">
        <f t="shared" si="3"/>
        <v>Low</v>
      </c>
      <c r="AQ35" s="83" t="s">
        <v>48</v>
      </c>
      <c r="AR35" s="50" t="s">
        <v>398</v>
      </c>
      <c r="AS35" s="50" t="s">
        <v>168</v>
      </c>
      <c r="AT35" s="87" t="s">
        <v>69</v>
      </c>
      <c r="AU35" s="83" t="s">
        <v>61</v>
      </c>
      <c r="AV35" s="87" t="s">
        <v>69</v>
      </c>
      <c r="AW35" s="83" t="s">
        <v>400</v>
      </c>
      <c r="AX35" s="50" t="s">
        <v>401</v>
      </c>
      <c r="AY35" s="87" t="s">
        <v>54</v>
      </c>
      <c r="AZ35" s="83" t="s">
        <v>402</v>
      </c>
      <c r="BA35" s="70" t="s">
        <v>403</v>
      </c>
      <c r="BB35" s="89">
        <v>1</v>
      </c>
      <c r="BC35" s="70" t="s">
        <v>56</v>
      </c>
      <c r="BD35" s="70" t="s">
        <v>48</v>
      </c>
      <c r="BE35" s="17" t="s">
        <v>404</v>
      </c>
      <c r="BF35" s="56" t="s">
        <v>317</v>
      </c>
      <c r="BG35" s="148"/>
      <c r="BH35" s="111" t="s">
        <v>48</v>
      </c>
      <c r="BI35" s="73" t="s">
        <v>69</v>
      </c>
      <c r="BJ35" s="83" t="s">
        <v>56</v>
      </c>
      <c r="BK35" s="50" t="s">
        <v>703</v>
      </c>
      <c r="BL35" s="87" t="str">
        <f t="shared" si="4"/>
        <v>High</v>
      </c>
      <c r="BM35" s="83" t="s">
        <v>48</v>
      </c>
      <c r="BN35" s="50" t="s">
        <v>97</v>
      </c>
      <c r="BO35" s="50" t="s">
        <v>98</v>
      </c>
      <c r="BP35" s="50" t="s">
        <v>168</v>
      </c>
      <c r="BQ35" s="96" t="str">
        <f t="shared" si="11"/>
        <v>Low</v>
      </c>
      <c r="BR35" s="12">
        <f>1*4</f>
        <v>4</v>
      </c>
      <c r="BS35" s="2" t="s">
        <v>391</v>
      </c>
      <c r="BT35" s="14" t="s">
        <v>48</v>
      </c>
      <c r="BU35" s="20"/>
      <c r="BV35" s="14" t="s">
        <v>83</v>
      </c>
      <c r="BW35" s="2" t="s">
        <v>56</v>
      </c>
      <c r="BX35" s="14" t="s">
        <v>405</v>
      </c>
      <c r="BY35" s="2" t="s">
        <v>54</v>
      </c>
      <c r="BZ35" s="2" t="str">
        <f t="shared" si="5"/>
        <v>Low</v>
      </c>
      <c r="CA35" s="2" t="str">
        <f t="shared" si="6"/>
        <v>Low</v>
      </c>
      <c r="CB35" s="2" t="str">
        <f t="shared" si="7"/>
        <v>High</v>
      </c>
      <c r="CC35" s="2" t="s">
        <v>139</v>
      </c>
      <c r="CD35" s="35"/>
      <c r="CE35" s="42" t="s">
        <v>54</v>
      </c>
      <c r="CF35" s="42"/>
      <c r="CG35" s="124" t="s">
        <v>54</v>
      </c>
      <c r="CH35" s="42"/>
      <c r="CI35" s="42" t="s">
        <v>54</v>
      </c>
      <c r="CJ35" s="42"/>
      <c r="CK35" s="33"/>
      <c r="CL35" s="28"/>
      <c r="CM35" s="28"/>
      <c r="CN35" s="28"/>
      <c r="CO35" s="28"/>
      <c r="CP35" s="33"/>
      <c r="CQ35" s="33" t="s">
        <v>54</v>
      </c>
      <c r="CR35" s="28"/>
      <c r="CS35" s="33" t="s">
        <v>54</v>
      </c>
      <c r="CT35" s="28"/>
      <c r="CU35" s="33" t="s">
        <v>48</v>
      </c>
      <c r="CV35" s="33"/>
      <c r="CW35" s="33" t="s">
        <v>70</v>
      </c>
      <c r="CX35" s="33" t="s">
        <v>81</v>
      </c>
      <c r="CY35" s="33" t="s">
        <v>54</v>
      </c>
      <c r="CZ35" s="28"/>
      <c r="DA35" s="42" t="s">
        <v>54</v>
      </c>
      <c r="DB35" s="42"/>
      <c r="DC35" s="42" t="s">
        <v>54</v>
      </c>
    </row>
    <row r="36" spans="1:107" ht="14.25" customHeight="1" x14ac:dyDescent="0.35">
      <c r="A36" s="43" t="s">
        <v>406</v>
      </c>
      <c r="B36" s="2" t="s">
        <v>407</v>
      </c>
      <c r="C36" s="2" t="s">
        <v>408</v>
      </c>
      <c r="D36" s="2" t="s">
        <v>409</v>
      </c>
      <c r="E36" s="2"/>
      <c r="F36" s="50" t="s">
        <v>410</v>
      </c>
      <c r="G36" s="55">
        <v>89</v>
      </c>
      <c r="H36" s="17" t="s">
        <v>528</v>
      </c>
      <c r="I36" s="72" t="s">
        <v>42</v>
      </c>
      <c r="J36" s="34" t="s">
        <v>43</v>
      </c>
      <c r="K36" s="34" t="s">
        <v>43</v>
      </c>
      <c r="L36" s="34" t="s">
        <v>43</v>
      </c>
      <c r="M36" s="34" t="s">
        <v>42</v>
      </c>
      <c r="N36" s="34" t="s">
        <v>42</v>
      </c>
      <c r="O36" s="34" t="s">
        <v>43</v>
      </c>
      <c r="P36" s="34" t="s">
        <v>621</v>
      </c>
      <c r="Q36" s="80" t="s">
        <v>69</v>
      </c>
      <c r="R36" s="55" t="s">
        <v>48</v>
      </c>
      <c r="S36" s="53" t="s">
        <v>651</v>
      </c>
      <c r="T36" s="17" t="s">
        <v>69</v>
      </c>
      <c r="U36" s="90">
        <v>4.3388850000000003</v>
      </c>
      <c r="V36" s="91"/>
      <c r="W36" s="17"/>
      <c r="X36" s="17" t="str">
        <f t="shared" si="9"/>
        <v>Low</v>
      </c>
      <c r="Y36" s="93">
        <v>25.91075</v>
      </c>
      <c r="Z36" s="97" t="str">
        <f t="shared" si="0"/>
        <v>Low</v>
      </c>
      <c r="AA36" s="83" t="s">
        <v>69</v>
      </c>
      <c r="AB36" s="50" t="s">
        <v>660</v>
      </c>
      <c r="AC36" s="87" t="s">
        <v>69</v>
      </c>
      <c r="AD36" s="82" t="s">
        <v>411</v>
      </c>
      <c r="AE36" s="70" t="s">
        <v>52</v>
      </c>
      <c r="AF36" s="96" t="s">
        <v>69</v>
      </c>
      <c r="AG36" s="82" t="s">
        <v>411</v>
      </c>
      <c r="AH36" s="70" t="s">
        <v>52</v>
      </c>
      <c r="AI36" s="56" t="s">
        <v>69</v>
      </c>
      <c r="AJ36" s="107" t="s">
        <v>546</v>
      </c>
      <c r="AK36" s="87" t="str">
        <f t="shared" si="2"/>
        <v>Low</v>
      </c>
      <c r="AL36" s="111">
        <v>223.95</v>
      </c>
      <c r="AM36" s="50">
        <v>205.7</v>
      </c>
      <c r="AN36" s="50">
        <v>242.2</v>
      </c>
      <c r="AO36" s="50" t="s">
        <v>412</v>
      </c>
      <c r="AP36" s="87" t="str">
        <f t="shared" si="3"/>
        <v>Low</v>
      </c>
      <c r="AQ36" s="83" t="s">
        <v>56</v>
      </c>
      <c r="AR36" s="50" t="s">
        <v>719</v>
      </c>
      <c r="AS36" s="50" t="s">
        <v>412</v>
      </c>
      <c r="AT36" s="87" t="s">
        <v>69</v>
      </c>
      <c r="AU36" s="83" t="s">
        <v>104</v>
      </c>
      <c r="AV36" s="87" t="s">
        <v>69</v>
      </c>
      <c r="AW36" s="55" t="s">
        <v>105</v>
      </c>
      <c r="AX36" s="70" t="s">
        <v>141</v>
      </c>
      <c r="AY36" s="96" t="s">
        <v>69</v>
      </c>
      <c r="AZ36" s="83" t="s">
        <v>413</v>
      </c>
      <c r="BA36" s="50" t="s">
        <v>48</v>
      </c>
      <c r="BB36" s="89">
        <v>1</v>
      </c>
      <c r="BC36" s="70" t="s">
        <v>56</v>
      </c>
      <c r="BD36" s="70" t="s">
        <v>48</v>
      </c>
      <c r="BE36" s="70" t="s">
        <v>414</v>
      </c>
      <c r="BF36" s="96" t="s">
        <v>317</v>
      </c>
      <c r="BG36" s="148"/>
      <c r="BH36" s="111" t="s">
        <v>48</v>
      </c>
      <c r="BI36" s="73" t="s">
        <v>69</v>
      </c>
      <c r="BJ36" s="83" t="s">
        <v>56</v>
      </c>
      <c r="BK36" s="50" t="s">
        <v>704</v>
      </c>
      <c r="BL36" s="87" t="str">
        <f t="shared" si="4"/>
        <v>High</v>
      </c>
      <c r="BM36" s="83" t="s">
        <v>48</v>
      </c>
      <c r="BN36" s="50" t="s">
        <v>128</v>
      </c>
      <c r="BO36" s="50" t="s">
        <v>50</v>
      </c>
      <c r="BP36" s="50" t="s">
        <v>119</v>
      </c>
      <c r="BQ36" s="96" t="str">
        <f t="shared" si="11"/>
        <v>Low</v>
      </c>
      <c r="BR36" s="12">
        <f>4*1</f>
        <v>4</v>
      </c>
      <c r="BS36" s="2" t="s">
        <v>412</v>
      </c>
      <c r="BT36" s="14" t="s">
        <v>48</v>
      </c>
      <c r="BU36" s="20"/>
      <c r="BV36" s="14" t="s">
        <v>83</v>
      </c>
      <c r="BW36" s="2" t="s">
        <v>48</v>
      </c>
      <c r="BX36" s="2" t="s">
        <v>66</v>
      </c>
      <c r="BY36" s="2" t="s">
        <v>54</v>
      </c>
      <c r="BZ36" s="2" t="str">
        <f t="shared" si="5"/>
        <v>Low</v>
      </c>
      <c r="CA36" s="2" t="str">
        <f t="shared" si="6"/>
        <v>Low</v>
      </c>
      <c r="CB36" s="2" t="str">
        <f t="shared" si="7"/>
        <v>Low</v>
      </c>
      <c r="CC36" s="2" t="s">
        <v>69</v>
      </c>
      <c r="CD36" s="35"/>
      <c r="CE36" s="42" t="s">
        <v>54</v>
      </c>
      <c r="CF36" s="42"/>
      <c r="CG36" s="124" t="s">
        <v>54</v>
      </c>
      <c r="CH36" s="42"/>
      <c r="CI36" s="42" t="s">
        <v>54</v>
      </c>
      <c r="CJ36" s="42"/>
      <c r="CK36" s="33"/>
      <c r="CL36" s="28"/>
      <c r="CM36" s="28"/>
      <c r="CN36" s="28"/>
      <c r="CO36" s="28"/>
      <c r="CP36" s="33"/>
      <c r="CQ36" s="33" t="s">
        <v>54</v>
      </c>
      <c r="CR36" s="28"/>
      <c r="CS36" s="33" t="s">
        <v>54</v>
      </c>
      <c r="CT36" s="28"/>
      <c r="CU36" s="33" t="s">
        <v>48</v>
      </c>
      <c r="CV36" s="33"/>
      <c r="CW36" s="33" t="s">
        <v>87</v>
      </c>
      <c r="CX36" s="33" t="s">
        <v>149</v>
      </c>
      <c r="CY36" s="33" t="s">
        <v>54</v>
      </c>
      <c r="CZ36" s="28"/>
      <c r="DA36" s="42" t="s">
        <v>54</v>
      </c>
      <c r="DB36" s="42"/>
      <c r="DC36" s="42" t="s">
        <v>54</v>
      </c>
    </row>
    <row r="37" spans="1:107" ht="14.25" customHeight="1" x14ac:dyDescent="0.35">
      <c r="A37" s="43" t="s">
        <v>415</v>
      </c>
      <c r="B37" s="2" t="s">
        <v>37</v>
      </c>
      <c r="C37" s="2" t="s">
        <v>416</v>
      </c>
      <c r="D37" s="2" t="s">
        <v>417</v>
      </c>
      <c r="E37" s="2"/>
      <c r="F37" s="50" t="s">
        <v>418</v>
      </c>
      <c r="G37" s="55">
        <v>11</v>
      </c>
      <c r="H37" s="17" t="s">
        <v>528</v>
      </c>
      <c r="I37" s="72" t="s">
        <v>42</v>
      </c>
      <c r="J37" s="34" t="s">
        <v>43</v>
      </c>
      <c r="K37" s="34" t="s">
        <v>43</v>
      </c>
      <c r="L37" s="34" t="s">
        <v>43</v>
      </c>
      <c r="M37" s="34" t="s">
        <v>43</v>
      </c>
      <c r="N37" s="34" t="s">
        <v>43</v>
      </c>
      <c r="O37" s="34" t="s">
        <v>43</v>
      </c>
      <c r="P37" s="34" t="s">
        <v>295</v>
      </c>
      <c r="Q37" s="80" t="str">
        <f t="shared" si="8"/>
        <v>Low</v>
      </c>
      <c r="R37" s="55" t="s">
        <v>48</v>
      </c>
      <c r="S37" s="53" t="s">
        <v>652</v>
      </c>
      <c r="T37" s="17" t="s">
        <v>69</v>
      </c>
      <c r="U37" s="90">
        <v>2.625705</v>
      </c>
      <c r="V37" s="91"/>
      <c r="W37" s="17"/>
      <c r="X37" s="17" t="str">
        <f t="shared" si="9"/>
        <v>High</v>
      </c>
      <c r="Y37" s="93">
        <v>21.160620000000002</v>
      </c>
      <c r="Z37" s="97" t="str">
        <f t="shared" si="0"/>
        <v>Low</v>
      </c>
      <c r="AA37" s="83" t="s">
        <v>69</v>
      </c>
      <c r="AB37" s="50" t="s">
        <v>652</v>
      </c>
      <c r="AC37" s="87" t="s">
        <v>69</v>
      </c>
      <c r="AD37" s="82" t="s">
        <v>411</v>
      </c>
      <c r="AE37" s="70" t="s">
        <v>52</v>
      </c>
      <c r="AF37" s="96" t="s">
        <v>69</v>
      </c>
      <c r="AG37" s="82" t="s">
        <v>411</v>
      </c>
      <c r="AH37" s="70" t="s">
        <v>297</v>
      </c>
      <c r="AI37" s="56" t="s">
        <v>69</v>
      </c>
      <c r="AJ37" s="57">
        <v>2.4665010000000001</v>
      </c>
      <c r="AK37" s="87" t="str">
        <f t="shared" si="2"/>
        <v>High</v>
      </c>
      <c r="AL37" s="111">
        <v>60</v>
      </c>
      <c r="AM37" s="50">
        <v>79</v>
      </c>
      <c r="AN37" s="50" t="s">
        <v>54</v>
      </c>
      <c r="AO37" s="50" t="s">
        <v>81</v>
      </c>
      <c r="AP37" s="87" t="str">
        <f t="shared" si="3"/>
        <v>High</v>
      </c>
      <c r="AQ37" s="83" t="s">
        <v>48</v>
      </c>
      <c r="AR37" s="50" t="s">
        <v>419</v>
      </c>
      <c r="AS37" s="50" t="s">
        <v>81</v>
      </c>
      <c r="AT37" s="87" t="s">
        <v>69</v>
      </c>
      <c r="AU37" s="83" t="s">
        <v>144</v>
      </c>
      <c r="AV37" s="87" t="s">
        <v>69</v>
      </c>
      <c r="AW37" s="83" t="s">
        <v>54</v>
      </c>
      <c r="AX37" s="50"/>
      <c r="AY37" s="87" t="s">
        <v>54</v>
      </c>
      <c r="AZ37" s="83" t="s">
        <v>420</v>
      </c>
      <c r="BA37" s="50" t="s">
        <v>48</v>
      </c>
      <c r="BB37" s="89" t="s">
        <v>54</v>
      </c>
      <c r="BC37" s="50" t="s">
        <v>54</v>
      </c>
      <c r="BD37" s="70" t="s">
        <v>48</v>
      </c>
      <c r="BE37" s="50" t="s">
        <v>81</v>
      </c>
      <c r="BF37" s="87" t="s">
        <v>54</v>
      </c>
      <c r="BG37" s="148"/>
      <c r="BH37" s="111" t="s">
        <v>48</v>
      </c>
      <c r="BI37" s="73" t="s">
        <v>69</v>
      </c>
      <c r="BJ37" s="83" t="s">
        <v>56</v>
      </c>
      <c r="BK37" s="50" t="s">
        <v>705</v>
      </c>
      <c r="BL37" s="87" t="str">
        <f t="shared" si="4"/>
        <v>High</v>
      </c>
      <c r="BM37" s="83" t="s">
        <v>48</v>
      </c>
      <c r="BN37" s="50" t="s">
        <v>97</v>
      </c>
      <c r="BO37" s="50" t="s">
        <v>50</v>
      </c>
      <c r="BP37" s="50" t="s">
        <v>168</v>
      </c>
      <c r="BQ37" s="96" t="str">
        <f t="shared" si="11"/>
        <v>Low</v>
      </c>
      <c r="BR37" s="12">
        <f>2*1</f>
        <v>2</v>
      </c>
      <c r="BS37" s="2" t="s">
        <v>421</v>
      </c>
      <c r="BT37" s="20" t="s">
        <v>424</v>
      </c>
      <c r="BU37" s="2" t="s">
        <v>422</v>
      </c>
      <c r="BV37" s="2" t="s">
        <v>423</v>
      </c>
      <c r="BW37" s="2" t="s">
        <v>56</v>
      </c>
      <c r="BX37" s="2" t="s">
        <v>66</v>
      </c>
      <c r="BY37" s="2" t="s">
        <v>54</v>
      </c>
      <c r="BZ37" s="2" t="str">
        <f t="shared" si="5"/>
        <v>Low</v>
      </c>
      <c r="CA37" s="2" t="str">
        <f>IF(BU37="No","Low","High")</f>
        <v>High</v>
      </c>
      <c r="CB37" s="2" t="str">
        <f t="shared" si="7"/>
        <v>High</v>
      </c>
      <c r="CC37" s="2" t="s">
        <v>139</v>
      </c>
      <c r="CD37" s="35"/>
      <c r="CE37" s="42" t="s">
        <v>54</v>
      </c>
      <c r="CF37" s="42"/>
      <c r="CG37" s="124" t="s">
        <v>54</v>
      </c>
      <c r="CH37" s="42"/>
      <c r="CI37" s="42" t="s">
        <v>54</v>
      </c>
      <c r="CJ37" s="42"/>
      <c r="CK37" s="33"/>
      <c r="CL37" s="28"/>
      <c r="CM37" s="28"/>
      <c r="CN37" s="28"/>
      <c r="CO37" s="28"/>
      <c r="CP37" s="33"/>
      <c r="CQ37" s="33" t="s">
        <v>54</v>
      </c>
      <c r="CR37" s="28"/>
      <c r="CS37" s="33" t="s">
        <v>424</v>
      </c>
      <c r="CT37" s="33" t="s">
        <v>425</v>
      </c>
      <c r="CU37" s="33" t="s">
        <v>48</v>
      </c>
      <c r="CV37" s="33"/>
      <c r="CW37" s="33" t="s">
        <v>70</v>
      </c>
      <c r="CX37" s="33" t="s">
        <v>149</v>
      </c>
      <c r="CY37" s="33" t="s">
        <v>54</v>
      </c>
      <c r="CZ37" s="28"/>
      <c r="DA37" s="42" t="s">
        <v>54</v>
      </c>
      <c r="DB37" s="42"/>
      <c r="DC37" s="42" t="s">
        <v>54</v>
      </c>
    </row>
    <row r="38" spans="1:107" ht="14.25" customHeight="1" x14ac:dyDescent="0.35">
      <c r="A38" s="43" t="s">
        <v>426</v>
      </c>
      <c r="B38" s="2" t="s">
        <v>258</v>
      </c>
      <c r="C38" s="2" t="s">
        <v>427</v>
      </c>
      <c r="D38" s="2" t="s">
        <v>428</v>
      </c>
      <c r="E38" s="2"/>
      <c r="F38" s="50" t="s">
        <v>429</v>
      </c>
      <c r="G38" s="55">
        <v>42</v>
      </c>
      <c r="H38" s="17" t="s">
        <v>528</v>
      </c>
      <c r="I38" s="72" t="s">
        <v>43</v>
      </c>
      <c r="J38" s="34" t="s">
        <v>43</v>
      </c>
      <c r="K38" s="34" t="s">
        <v>43</v>
      </c>
      <c r="L38" s="34" t="s">
        <v>42</v>
      </c>
      <c r="M38" s="34" t="s">
        <v>42</v>
      </c>
      <c r="N38" s="34" t="s">
        <v>43</v>
      </c>
      <c r="O38" s="34" t="s">
        <v>43</v>
      </c>
      <c r="P38" s="34" t="s">
        <v>624</v>
      </c>
      <c r="Q38" s="80" t="s">
        <v>69</v>
      </c>
      <c r="R38" s="82" t="s">
        <v>431</v>
      </c>
      <c r="S38" s="34" t="s">
        <v>706</v>
      </c>
      <c r="T38" s="17" t="s">
        <v>69</v>
      </c>
      <c r="U38" s="90">
        <v>3.4494120000000001</v>
      </c>
      <c r="V38" s="91"/>
      <c r="W38" s="17"/>
      <c r="X38" s="17" t="str">
        <f t="shared" si="9"/>
        <v>Low</v>
      </c>
      <c r="Y38" s="93">
        <v>18.4941</v>
      </c>
      <c r="Z38" s="97" t="str">
        <f t="shared" si="0"/>
        <v>Low</v>
      </c>
      <c r="AA38" s="83" t="s">
        <v>54</v>
      </c>
      <c r="AB38" s="50"/>
      <c r="AC38" s="87" t="s">
        <v>54</v>
      </c>
      <c r="AD38" s="55" t="s">
        <v>82</v>
      </c>
      <c r="AE38" s="70" t="s">
        <v>83</v>
      </c>
      <c r="AF38" s="96" t="s">
        <v>69</v>
      </c>
      <c r="AG38" s="82" t="s">
        <v>56</v>
      </c>
      <c r="AH38" s="70" t="s">
        <v>83</v>
      </c>
      <c r="AI38" s="56" t="str">
        <f t="shared" si="10"/>
        <v>High</v>
      </c>
      <c r="AJ38" s="57">
        <v>7.3083830000000001</v>
      </c>
      <c r="AK38" s="87" t="str">
        <f t="shared" si="2"/>
        <v>Low</v>
      </c>
      <c r="AL38" s="111">
        <v>55</v>
      </c>
      <c r="AM38" s="50">
        <v>68</v>
      </c>
      <c r="AN38" s="50" t="s">
        <v>54</v>
      </c>
      <c r="AO38" s="50" t="s">
        <v>81</v>
      </c>
      <c r="AP38" s="87" t="str">
        <f t="shared" si="3"/>
        <v>High</v>
      </c>
      <c r="AQ38" s="83" t="s">
        <v>48</v>
      </c>
      <c r="AR38" s="50" t="s">
        <v>430</v>
      </c>
      <c r="AS38" s="50" t="s">
        <v>86</v>
      </c>
      <c r="AT38" s="87" t="s">
        <v>69</v>
      </c>
      <c r="AU38" s="83" t="s">
        <v>61</v>
      </c>
      <c r="AV38" s="87" t="s">
        <v>69</v>
      </c>
      <c r="AW38" s="83" t="s">
        <v>54</v>
      </c>
      <c r="AX38" s="50"/>
      <c r="AY38" s="87" t="s">
        <v>54</v>
      </c>
      <c r="AZ38" s="83" t="s">
        <v>432</v>
      </c>
      <c r="BA38" s="50" t="s">
        <v>48</v>
      </c>
      <c r="BB38" s="89">
        <v>1</v>
      </c>
      <c r="BC38" s="50" t="s">
        <v>54</v>
      </c>
      <c r="BD38" s="70" t="s">
        <v>48</v>
      </c>
      <c r="BE38" s="50" t="s">
        <v>678</v>
      </c>
      <c r="BF38" s="87" t="s">
        <v>317</v>
      </c>
      <c r="BG38" s="148"/>
      <c r="BH38" s="111" t="s">
        <v>48</v>
      </c>
      <c r="BI38" s="73" t="s">
        <v>69</v>
      </c>
      <c r="BJ38" s="83" t="s">
        <v>56</v>
      </c>
      <c r="BK38" s="50" t="s">
        <v>706</v>
      </c>
      <c r="BL38" s="87" t="str">
        <f t="shared" si="4"/>
        <v>High</v>
      </c>
      <c r="BM38" s="83" t="s">
        <v>48</v>
      </c>
      <c r="BN38" s="50" t="s">
        <v>97</v>
      </c>
      <c r="BO38" s="50" t="s">
        <v>98</v>
      </c>
      <c r="BP38" s="50" t="s">
        <v>168</v>
      </c>
      <c r="BQ38" s="96" t="str">
        <f t="shared" si="11"/>
        <v>Low</v>
      </c>
      <c r="BR38" s="12">
        <f>2.5*1</f>
        <v>2.5</v>
      </c>
      <c r="BS38" s="2" t="s">
        <v>421</v>
      </c>
      <c r="BT38" s="14" t="s">
        <v>48</v>
      </c>
      <c r="BU38" s="20"/>
      <c r="BV38" s="14" t="s">
        <v>83</v>
      </c>
      <c r="BW38" s="2" t="s">
        <v>56</v>
      </c>
      <c r="BX38" s="2" t="s">
        <v>66</v>
      </c>
      <c r="BY38" s="2" t="s">
        <v>54</v>
      </c>
      <c r="BZ38" s="2" t="str">
        <f t="shared" si="5"/>
        <v>Low</v>
      </c>
      <c r="CA38" s="2" t="str">
        <f t="shared" si="6"/>
        <v>Low</v>
      </c>
      <c r="CB38" s="2" t="str">
        <f t="shared" si="7"/>
        <v>High</v>
      </c>
      <c r="CC38" s="2" t="s">
        <v>139</v>
      </c>
      <c r="CD38" s="35"/>
      <c r="CE38" s="42" t="s">
        <v>54</v>
      </c>
      <c r="CF38" s="42"/>
      <c r="CG38" s="124" t="s">
        <v>54</v>
      </c>
      <c r="CH38" s="42"/>
      <c r="CI38" s="42" t="s">
        <v>54</v>
      </c>
      <c r="CJ38" s="42"/>
      <c r="CK38" s="33"/>
      <c r="CL38" s="28"/>
      <c r="CM38" s="28"/>
      <c r="CN38" s="129">
        <v>34000</v>
      </c>
      <c r="CO38" s="28"/>
      <c r="CP38" s="33"/>
      <c r="CQ38" s="33" t="s">
        <v>54</v>
      </c>
      <c r="CR38" s="28"/>
      <c r="CS38" s="33" t="s">
        <v>54</v>
      </c>
      <c r="CT38" s="28"/>
      <c r="CU38" s="33" t="s">
        <v>48</v>
      </c>
      <c r="CV38" s="33"/>
      <c r="CW38" s="33" t="s">
        <v>87</v>
      </c>
      <c r="CX38" s="33" t="s">
        <v>149</v>
      </c>
      <c r="CY38" s="33" t="s">
        <v>54</v>
      </c>
      <c r="CZ38" s="28"/>
      <c r="DA38" s="42" t="s">
        <v>54</v>
      </c>
      <c r="DB38" s="42"/>
      <c r="DC38" s="42" t="s">
        <v>54</v>
      </c>
    </row>
    <row r="39" spans="1:107" ht="14.25" customHeight="1" x14ac:dyDescent="0.35">
      <c r="A39" s="43" t="s">
        <v>433</v>
      </c>
      <c r="B39" s="2" t="s">
        <v>258</v>
      </c>
      <c r="C39" s="2" t="s">
        <v>427</v>
      </c>
      <c r="D39" s="2" t="s">
        <v>434</v>
      </c>
      <c r="E39" s="2"/>
      <c r="F39" s="50" t="s">
        <v>435</v>
      </c>
      <c r="G39" s="55">
        <v>34</v>
      </c>
      <c r="H39" s="17" t="s">
        <v>528</v>
      </c>
      <c r="I39" s="72" t="s">
        <v>43</v>
      </c>
      <c r="J39" s="34" t="s">
        <v>43</v>
      </c>
      <c r="K39" s="34" t="s">
        <v>43</v>
      </c>
      <c r="L39" s="34" t="s">
        <v>42</v>
      </c>
      <c r="M39" s="34" t="s">
        <v>43</v>
      </c>
      <c r="N39" s="34" t="s">
        <v>43</v>
      </c>
      <c r="O39" s="34" t="s">
        <v>43</v>
      </c>
      <c r="P39" s="34" t="s">
        <v>640</v>
      </c>
      <c r="Q39" s="80" t="str">
        <f t="shared" si="8"/>
        <v>Low</v>
      </c>
      <c r="R39" s="55" t="s">
        <v>48</v>
      </c>
      <c r="S39" s="34" t="s">
        <v>640</v>
      </c>
      <c r="T39" s="17" t="s">
        <v>69</v>
      </c>
      <c r="U39" s="90">
        <v>3.967276</v>
      </c>
      <c r="V39" s="91"/>
      <c r="W39" s="17"/>
      <c r="X39" s="17" t="str">
        <f t="shared" si="9"/>
        <v>Low</v>
      </c>
      <c r="Y39" s="93">
        <v>15.05917</v>
      </c>
      <c r="Z39" s="97" t="str">
        <f t="shared" si="0"/>
        <v>High</v>
      </c>
      <c r="AA39" s="83" t="s">
        <v>54</v>
      </c>
      <c r="AB39" s="50"/>
      <c r="AC39" s="87" t="s">
        <v>54</v>
      </c>
      <c r="AD39" s="55" t="s">
        <v>82</v>
      </c>
      <c r="AE39" s="70" t="s">
        <v>83</v>
      </c>
      <c r="AF39" s="96" t="s">
        <v>69</v>
      </c>
      <c r="AG39" s="82" t="s">
        <v>56</v>
      </c>
      <c r="AH39" s="70" t="s">
        <v>83</v>
      </c>
      <c r="AI39" s="56" t="str">
        <f t="shared" si="10"/>
        <v>High</v>
      </c>
      <c r="AJ39" s="57">
        <v>5.7687840000000001</v>
      </c>
      <c r="AK39" s="87" t="str">
        <f t="shared" si="2"/>
        <v>High</v>
      </c>
      <c r="AL39" s="111">
        <v>55</v>
      </c>
      <c r="AM39" s="50">
        <v>73.400000000000006</v>
      </c>
      <c r="AN39" s="50" t="s">
        <v>54</v>
      </c>
      <c r="AO39" s="50" t="s">
        <v>81</v>
      </c>
      <c r="AP39" s="87" t="str">
        <f t="shared" si="3"/>
        <v>High</v>
      </c>
      <c r="AQ39" s="83" t="s">
        <v>48</v>
      </c>
      <c r="AR39" s="50" t="s">
        <v>438</v>
      </c>
      <c r="AS39" s="50" t="s">
        <v>81</v>
      </c>
      <c r="AT39" s="87" t="s">
        <v>69</v>
      </c>
      <c r="AU39" s="83" t="s">
        <v>61</v>
      </c>
      <c r="AV39" s="87" t="s">
        <v>69</v>
      </c>
      <c r="AW39" s="83" t="s">
        <v>54</v>
      </c>
      <c r="AX39" s="50"/>
      <c r="AY39" s="87" t="s">
        <v>54</v>
      </c>
      <c r="AZ39" s="83" t="s">
        <v>376</v>
      </c>
      <c r="BA39" s="50" t="s">
        <v>48</v>
      </c>
      <c r="BB39" s="89">
        <v>1</v>
      </c>
      <c r="BC39" s="50" t="s">
        <v>54</v>
      </c>
      <c r="BD39" s="70" t="s">
        <v>48</v>
      </c>
      <c r="BE39" s="50" t="s">
        <v>721</v>
      </c>
      <c r="BF39" s="87" t="s">
        <v>317</v>
      </c>
      <c r="BG39" s="148"/>
      <c r="BH39" s="111" t="s">
        <v>48</v>
      </c>
      <c r="BI39" s="73" t="s">
        <v>69</v>
      </c>
      <c r="BJ39" s="83" t="s">
        <v>56</v>
      </c>
      <c r="BK39" s="50" t="s">
        <v>707</v>
      </c>
      <c r="BL39" s="87" t="str">
        <f t="shared" si="4"/>
        <v>High</v>
      </c>
      <c r="BM39" s="83" t="s">
        <v>56</v>
      </c>
      <c r="BN39" s="50" t="s">
        <v>97</v>
      </c>
      <c r="BO39" s="50" t="s">
        <v>80</v>
      </c>
      <c r="BP39" s="50" t="s">
        <v>168</v>
      </c>
      <c r="BQ39" s="96" t="str">
        <f t="shared" si="11"/>
        <v>High</v>
      </c>
      <c r="BR39" s="12">
        <f>3*1</f>
        <v>3</v>
      </c>
      <c r="BS39" s="2" t="s">
        <v>421</v>
      </c>
      <c r="BT39" s="14" t="s">
        <v>48</v>
      </c>
      <c r="BU39" s="20"/>
      <c r="BV39" s="14" t="s">
        <v>83</v>
      </c>
      <c r="BW39" s="2" t="s">
        <v>48</v>
      </c>
      <c r="BX39" s="2" t="s">
        <v>66</v>
      </c>
      <c r="BY39" s="2" t="s">
        <v>54</v>
      </c>
      <c r="BZ39" s="2" t="str">
        <f t="shared" si="5"/>
        <v>Low</v>
      </c>
      <c r="CA39" s="2" t="str">
        <f t="shared" si="6"/>
        <v>Low</v>
      </c>
      <c r="CB39" s="2" t="str">
        <f t="shared" si="7"/>
        <v>Low</v>
      </c>
      <c r="CC39" s="2" t="s">
        <v>69</v>
      </c>
      <c r="CD39" s="35"/>
      <c r="CE39" s="42" t="s">
        <v>54</v>
      </c>
      <c r="CF39" s="42"/>
      <c r="CG39" s="124" t="s">
        <v>54</v>
      </c>
      <c r="CH39" s="42"/>
      <c r="CI39" s="42" t="s">
        <v>54</v>
      </c>
      <c r="CJ39" s="42"/>
      <c r="CK39" s="33"/>
      <c r="CL39" s="28"/>
      <c r="CM39" s="28"/>
      <c r="CN39" s="28"/>
      <c r="CO39" s="28"/>
      <c r="CP39" s="33"/>
      <c r="CQ39" s="33" t="s">
        <v>54</v>
      </c>
      <c r="CR39" s="28"/>
      <c r="CS39" s="33" t="s">
        <v>54</v>
      </c>
      <c r="CT39" s="28"/>
      <c r="CU39" s="33" t="s">
        <v>48</v>
      </c>
      <c r="CV39" s="33"/>
      <c r="CW39" s="33" t="s">
        <v>87</v>
      </c>
      <c r="CX39" s="33" t="s">
        <v>149</v>
      </c>
      <c r="CY39" s="33" t="s">
        <v>54</v>
      </c>
      <c r="CZ39" s="28"/>
      <c r="DA39" s="46" t="s">
        <v>436</v>
      </c>
      <c r="DB39" s="42" t="s">
        <v>437</v>
      </c>
      <c r="DC39" s="42" t="s">
        <v>54</v>
      </c>
    </row>
    <row r="40" spans="1:107" ht="14.25" customHeight="1" x14ac:dyDescent="0.35">
      <c r="A40" s="43" t="s">
        <v>439</v>
      </c>
      <c r="B40" s="2" t="s">
        <v>37</v>
      </c>
      <c r="C40" s="2" t="s">
        <v>440</v>
      </c>
      <c r="D40" s="2" t="s">
        <v>441</v>
      </c>
      <c r="E40" s="2" t="s">
        <v>442</v>
      </c>
      <c r="F40" s="50" t="s">
        <v>443</v>
      </c>
      <c r="G40" s="55">
        <v>95</v>
      </c>
      <c r="H40" s="17" t="s">
        <v>528</v>
      </c>
      <c r="I40" s="72" t="s">
        <v>42</v>
      </c>
      <c r="J40" s="34" t="s">
        <v>43</v>
      </c>
      <c r="K40" s="34" t="s">
        <v>43</v>
      </c>
      <c r="L40" s="34" t="s">
        <v>42</v>
      </c>
      <c r="M40" s="34" t="s">
        <v>42</v>
      </c>
      <c r="N40" s="34" t="s">
        <v>43</v>
      </c>
      <c r="O40" s="34" t="s">
        <v>43</v>
      </c>
      <c r="P40" s="34" t="s">
        <v>627</v>
      </c>
      <c r="Q40" s="80" t="s">
        <v>69</v>
      </c>
      <c r="R40" s="82" t="s">
        <v>445</v>
      </c>
      <c r="S40" s="34" t="s">
        <v>653</v>
      </c>
      <c r="T40" s="17" t="s">
        <v>69</v>
      </c>
      <c r="U40" s="88">
        <v>4.1963918140000001</v>
      </c>
      <c r="V40" s="89">
        <v>48</v>
      </c>
      <c r="W40" s="17" t="s">
        <v>45</v>
      </c>
      <c r="X40" s="17" t="str">
        <f t="shared" si="9"/>
        <v>Low</v>
      </c>
      <c r="Y40" s="93">
        <v>30.464790000000001</v>
      </c>
      <c r="Z40" s="97" t="str">
        <f t="shared" si="0"/>
        <v>Low</v>
      </c>
      <c r="AA40" s="83" t="s">
        <v>54</v>
      </c>
      <c r="AB40" s="50"/>
      <c r="AC40" s="87" t="s">
        <v>54</v>
      </c>
      <c r="AD40" s="55" t="s">
        <v>296</v>
      </c>
      <c r="AE40" s="70" t="s">
        <v>297</v>
      </c>
      <c r="AF40" s="96" t="s">
        <v>69</v>
      </c>
      <c r="AG40" s="82" t="s">
        <v>48</v>
      </c>
      <c r="AH40" s="70" t="s">
        <v>167</v>
      </c>
      <c r="AI40" s="56" t="str">
        <f t="shared" si="10"/>
        <v>Low</v>
      </c>
      <c r="AJ40" s="107" t="s">
        <v>546</v>
      </c>
      <c r="AK40" s="87" t="str">
        <f t="shared" si="2"/>
        <v>Low</v>
      </c>
      <c r="AL40" s="111">
        <v>100</v>
      </c>
      <c r="AM40" s="50">
        <v>135</v>
      </c>
      <c r="AN40" s="50" t="s">
        <v>54</v>
      </c>
      <c r="AO40" s="50" t="s">
        <v>81</v>
      </c>
      <c r="AP40" s="87" t="str">
        <f t="shared" si="3"/>
        <v>Low</v>
      </c>
      <c r="AQ40" s="83" t="s">
        <v>48</v>
      </c>
      <c r="AR40" s="50" t="s">
        <v>444</v>
      </c>
      <c r="AS40" s="50" t="s">
        <v>81</v>
      </c>
      <c r="AT40" s="87" t="s">
        <v>69</v>
      </c>
      <c r="AU40" s="83" t="s">
        <v>104</v>
      </c>
      <c r="AV40" s="87" t="s">
        <v>69</v>
      </c>
      <c r="AW40" s="83" t="s">
        <v>105</v>
      </c>
      <c r="AX40" s="50" t="s">
        <v>672</v>
      </c>
      <c r="AY40" s="87" t="s">
        <v>69</v>
      </c>
      <c r="AZ40" s="83" t="s">
        <v>446</v>
      </c>
      <c r="BA40" s="50" t="s">
        <v>48</v>
      </c>
      <c r="BB40" s="89">
        <v>1</v>
      </c>
      <c r="BC40" s="70" t="s">
        <v>56</v>
      </c>
      <c r="BD40" s="50" t="s">
        <v>48</v>
      </c>
      <c r="BE40" s="50" t="s">
        <v>364</v>
      </c>
      <c r="BF40" s="87" t="s">
        <v>317</v>
      </c>
      <c r="BG40" s="148"/>
      <c r="BH40" s="111" t="s">
        <v>48</v>
      </c>
      <c r="BI40" s="73" t="s">
        <v>69</v>
      </c>
      <c r="BJ40" s="83" t="s">
        <v>48</v>
      </c>
      <c r="BK40" s="50" t="s">
        <v>653</v>
      </c>
      <c r="BL40" s="87" t="str">
        <f t="shared" si="4"/>
        <v>Low</v>
      </c>
      <c r="BM40" s="83" t="s">
        <v>48</v>
      </c>
      <c r="BN40" s="50" t="s">
        <v>97</v>
      </c>
      <c r="BO40" s="50" t="s">
        <v>165</v>
      </c>
      <c r="BP40" s="50" t="s">
        <v>168</v>
      </c>
      <c r="BQ40" s="96" t="str">
        <f t="shared" si="11"/>
        <v>Low</v>
      </c>
      <c r="BR40" s="12">
        <f>1*11.615</f>
        <v>11.615</v>
      </c>
      <c r="BS40" s="14" t="s">
        <v>211</v>
      </c>
      <c r="BT40" s="14" t="s">
        <v>48</v>
      </c>
      <c r="BU40" s="20"/>
      <c r="BV40" s="14" t="s">
        <v>83</v>
      </c>
      <c r="BW40" s="2" t="s">
        <v>48</v>
      </c>
      <c r="BX40" s="2" t="s">
        <v>66</v>
      </c>
      <c r="BY40" s="2" t="s">
        <v>54</v>
      </c>
      <c r="BZ40" s="2" t="str">
        <f t="shared" si="5"/>
        <v>Low</v>
      </c>
      <c r="CA40" s="2" t="str">
        <f t="shared" si="6"/>
        <v>Low</v>
      </c>
      <c r="CB40" s="2" t="str">
        <f t="shared" si="7"/>
        <v>Low</v>
      </c>
      <c r="CC40" s="2" t="s">
        <v>69</v>
      </c>
      <c r="CD40" s="35"/>
      <c r="CE40" s="42" t="s">
        <v>54</v>
      </c>
      <c r="CF40" s="42"/>
      <c r="CG40" s="126">
        <v>16.193000000000001</v>
      </c>
      <c r="CH40" s="46" t="s">
        <v>67</v>
      </c>
      <c r="CI40" s="31">
        <v>16.193000000000001</v>
      </c>
      <c r="CJ40" s="42" t="s">
        <v>67</v>
      </c>
      <c r="CK40" s="33"/>
      <c r="CL40" s="28"/>
      <c r="CM40" s="28"/>
      <c r="CN40" s="28"/>
      <c r="CO40" s="28"/>
      <c r="CP40" s="33"/>
      <c r="CQ40" s="33" t="s">
        <v>54</v>
      </c>
      <c r="CR40" s="28"/>
      <c r="CS40" s="33" t="s">
        <v>424</v>
      </c>
      <c r="CT40" s="33" t="s">
        <v>425</v>
      </c>
      <c r="CU40" s="33" t="s">
        <v>48</v>
      </c>
      <c r="CV40" s="33"/>
      <c r="CW40" s="33" t="s">
        <v>447</v>
      </c>
      <c r="CX40" s="33" t="s">
        <v>448</v>
      </c>
      <c r="CY40" s="33" t="s">
        <v>54</v>
      </c>
      <c r="CZ40" s="28"/>
      <c r="DA40" s="42" t="s">
        <v>54</v>
      </c>
      <c r="DB40" s="42"/>
      <c r="DC40" s="42" t="s">
        <v>54</v>
      </c>
    </row>
    <row r="41" spans="1:107" ht="14.25" customHeight="1" x14ac:dyDescent="0.35">
      <c r="A41" s="43" t="s">
        <v>449</v>
      </c>
      <c r="B41" s="2" t="s">
        <v>37</v>
      </c>
      <c r="C41" s="2" t="s">
        <v>440</v>
      </c>
      <c r="D41" s="2" t="s">
        <v>450</v>
      </c>
      <c r="E41" s="2" t="s">
        <v>451</v>
      </c>
      <c r="F41" s="50" t="s">
        <v>452</v>
      </c>
      <c r="G41" s="55">
        <v>71</v>
      </c>
      <c r="H41" s="17" t="s">
        <v>528</v>
      </c>
      <c r="I41" s="72" t="s">
        <v>43</v>
      </c>
      <c r="J41" s="34" t="s">
        <v>43</v>
      </c>
      <c r="K41" s="34" t="s">
        <v>43</v>
      </c>
      <c r="L41" s="34" t="s">
        <v>42</v>
      </c>
      <c r="M41" s="34" t="s">
        <v>42</v>
      </c>
      <c r="N41" s="34" t="s">
        <v>43</v>
      </c>
      <c r="O41" s="34" t="s">
        <v>43</v>
      </c>
      <c r="P41" s="34" t="s">
        <v>625</v>
      </c>
      <c r="Q41" s="80" t="s">
        <v>69</v>
      </c>
      <c r="R41" s="82" t="s">
        <v>455</v>
      </c>
      <c r="S41" s="34" t="s">
        <v>654</v>
      </c>
      <c r="T41" s="17" t="s">
        <v>69</v>
      </c>
      <c r="U41" s="90">
        <v>3.461497</v>
      </c>
      <c r="V41" s="91"/>
      <c r="W41" s="17"/>
      <c r="X41" s="17" t="str">
        <f t="shared" si="9"/>
        <v>Low</v>
      </c>
      <c r="Y41" s="93">
        <v>31.248439999999999</v>
      </c>
      <c r="Z41" s="97" t="str">
        <f t="shared" si="0"/>
        <v>Low</v>
      </c>
      <c r="AA41" s="83" t="s">
        <v>54</v>
      </c>
      <c r="AB41" s="50"/>
      <c r="AC41" s="87" t="s">
        <v>54</v>
      </c>
      <c r="AD41" s="55" t="s">
        <v>82</v>
      </c>
      <c r="AE41" s="70" t="s">
        <v>83</v>
      </c>
      <c r="AF41" s="96" t="s">
        <v>69</v>
      </c>
      <c r="AG41" s="82" t="s">
        <v>48</v>
      </c>
      <c r="AH41" s="70" t="s">
        <v>167</v>
      </c>
      <c r="AI41" s="56" t="str">
        <f t="shared" si="10"/>
        <v>Low</v>
      </c>
      <c r="AJ41" s="57">
        <v>6.1961009999999996</v>
      </c>
      <c r="AK41" s="87" t="str">
        <f t="shared" si="2"/>
        <v>Low</v>
      </c>
      <c r="AL41" s="111">
        <v>67.5</v>
      </c>
      <c r="AM41" s="50">
        <v>79</v>
      </c>
      <c r="AN41" s="50" t="s">
        <v>54</v>
      </c>
      <c r="AO41" s="50" t="s">
        <v>81</v>
      </c>
      <c r="AP41" s="87" t="str">
        <f t="shared" si="3"/>
        <v>High</v>
      </c>
      <c r="AQ41" s="83" t="s">
        <v>48</v>
      </c>
      <c r="AR41" s="50" t="s">
        <v>453</v>
      </c>
      <c r="AS41" s="50" t="s">
        <v>454</v>
      </c>
      <c r="AT41" s="87" t="s">
        <v>69</v>
      </c>
      <c r="AU41" s="83" t="s">
        <v>61</v>
      </c>
      <c r="AV41" s="87" t="s">
        <v>69</v>
      </c>
      <c r="AW41" s="83" t="s">
        <v>54</v>
      </c>
      <c r="AX41" s="50"/>
      <c r="AY41" s="87" t="s">
        <v>54</v>
      </c>
      <c r="AZ41" s="83" t="s">
        <v>456</v>
      </c>
      <c r="BA41" s="50" t="s">
        <v>48</v>
      </c>
      <c r="BB41" s="89">
        <v>1</v>
      </c>
      <c r="BC41" s="50" t="s">
        <v>54</v>
      </c>
      <c r="BD41" s="50" t="s">
        <v>48</v>
      </c>
      <c r="BE41" s="50" t="s">
        <v>81</v>
      </c>
      <c r="BF41" s="87" t="s">
        <v>317</v>
      </c>
      <c r="BG41" s="148"/>
      <c r="BH41" s="111" t="s">
        <v>48</v>
      </c>
      <c r="BI41" s="73" t="s">
        <v>69</v>
      </c>
      <c r="BJ41" s="83" t="s">
        <v>48</v>
      </c>
      <c r="BK41" s="50" t="s">
        <v>654</v>
      </c>
      <c r="BL41" s="87" t="str">
        <f t="shared" si="4"/>
        <v>Low</v>
      </c>
      <c r="BM41" s="83" t="s">
        <v>48</v>
      </c>
      <c r="BN41" s="50" t="s">
        <v>97</v>
      </c>
      <c r="BO41" s="50" t="s">
        <v>165</v>
      </c>
      <c r="BP41" s="50" t="s">
        <v>168</v>
      </c>
      <c r="BQ41" s="96" t="str">
        <f t="shared" si="11"/>
        <v>Low</v>
      </c>
      <c r="BR41" s="12">
        <f>1*10</f>
        <v>10</v>
      </c>
      <c r="BS41" s="2" t="s">
        <v>457</v>
      </c>
      <c r="BT41" s="14" t="s">
        <v>48</v>
      </c>
      <c r="BU41" s="20"/>
      <c r="BV41" s="14" t="s">
        <v>83</v>
      </c>
      <c r="BW41" s="2" t="s">
        <v>48</v>
      </c>
      <c r="BX41" s="2" t="s">
        <v>66</v>
      </c>
      <c r="BY41" s="2" t="s">
        <v>54</v>
      </c>
      <c r="BZ41" s="2" t="str">
        <f t="shared" si="5"/>
        <v>Low</v>
      </c>
      <c r="CA41" s="2" t="str">
        <f t="shared" si="6"/>
        <v>Low</v>
      </c>
      <c r="CB41" s="2" t="str">
        <f t="shared" si="7"/>
        <v>Low</v>
      </c>
      <c r="CC41" s="2" t="s">
        <v>69</v>
      </c>
      <c r="CD41" s="35"/>
      <c r="CE41" s="42" t="s">
        <v>54</v>
      </c>
      <c r="CF41" s="42"/>
      <c r="CG41" s="124" t="s">
        <v>54</v>
      </c>
      <c r="CH41" s="42"/>
      <c r="CI41" s="42" t="s">
        <v>54</v>
      </c>
      <c r="CJ41" s="42"/>
      <c r="CK41" s="33"/>
      <c r="CL41" s="28"/>
      <c r="CM41" s="28"/>
      <c r="CN41" s="28"/>
      <c r="CO41" s="28"/>
      <c r="CP41" s="33"/>
      <c r="CQ41" s="33" t="s">
        <v>54</v>
      </c>
      <c r="CR41" s="28"/>
      <c r="CS41" s="33" t="s">
        <v>424</v>
      </c>
      <c r="CT41" s="33" t="s">
        <v>425</v>
      </c>
      <c r="CU41" s="33" t="s">
        <v>48</v>
      </c>
      <c r="CV41" s="33"/>
      <c r="CW41" s="33" t="s">
        <v>87</v>
      </c>
      <c r="CX41" s="33" t="s">
        <v>81</v>
      </c>
      <c r="CY41" s="33" t="s">
        <v>54</v>
      </c>
      <c r="CZ41" s="28"/>
      <c r="DA41" s="42" t="s">
        <v>54</v>
      </c>
      <c r="DB41" s="42"/>
      <c r="DC41" s="42" t="s">
        <v>54</v>
      </c>
    </row>
    <row r="42" spans="1:107" ht="14.25" customHeight="1" x14ac:dyDescent="0.35">
      <c r="A42" s="43" t="s">
        <v>458</v>
      </c>
      <c r="B42" s="2" t="s">
        <v>319</v>
      </c>
      <c r="C42" s="2" t="s">
        <v>459</v>
      </c>
      <c r="D42" s="2" t="s">
        <v>460</v>
      </c>
      <c r="E42" s="2"/>
      <c r="F42" s="50" t="s">
        <v>461</v>
      </c>
      <c r="G42" s="55">
        <v>23</v>
      </c>
      <c r="H42" s="17" t="s">
        <v>528</v>
      </c>
      <c r="I42" s="72" t="s">
        <v>42</v>
      </c>
      <c r="J42" s="34" t="s">
        <v>42</v>
      </c>
      <c r="K42" s="34" t="s">
        <v>43</v>
      </c>
      <c r="L42" s="34" t="s">
        <v>42</v>
      </c>
      <c r="M42" s="34" t="s">
        <v>43</v>
      </c>
      <c r="N42" s="34" t="s">
        <v>43</v>
      </c>
      <c r="O42" s="34" t="s">
        <v>43</v>
      </c>
      <c r="P42" s="34" t="s">
        <v>696</v>
      </c>
      <c r="Q42" s="80" t="str">
        <f t="shared" si="8"/>
        <v>Low</v>
      </c>
      <c r="R42" s="55" t="s">
        <v>463</v>
      </c>
      <c r="S42" s="53" t="s">
        <v>330</v>
      </c>
      <c r="T42" s="17" t="s">
        <v>69</v>
      </c>
      <c r="U42" s="90">
        <v>3.4115120000000001</v>
      </c>
      <c r="V42" s="91"/>
      <c r="W42" s="17"/>
      <c r="X42" s="17" t="str">
        <f t="shared" si="9"/>
        <v>Low</v>
      </c>
      <c r="Y42" s="93">
        <v>11.340579999999999</v>
      </c>
      <c r="Z42" s="97" t="str">
        <f t="shared" si="0"/>
        <v>High</v>
      </c>
      <c r="AA42" s="83" t="s">
        <v>69</v>
      </c>
      <c r="AB42" s="50" t="s">
        <v>661</v>
      </c>
      <c r="AC42" s="87" t="s">
        <v>69</v>
      </c>
      <c r="AD42" s="55" t="s">
        <v>296</v>
      </c>
      <c r="AE42" s="70" t="s">
        <v>297</v>
      </c>
      <c r="AF42" s="96" t="s">
        <v>69</v>
      </c>
      <c r="AG42" s="82" t="s">
        <v>56</v>
      </c>
      <c r="AH42" s="70" t="s">
        <v>83</v>
      </c>
      <c r="AI42" s="56" t="str">
        <f t="shared" si="10"/>
        <v>High</v>
      </c>
      <c r="AJ42" s="57">
        <v>23.469459999999998</v>
      </c>
      <c r="AK42" s="87" t="str">
        <f t="shared" si="2"/>
        <v>Low</v>
      </c>
      <c r="AL42" s="111">
        <v>60</v>
      </c>
      <c r="AM42" s="50">
        <v>66</v>
      </c>
      <c r="AN42" s="50" t="s">
        <v>54</v>
      </c>
      <c r="AO42" s="50" t="s">
        <v>81</v>
      </c>
      <c r="AP42" s="87" t="str">
        <f t="shared" si="3"/>
        <v>High</v>
      </c>
      <c r="AQ42" s="83" t="s">
        <v>48</v>
      </c>
      <c r="AR42" s="50" t="s">
        <v>462</v>
      </c>
      <c r="AS42" s="50" t="s">
        <v>81</v>
      </c>
      <c r="AT42" s="87" t="s">
        <v>69</v>
      </c>
      <c r="AU42" s="83" t="s">
        <v>61</v>
      </c>
      <c r="AV42" s="87" t="s">
        <v>69</v>
      </c>
      <c r="AW42" s="83" t="s">
        <v>54</v>
      </c>
      <c r="AX42" s="50"/>
      <c r="AY42" s="87" t="s">
        <v>54</v>
      </c>
      <c r="AZ42" s="83" t="s">
        <v>464</v>
      </c>
      <c r="BA42" s="50" t="s">
        <v>48</v>
      </c>
      <c r="BB42" s="89">
        <v>1</v>
      </c>
      <c r="BC42" s="50" t="s">
        <v>54</v>
      </c>
      <c r="BD42" s="50" t="s">
        <v>48</v>
      </c>
      <c r="BE42" s="50" t="s">
        <v>81</v>
      </c>
      <c r="BF42" s="87" t="s">
        <v>317</v>
      </c>
      <c r="BG42" s="148"/>
      <c r="BH42" s="111" t="s">
        <v>48</v>
      </c>
      <c r="BI42" s="73" t="s">
        <v>69</v>
      </c>
      <c r="BJ42" s="83" t="s">
        <v>56</v>
      </c>
      <c r="BK42" s="50" t="s">
        <v>708</v>
      </c>
      <c r="BL42" s="87" t="str">
        <f t="shared" si="4"/>
        <v>High</v>
      </c>
      <c r="BM42" s="83" t="s">
        <v>54</v>
      </c>
      <c r="BN42" s="50" t="s">
        <v>97</v>
      </c>
      <c r="BO42" s="50" t="s">
        <v>54</v>
      </c>
      <c r="BP42" s="50" t="s">
        <v>168</v>
      </c>
      <c r="BQ42" s="96" t="s">
        <v>54</v>
      </c>
      <c r="BR42" s="12">
        <f>6*1</f>
        <v>6</v>
      </c>
      <c r="BS42" s="2" t="s">
        <v>421</v>
      </c>
      <c r="BT42" s="14" t="s">
        <v>48</v>
      </c>
      <c r="BU42" s="20"/>
      <c r="BV42" s="14" t="s">
        <v>83</v>
      </c>
      <c r="BW42" s="2" t="s">
        <v>56</v>
      </c>
      <c r="BX42" s="2" t="s">
        <v>66</v>
      </c>
      <c r="BY42" s="2" t="s">
        <v>54</v>
      </c>
      <c r="BZ42" s="2" t="str">
        <f t="shared" si="5"/>
        <v>Low</v>
      </c>
      <c r="CA42" s="2" t="str">
        <f t="shared" si="6"/>
        <v>Low</v>
      </c>
      <c r="CB42" s="2" t="str">
        <f t="shared" si="7"/>
        <v>High</v>
      </c>
      <c r="CC42" s="2" t="s">
        <v>139</v>
      </c>
      <c r="CD42" s="35"/>
      <c r="CE42" s="42" t="s">
        <v>54</v>
      </c>
      <c r="CF42" s="42"/>
      <c r="CG42" s="124" t="s">
        <v>54</v>
      </c>
      <c r="CH42" s="42"/>
      <c r="CI42" s="42" t="s">
        <v>54</v>
      </c>
      <c r="CJ42" s="42"/>
      <c r="CK42" s="33"/>
      <c r="CL42" s="28"/>
      <c r="CM42" s="127" t="s">
        <v>68</v>
      </c>
      <c r="CN42" s="129">
        <v>64000</v>
      </c>
      <c r="CO42" s="28"/>
      <c r="CP42" s="33"/>
      <c r="CQ42" s="33" t="s">
        <v>54</v>
      </c>
      <c r="CR42" s="28"/>
      <c r="CS42" s="33" t="s">
        <v>54</v>
      </c>
      <c r="CT42" s="28"/>
      <c r="CU42" s="33" t="s">
        <v>48</v>
      </c>
      <c r="CV42" s="33"/>
      <c r="CW42" s="33" t="s">
        <v>87</v>
      </c>
      <c r="CX42" s="33" t="s">
        <v>149</v>
      </c>
      <c r="CY42" s="33" t="s">
        <v>54</v>
      </c>
      <c r="CZ42" s="28"/>
      <c r="DA42" s="42" t="s">
        <v>54</v>
      </c>
      <c r="DB42" s="42"/>
      <c r="DC42" s="42" t="s">
        <v>54</v>
      </c>
    </row>
    <row r="43" spans="1:107" ht="14.25" customHeight="1" x14ac:dyDescent="0.35">
      <c r="A43" s="43" t="s">
        <v>465</v>
      </c>
      <c r="B43" s="2" t="s">
        <v>37</v>
      </c>
      <c r="C43" s="2" t="s">
        <v>466</v>
      </c>
      <c r="D43" s="2" t="s">
        <v>467</v>
      </c>
      <c r="E43" s="2"/>
      <c r="F43" s="50" t="s">
        <v>468</v>
      </c>
      <c r="G43" s="55">
        <v>15</v>
      </c>
      <c r="H43" s="17" t="s">
        <v>528</v>
      </c>
      <c r="I43" s="72" t="s">
        <v>42</v>
      </c>
      <c r="J43" s="34" t="s">
        <v>43</v>
      </c>
      <c r="K43" s="34" t="s">
        <v>43</v>
      </c>
      <c r="L43" s="34" t="s">
        <v>43</v>
      </c>
      <c r="M43" s="34" t="s">
        <v>43</v>
      </c>
      <c r="N43" s="34" t="s">
        <v>43</v>
      </c>
      <c r="O43" s="34" t="s">
        <v>43</v>
      </c>
      <c r="P43" s="34" t="s">
        <v>629</v>
      </c>
      <c r="Q43" s="80" t="str">
        <f t="shared" si="8"/>
        <v>Low</v>
      </c>
      <c r="R43" s="82" t="s">
        <v>471</v>
      </c>
      <c r="S43" s="34" t="s">
        <v>655</v>
      </c>
      <c r="T43" s="17" t="s">
        <v>69</v>
      </c>
      <c r="U43" s="90">
        <v>3.0584959999999999</v>
      </c>
      <c r="V43" s="91"/>
      <c r="W43" s="17"/>
      <c r="X43" s="17" t="str">
        <f t="shared" si="9"/>
        <v>High</v>
      </c>
      <c r="Y43" s="93">
        <v>15.61157</v>
      </c>
      <c r="Z43" s="97" t="str">
        <f t="shared" si="0"/>
        <v>High</v>
      </c>
      <c r="AA43" s="83" t="s">
        <v>69</v>
      </c>
      <c r="AB43" s="50" t="s">
        <v>662</v>
      </c>
      <c r="AC43" s="87" t="s">
        <v>69</v>
      </c>
      <c r="AD43" s="55" t="s">
        <v>82</v>
      </c>
      <c r="AE43" s="70" t="s">
        <v>83</v>
      </c>
      <c r="AF43" s="96" t="s">
        <v>69</v>
      </c>
      <c r="AG43" s="82" t="s">
        <v>469</v>
      </c>
      <c r="AH43" s="70" t="s">
        <v>470</v>
      </c>
      <c r="AI43" s="56" t="s">
        <v>69</v>
      </c>
      <c r="AJ43" s="57">
        <v>2.3989470000000002</v>
      </c>
      <c r="AK43" s="87" t="str">
        <f t="shared" si="2"/>
        <v>High</v>
      </c>
      <c r="AL43" s="111">
        <v>175</v>
      </c>
      <c r="AM43" s="50">
        <v>213</v>
      </c>
      <c r="AN43" s="50" t="s">
        <v>54</v>
      </c>
      <c r="AO43" s="50" t="s">
        <v>81</v>
      </c>
      <c r="AP43" s="87" t="str">
        <f t="shared" si="3"/>
        <v>Low</v>
      </c>
      <c r="AQ43" s="83" t="s">
        <v>56</v>
      </c>
      <c r="AR43" s="50" t="s">
        <v>720</v>
      </c>
      <c r="AS43" s="50" t="s">
        <v>669</v>
      </c>
      <c r="AT43" s="87" t="s">
        <v>69</v>
      </c>
      <c r="AU43" s="83" t="s">
        <v>144</v>
      </c>
      <c r="AV43" s="87" t="s">
        <v>69</v>
      </c>
      <c r="AW43" s="83" t="s">
        <v>54</v>
      </c>
      <c r="AX43" s="50"/>
      <c r="AY43" s="87" t="s">
        <v>54</v>
      </c>
      <c r="AZ43" s="83" t="s">
        <v>54</v>
      </c>
      <c r="BA43" s="50" t="s">
        <v>54</v>
      </c>
      <c r="BB43" s="89" t="s">
        <v>54</v>
      </c>
      <c r="BC43" s="50" t="s">
        <v>54</v>
      </c>
      <c r="BD43" s="50" t="s">
        <v>54</v>
      </c>
      <c r="BE43" s="50"/>
      <c r="BF43" s="87" t="s">
        <v>54</v>
      </c>
      <c r="BG43" s="148"/>
      <c r="BH43" s="111" t="s">
        <v>48</v>
      </c>
      <c r="BI43" s="73" t="s">
        <v>69</v>
      </c>
      <c r="BJ43" s="83" t="s">
        <v>56</v>
      </c>
      <c r="BK43" s="50" t="s">
        <v>655</v>
      </c>
      <c r="BL43" s="87" t="str">
        <f t="shared" si="4"/>
        <v>High</v>
      </c>
      <c r="BM43" s="83" t="s">
        <v>48</v>
      </c>
      <c r="BN43" s="50" t="s">
        <v>128</v>
      </c>
      <c r="BO43" s="50" t="s">
        <v>50</v>
      </c>
      <c r="BP43" s="50" t="s">
        <v>168</v>
      </c>
      <c r="BQ43" s="96" t="str">
        <f t="shared" si="11"/>
        <v>Low</v>
      </c>
      <c r="BR43" s="12">
        <f>2*1</f>
        <v>2</v>
      </c>
      <c r="BS43" s="2" t="s">
        <v>64</v>
      </c>
      <c r="BT43" s="14" t="s">
        <v>48</v>
      </c>
      <c r="BU43" s="20"/>
      <c r="BV43" s="14" t="s">
        <v>83</v>
      </c>
      <c r="BW43" s="2" t="s">
        <v>48</v>
      </c>
      <c r="BX43" s="2" t="s">
        <v>66</v>
      </c>
      <c r="BY43" s="2" t="s">
        <v>54</v>
      </c>
      <c r="BZ43" s="2" t="str">
        <f t="shared" si="5"/>
        <v>Low</v>
      </c>
      <c r="CA43" s="2" t="str">
        <f t="shared" si="6"/>
        <v>Low</v>
      </c>
      <c r="CB43" s="2" t="str">
        <f t="shared" si="7"/>
        <v>Low</v>
      </c>
      <c r="CC43" s="2" t="s">
        <v>69</v>
      </c>
      <c r="CD43" s="35"/>
      <c r="CE43" s="42" t="s">
        <v>54</v>
      </c>
      <c r="CF43" s="42"/>
      <c r="CG43" s="131" t="s">
        <v>54</v>
      </c>
      <c r="CH43" s="42"/>
      <c r="CI43" s="42" t="s">
        <v>54</v>
      </c>
      <c r="CJ43" s="42"/>
      <c r="CK43" s="33"/>
      <c r="CL43" s="28"/>
      <c r="CM43" s="127" t="s">
        <v>68</v>
      </c>
      <c r="CN43" s="129">
        <v>18500</v>
      </c>
      <c r="CO43" s="28"/>
      <c r="CP43" s="33"/>
      <c r="CQ43" s="33" t="s">
        <v>69</v>
      </c>
      <c r="CR43" s="127" t="s">
        <v>168</v>
      </c>
      <c r="CS43" s="33" t="s">
        <v>48</v>
      </c>
      <c r="CT43" s="33" t="s">
        <v>103</v>
      </c>
      <c r="CU43" s="33" t="s">
        <v>48</v>
      </c>
      <c r="CV43" s="33"/>
      <c r="CW43" s="33" t="s">
        <v>70</v>
      </c>
      <c r="CX43" s="33" t="s">
        <v>159</v>
      </c>
      <c r="CY43" s="33" t="s">
        <v>54</v>
      </c>
      <c r="CZ43" s="28"/>
      <c r="DA43" s="42" t="s">
        <v>54</v>
      </c>
      <c r="DB43" s="42"/>
      <c r="DC43" s="42" t="s">
        <v>54</v>
      </c>
    </row>
    <row r="44" spans="1:107" ht="14.5" x14ac:dyDescent="0.35">
      <c r="A44" s="23"/>
      <c r="B44" s="24"/>
      <c r="C44" s="24"/>
      <c r="D44" s="24"/>
      <c r="E44" s="24"/>
      <c r="F44" s="51"/>
      <c r="G44" s="57"/>
      <c r="H44" s="38"/>
      <c r="I44" s="57"/>
      <c r="J44" s="38"/>
      <c r="K44" s="38"/>
      <c r="L44" s="38"/>
      <c r="M44" s="38"/>
      <c r="N44" s="38"/>
      <c r="O44" s="38"/>
      <c r="P44" s="38"/>
      <c r="Q44" s="38"/>
      <c r="R44" s="57"/>
      <c r="S44" s="38"/>
      <c r="T44" s="38"/>
      <c r="U44" s="57"/>
      <c r="V44" s="38"/>
      <c r="W44" s="38"/>
      <c r="X44" s="38"/>
      <c r="Y44" s="57"/>
      <c r="Z44" s="38"/>
      <c r="AA44" s="57"/>
      <c r="AB44" s="38"/>
      <c r="AC44" s="58"/>
      <c r="AD44" s="57"/>
      <c r="AE44" s="50"/>
      <c r="AF44" s="87"/>
      <c r="AG44" s="57"/>
      <c r="AH44" s="38"/>
      <c r="AI44" s="58"/>
      <c r="AJ44" s="57"/>
      <c r="AK44" s="108"/>
      <c r="AL44" s="57"/>
      <c r="AM44" s="38"/>
      <c r="AN44" s="38"/>
      <c r="AO44" s="38"/>
      <c r="AP44" s="58"/>
      <c r="AQ44" s="57"/>
      <c r="AR44" s="38"/>
      <c r="AS44" s="38"/>
      <c r="AT44" s="58"/>
      <c r="AU44" s="57"/>
      <c r="AV44" s="58"/>
      <c r="AW44" s="57"/>
      <c r="AX44" s="38"/>
      <c r="AY44" s="58"/>
      <c r="AZ44" s="57"/>
      <c r="BA44" s="38"/>
      <c r="BB44" s="38"/>
      <c r="BC44" s="38"/>
      <c r="BD44" s="38"/>
      <c r="BE44" s="38"/>
      <c r="BF44" s="58"/>
      <c r="BG44" s="148"/>
      <c r="BH44" s="57"/>
      <c r="BI44" s="58"/>
      <c r="BJ44" s="57"/>
      <c r="BK44" s="38"/>
      <c r="BL44" s="58"/>
      <c r="BM44" s="57"/>
      <c r="BN44" s="38"/>
      <c r="BO44" s="38"/>
      <c r="BP44" s="38"/>
      <c r="BQ44" s="58"/>
      <c r="CD44" s="36"/>
      <c r="CE44" s="28"/>
      <c r="CF44" s="28"/>
      <c r="CG44" s="126"/>
      <c r="CH44" s="28"/>
      <c r="CI44" s="28"/>
      <c r="CJ44" s="28"/>
      <c r="CK44" s="33"/>
      <c r="CL44" s="28"/>
      <c r="CM44" s="28"/>
      <c r="CN44" s="28"/>
      <c r="CO44" s="28"/>
      <c r="CP44" s="33"/>
      <c r="CQ44" s="28"/>
      <c r="CR44" s="28"/>
      <c r="CS44" s="28"/>
      <c r="CT44" s="28"/>
      <c r="CU44" s="28"/>
      <c r="CV44" s="28"/>
      <c r="CW44" s="127"/>
      <c r="CX44" s="28"/>
      <c r="CY44" s="28"/>
      <c r="CZ44" s="28"/>
      <c r="DA44" s="28"/>
      <c r="DB44" s="28"/>
      <c r="DC44" s="28"/>
    </row>
    <row r="45" spans="1:107" ht="21" x14ac:dyDescent="0.5">
      <c r="A45" s="23"/>
      <c r="B45" s="23"/>
      <c r="C45" s="24"/>
      <c r="D45" s="24"/>
      <c r="E45" s="24"/>
      <c r="F45" s="52" t="s">
        <v>472</v>
      </c>
      <c r="G45" s="59"/>
      <c r="H45" s="54"/>
      <c r="I45" s="59">
        <f t="shared" ref="I45:O45" si="14">1-I46/41</f>
        <v>1</v>
      </c>
      <c r="J45" s="54">
        <f t="shared" si="14"/>
        <v>1</v>
      </c>
      <c r="K45" s="54">
        <f>1-K46/41</f>
        <v>1</v>
      </c>
      <c r="L45" s="54">
        <f t="shared" si="14"/>
        <v>1</v>
      </c>
      <c r="M45" s="54">
        <f t="shared" si="14"/>
        <v>1</v>
      </c>
      <c r="N45" s="54">
        <f t="shared" si="14"/>
        <v>1</v>
      </c>
      <c r="O45" s="54">
        <f t="shared" si="14"/>
        <v>1</v>
      </c>
      <c r="P45" s="54"/>
      <c r="Q45" s="54"/>
      <c r="R45" s="59">
        <f>1-R46/41</f>
        <v>1</v>
      </c>
      <c r="S45" s="54"/>
      <c r="T45" s="54">
        <f t="shared" ref="T45" si="15">1-T46/41</f>
        <v>1</v>
      </c>
      <c r="U45" s="59"/>
      <c r="V45" s="54"/>
      <c r="W45" s="54"/>
      <c r="X45" s="54">
        <f t="shared" ref="X45" si="16">1-X46/41</f>
        <v>1</v>
      </c>
      <c r="Y45" s="59"/>
      <c r="Z45" s="54">
        <f>1-Z46/41</f>
        <v>1</v>
      </c>
      <c r="AA45" s="59"/>
      <c r="AB45" s="54"/>
      <c r="AC45" s="60">
        <f t="shared" ref="AC45" si="17">1-AC46/41</f>
        <v>0.53658536585365857</v>
      </c>
      <c r="AD45" s="59">
        <f>1-AD46/41</f>
        <v>1</v>
      </c>
      <c r="AE45" s="54"/>
      <c r="AF45" s="60"/>
      <c r="AG45" s="59">
        <f>1-AG46/41</f>
        <v>0.97560975609756095</v>
      </c>
      <c r="AH45" s="54"/>
      <c r="AI45" s="60"/>
      <c r="AJ45" s="59">
        <f t="shared" ref="AJ45" si="18">1-AJ46/41</f>
        <v>1</v>
      </c>
      <c r="AK45" s="58"/>
      <c r="AL45" s="59"/>
      <c r="AM45" s="54"/>
      <c r="AN45" s="54"/>
      <c r="AO45" s="54"/>
      <c r="AP45" s="60"/>
      <c r="AQ45" s="59"/>
      <c r="AR45" s="54"/>
      <c r="AS45" s="54"/>
      <c r="AT45" s="60">
        <f t="shared" ref="AT45" si="19">1-AT46/41</f>
        <v>1</v>
      </c>
      <c r="AU45" s="59">
        <f t="shared" ref="AU45:AY45" si="20">1-AU46/41</f>
        <v>1</v>
      </c>
      <c r="AV45" s="60"/>
      <c r="AW45" s="59">
        <f t="shared" si="20"/>
        <v>0.78048780487804881</v>
      </c>
      <c r="AX45" s="54"/>
      <c r="AY45" s="60">
        <f t="shared" si="20"/>
        <v>0.75609756097560976</v>
      </c>
      <c r="AZ45" s="59"/>
      <c r="BA45" s="54"/>
      <c r="BB45" s="54"/>
      <c r="BC45" s="54"/>
      <c r="BD45" s="54"/>
      <c r="BE45" s="54"/>
      <c r="BF45" s="60">
        <f t="shared" ref="BF45" si="21">1-BF46/41</f>
        <v>0.82926829268292679</v>
      </c>
      <c r="BG45" s="148"/>
      <c r="BH45" s="59">
        <f t="shared" ref="BH45:BJ45" si="22">1-BH46/41</f>
        <v>1</v>
      </c>
      <c r="BI45" s="60"/>
      <c r="BJ45" s="59">
        <f t="shared" si="22"/>
        <v>1</v>
      </c>
      <c r="BK45" s="54"/>
      <c r="BL45" s="60"/>
      <c r="BM45" s="59">
        <f t="shared" ref="BM45:BO45" si="23">1-BM46/41</f>
        <v>0.95121951219512191</v>
      </c>
      <c r="BN45" s="54">
        <f t="shared" si="23"/>
        <v>1</v>
      </c>
      <c r="BO45" s="54">
        <f t="shared" si="23"/>
        <v>0.95121951219512191</v>
      </c>
      <c r="BP45" s="54"/>
      <c r="BQ45" s="60"/>
      <c r="BR45" s="25">
        <f>1-BR46/41</f>
        <v>1</v>
      </c>
      <c r="BS45" s="25"/>
      <c r="BT45" s="25">
        <f>1-BT46/41</f>
        <v>1</v>
      </c>
      <c r="BU45" s="25"/>
      <c r="BV45" s="25"/>
      <c r="BW45" s="25">
        <f>1-BW46/41</f>
        <v>1</v>
      </c>
      <c r="BX45" s="25"/>
      <c r="BY45" s="25">
        <f>1-BY46/41</f>
        <v>0</v>
      </c>
      <c r="BZ45" s="25"/>
      <c r="CA45" s="25"/>
      <c r="CB45" s="25"/>
      <c r="CC45" s="25"/>
      <c r="CD45" s="37"/>
      <c r="CE45" s="25">
        <f>1-CE46/41</f>
        <v>4.8780487804878092E-2</v>
      </c>
      <c r="CF45" s="25"/>
      <c r="CG45" s="25">
        <f>1-CG46/41</f>
        <v>0.14634146341463417</v>
      </c>
      <c r="CH45" s="25"/>
      <c r="CI45" s="25"/>
      <c r="CJ45" s="25"/>
      <c r="CK45" s="6"/>
      <c r="CP45" s="6"/>
      <c r="CQ45" s="25">
        <f>1-CQ46/49</f>
        <v>0.24489795918367352</v>
      </c>
      <c r="CR45" s="25"/>
      <c r="CS45" s="25">
        <f>1-CS46/49</f>
        <v>0.30612244897959184</v>
      </c>
      <c r="CT45" s="25"/>
      <c r="CU45" s="25">
        <f>1-CU46/49</f>
        <v>1</v>
      </c>
      <c r="CV45" s="25"/>
      <c r="CW45" s="25">
        <f>1-CW46/49</f>
        <v>1</v>
      </c>
      <c r="CX45" s="25"/>
      <c r="CY45" s="25">
        <f>1-CY46/49</f>
        <v>0.24489795918367352</v>
      </c>
      <c r="CZ45" s="25"/>
      <c r="DA45" s="25">
        <f>1-DA46/41</f>
        <v>0.17073170731707321</v>
      </c>
      <c r="DB45" s="25"/>
      <c r="DC45" s="25"/>
    </row>
    <row r="46" spans="1:107" ht="14.25" customHeight="1" x14ac:dyDescent="0.35">
      <c r="A46" s="23"/>
      <c r="B46" s="23"/>
      <c r="C46" s="24"/>
      <c r="D46" s="24"/>
      <c r="E46" s="24"/>
      <c r="F46" s="51"/>
      <c r="G46" s="61"/>
      <c r="H46" s="69"/>
      <c r="I46" s="75">
        <f t="shared" ref="I46:N46" si="24">(COUNTIF(I3:I43, "Unknown"))</f>
        <v>0</v>
      </c>
      <c r="J46" s="76">
        <f t="shared" si="24"/>
        <v>0</v>
      </c>
      <c r="K46" s="76">
        <f>(COUNTIF(K3:K43, "Unknown"))</f>
        <v>0</v>
      </c>
      <c r="L46" s="76">
        <f t="shared" si="24"/>
        <v>0</v>
      </c>
      <c r="M46" s="76">
        <f t="shared" si="24"/>
        <v>0</v>
      </c>
      <c r="N46" s="76">
        <f t="shared" si="24"/>
        <v>0</v>
      </c>
      <c r="O46" s="76">
        <f>(COUNTIF(O3:O43, "Unknown"))</f>
        <v>0</v>
      </c>
      <c r="P46" s="69"/>
      <c r="Q46" s="69"/>
      <c r="R46" s="75">
        <f>(COUNTIF(R3:R43, "Unknown"))</f>
        <v>0</v>
      </c>
      <c r="S46" s="69"/>
      <c r="T46" s="76">
        <f t="shared" ref="T46" si="25">(COUNTIF(T3:T43, "Unknown"))</f>
        <v>0</v>
      </c>
      <c r="U46" s="75"/>
      <c r="V46" s="76"/>
      <c r="W46" s="76"/>
      <c r="X46" s="76">
        <f t="shared" ref="X46" si="26">(COUNTIF(X3:X43, "Unknown"))</f>
        <v>0</v>
      </c>
      <c r="Y46" s="75"/>
      <c r="Z46" s="76">
        <f>(COUNTIF(Z3:Z43, "Unknown"))</f>
        <v>0</v>
      </c>
      <c r="AA46" s="75"/>
      <c r="AB46" s="76"/>
      <c r="AC46" s="84">
        <f t="shared" ref="AC46" si="27">(COUNTIF(AC3:AC43, "Unknown"))</f>
        <v>19</v>
      </c>
      <c r="AD46" s="75">
        <f>(COUNTIF(AD3:AD43, "Unknown"))</f>
        <v>0</v>
      </c>
      <c r="AE46" s="69"/>
      <c r="AF46" s="62"/>
      <c r="AG46" s="75">
        <f>(COUNTIF(AG3:AG43, "Unknown"))</f>
        <v>1</v>
      </c>
      <c r="AH46" s="76"/>
      <c r="AI46" s="84"/>
      <c r="AJ46" s="75">
        <f t="shared" ref="AJ46" si="28">(COUNTIF(AJ3:AJ43, "Unknown"))</f>
        <v>0</v>
      </c>
      <c r="AK46" s="62"/>
      <c r="AL46" s="75"/>
      <c r="AM46" s="76"/>
      <c r="AN46" s="76"/>
      <c r="AO46" s="69"/>
      <c r="AP46" s="84"/>
      <c r="AQ46" s="75"/>
      <c r="AR46" s="76"/>
      <c r="AS46" s="76"/>
      <c r="AT46" s="84">
        <f t="shared" ref="AT46" si="29">(COUNTIF(AT3:AT43, "Unknown"))</f>
        <v>0</v>
      </c>
      <c r="AU46" s="75">
        <f t="shared" ref="AU46:AW46" si="30">(COUNTIF(AU3:AU43, "Unknown"))</f>
        <v>0</v>
      </c>
      <c r="AV46" s="84"/>
      <c r="AW46" s="75">
        <f t="shared" si="30"/>
        <v>9</v>
      </c>
      <c r="AX46" s="76"/>
      <c r="AY46" s="84">
        <f t="shared" ref="AY46" si="31">(COUNTIF(AY3:AY43, "Unknown"))</f>
        <v>10</v>
      </c>
      <c r="AZ46" s="75"/>
      <c r="BA46" s="76"/>
      <c r="BB46" s="76"/>
      <c r="BC46" s="76"/>
      <c r="BD46" s="76"/>
      <c r="BE46" s="76"/>
      <c r="BF46" s="84">
        <f t="shared" ref="BF46" si="32">(COUNTIF(BF3:BF43, "Unknown"))</f>
        <v>7</v>
      </c>
      <c r="BG46" s="148"/>
      <c r="BH46" s="75">
        <f t="shared" ref="BH46:BJ46" si="33">(COUNTIF(BH3:BH43, "Unknown"))</f>
        <v>0</v>
      </c>
      <c r="BI46" s="84"/>
      <c r="BJ46" s="75">
        <f t="shared" si="33"/>
        <v>0</v>
      </c>
      <c r="BK46" s="69"/>
      <c r="BL46" s="62"/>
      <c r="BM46" s="75">
        <f t="shared" ref="BM46:BO46" si="34">(COUNTIF(BM3:BM43, "Unknown"))</f>
        <v>2</v>
      </c>
      <c r="BN46" s="76">
        <f t="shared" si="34"/>
        <v>0</v>
      </c>
      <c r="BO46" s="76">
        <f t="shared" si="34"/>
        <v>2</v>
      </c>
      <c r="BP46" s="69"/>
      <c r="BQ46" s="62"/>
      <c r="BR46" s="18">
        <f>(COUNTIF(BR3:BR43, "Unknown"))</f>
        <v>0</v>
      </c>
      <c r="BT46" s="18">
        <f>(COUNTIF(BT3:BT43, "Unknown"))</f>
        <v>0</v>
      </c>
      <c r="BU46" s="18"/>
      <c r="BW46" s="18">
        <f>(COUNTIF(BW3:BW43, "Unknown"))</f>
        <v>0</v>
      </c>
      <c r="BY46" s="18">
        <f>(COUNTIF(BY3:BY43, "Unknown"))</f>
        <v>41</v>
      </c>
      <c r="CD46" s="36"/>
      <c r="CE46" s="18">
        <f>(COUNTIF(CE3:CE43, "Unknown"))</f>
        <v>39</v>
      </c>
      <c r="CG46" s="18">
        <f>(COUNTIF(CG4:CG43, "Unknown"))</f>
        <v>35</v>
      </c>
      <c r="CK46" s="6"/>
      <c r="CP46" s="6"/>
      <c r="CQ46" s="18">
        <f>(COUNTIF(CQ3:CQ43, "Unknown"))</f>
        <v>37</v>
      </c>
      <c r="CS46" s="18">
        <f>(COUNTIF(CS3:CS43, "Unknown"))</f>
        <v>34</v>
      </c>
      <c r="CU46" s="18">
        <f>(COUNTIF(CU3:CU43, "Unknown"))</f>
        <v>0</v>
      </c>
      <c r="CW46" s="18">
        <f>(COUNTIF(CW3:CW43, "Unknown"))</f>
        <v>0</v>
      </c>
      <c r="CY46" s="18">
        <f>(COUNTIF(CY3:CY43, "Unknown"))</f>
        <v>37</v>
      </c>
      <c r="DA46" s="18">
        <f>(COUNTIF(DA3:DA43, "Unknown"))</f>
        <v>34</v>
      </c>
    </row>
    <row r="47" spans="1:107" ht="14.25" customHeight="1" x14ac:dyDescent="0.35">
      <c r="A47" s="2" t="s">
        <v>473</v>
      </c>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35"/>
      <c r="CE47" s="2"/>
      <c r="CF47" s="2"/>
      <c r="CG47" s="12"/>
      <c r="CH47" s="2"/>
      <c r="CP47" s="6"/>
      <c r="CW47" s="18"/>
      <c r="DA47" s="2"/>
      <c r="DB47" s="2"/>
      <c r="DC47" s="2"/>
    </row>
    <row r="48" spans="1:107" ht="14.25" customHeight="1" x14ac:dyDescent="0.35">
      <c r="A48" s="7" t="s">
        <v>474</v>
      </c>
      <c r="B48" s="2" t="s">
        <v>92</v>
      </c>
      <c r="C48" s="7" t="s">
        <v>93</v>
      </c>
      <c r="D48" s="7" t="s">
        <v>475</v>
      </c>
      <c r="E48" s="15"/>
      <c r="F48" s="2" t="s">
        <v>476</v>
      </c>
      <c r="G48" s="2"/>
      <c r="H48" s="2"/>
      <c r="I48" s="2" t="s">
        <v>42</v>
      </c>
      <c r="J48" s="2" t="s">
        <v>43</v>
      </c>
      <c r="K48" s="2" t="s">
        <v>43</v>
      </c>
      <c r="L48" s="2" t="s">
        <v>42</v>
      </c>
      <c r="M48" s="2" t="s">
        <v>43</v>
      </c>
      <c r="N48" s="2" t="s">
        <v>43</v>
      </c>
      <c r="O48" s="2" t="s">
        <v>43</v>
      </c>
      <c r="P48" s="2" t="s">
        <v>44</v>
      </c>
      <c r="Q48" s="2"/>
      <c r="R48" s="2" t="s">
        <v>54</v>
      </c>
      <c r="S48" s="2"/>
      <c r="T48" s="2"/>
      <c r="U48" s="2"/>
      <c r="V48" s="2"/>
      <c r="W48" s="2"/>
      <c r="X48" s="2"/>
      <c r="Y48" s="2"/>
      <c r="Z48" s="2"/>
      <c r="AA48" s="2" t="s">
        <v>54</v>
      </c>
      <c r="AB48" s="2"/>
      <c r="AC48" s="2"/>
      <c r="AD48" s="2" t="s">
        <v>54</v>
      </c>
      <c r="AE48" s="2"/>
      <c r="AF48" s="2"/>
      <c r="AG48" s="2"/>
      <c r="AH48" s="2"/>
      <c r="AI48" s="2"/>
      <c r="AJ48" s="2"/>
      <c r="AK48" s="2"/>
      <c r="AL48" s="2"/>
      <c r="AM48" s="2"/>
      <c r="AN48" s="2"/>
      <c r="AO48" s="2"/>
      <c r="AP48" s="2"/>
      <c r="AQ48" s="2" t="s">
        <v>477</v>
      </c>
      <c r="AR48" s="2"/>
      <c r="AS48" s="2" t="s">
        <v>478</v>
      </c>
      <c r="AT48" s="2"/>
      <c r="AU48" s="2" t="s">
        <v>104</v>
      </c>
      <c r="AV48" s="2"/>
      <c r="AW48" s="2" t="s">
        <v>105</v>
      </c>
      <c r="AX48" s="2" t="s">
        <v>81</v>
      </c>
      <c r="AY48" s="2"/>
      <c r="AZ48" s="2" t="s">
        <v>479</v>
      </c>
      <c r="BA48" s="2"/>
      <c r="BB48" s="2"/>
      <c r="BC48" s="2"/>
      <c r="BD48" s="2"/>
      <c r="BE48" s="2" t="s">
        <v>81</v>
      </c>
      <c r="BF48" s="2"/>
      <c r="BG48" s="2"/>
      <c r="BH48" s="12" t="s">
        <v>84</v>
      </c>
      <c r="BI48" s="21"/>
      <c r="BJ48" s="2" t="s">
        <v>56</v>
      </c>
      <c r="BK48" s="2" t="s">
        <v>90</v>
      </c>
      <c r="BL48" s="2"/>
      <c r="BM48" s="2" t="s">
        <v>97</v>
      </c>
      <c r="BN48" s="2"/>
      <c r="BO48" s="2"/>
      <c r="BP48" s="2" t="s">
        <v>262</v>
      </c>
      <c r="BQ48" s="2"/>
      <c r="BR48" s="12">
        <f>13.4*1</f>
        <v>13.4</v>
      </c>
      <c r="BS48" s="2" t="s">
        <v>480</v>
      </c>
      <c r="BT48" s="2" t="s">
        <v>54</v>
      </c>
      <c r="BU48" s="2"/>
      <c r="BV48" s="2"/>
      <c r="BW48" s="2"/>
      <c r="BX48" s="2"/>
      <c r="BY48" s="2"/>
      <c r="BZ48" s="2"/>
      <c r="CA48" s="2"/>
      <c r="CB48" s="2"/>
      <c r="CC48" s="2"/>
      <c r="CD48" s="35"/>
      <c r="CE48" s="2"/>
      <c r="CF48" s="2"/>
      <c r="CG48" s="26"/>
      <c r="CH48" s="2"/>
      <c r="CI48" s="5"/>
      <c r="CJ48" s="5"/>
      <c r="CK48" s="6"/>
      <c r="CL48" s="5"/>
      <c r="CM48" s="5" t="s">
        <v>68</v>
      </c>
      <c r="CN48" s="5"/>
      <c r="CO48" s="5"/>
      <c r="CP48" s="6"/>
      <c r="CQ48" s="5" t="s">
        <v>54</v>
      </c>
      <c r="CR48" s="5"/>
      <c r="CS48" s="5" t="s">
        <v>54</v>
      </c>
      <c r="CT48" s="5"/>
      <c r="CU48" s="5" t="s">
        <v>48</v>
      </c>
      <c r="CV48" s="33"/>
      <c r="CW48" s="33" t="s">
        <v>87</v>
      </c>
      <c r="CX48" s="33" t="s">
        <v>71</v>
      </c>
      <c r="CY48" s="33" t="s">
        <v>54</v>
      </c>
      <c r="CZ48" s="33"/>
      <c r="DA48" s="42" t="s">
        <v>54</v>
      </c>
      <c r="DB48" s="42"/>
      <c r="DC48" s="42"/>
    </row>
    <row r="49" spans="1:107" ht="14.25" customHeight="1" x14ac:dyDescent="0.35">
      <c r="A49" s="7" t="s">
        <v>481</v>
      </c>
      <c r="B49" s="2" t="s">
        <v>332</v>
      </c>
      <c r="C49" s="7" t="s">
        <v>482</v>
      </c>
      <c r="D49" s="7" t="s">
        <v>483</v>
      </c>
      <c r="E49" s="15"/>
      <c r="F49" s="2" t="s">
        <v>484</v>
      </c>
      <c r="G49" s="2"/>
      <c r="H49" s="2"/>
      <c r="I49" s="2" t="s">
        <v>42</v>
      </c>
      <c r="J49" s="2" t="s">
        <v>42</v>
      </c>
      <c r="K49" s="2" t="s">
        <v>43</v>
      </c>
      <c r="L49" s="2" t="s">
        <v>42</v>
      </c>
      <c r="M49" s="2" t="s">
        <v>43</v>
      </c>
      <c r="N49" s="2" t="s">
        <v>43</v>
      </c>
      <c r="O49" s="2" t="s">
        <v>43</v>
      </c>
      <c r="P49" s="2" t="s">
        <v>126</v>
      </c>
      <c r="Q49" s="2"/>
      <c r="R49" s="2" t="s">
        <v>54</v>
      </c>
      <c r="S49" s="2"/>
      <c r="T49" s="2"/>
      <c r="U49" s="2"/>
      <c r="V49" s="2"/>
      <c r="W49" s="2"/>
      <c r="X49" s="2"/>
      <c r="Y49" s="2"/>
      <c r="Z49" s="2"/>
      <c r="AA49" s="2" t="s">
        <v>54</v>
      </c>
      <c r="AB49" s="2"/>
      <c r="AC49" s="2"/>
      <c r="AD49" s="2" t="s">
        <v>54</v>
      </c>
      <c r="AE49" s="2"/>
      <c r="AF49" s="2"/>
      <c r="AG49" s="2"/>
      <c r="AH49" s="2"/>
      <c r="AI49" s="2"/>
      <c r="AJ49" s="2"/>
      <c r="AK49" s="2"/>
      <c r="AL49" s="2"/>
      <c r="AM49" s="2"/>
      <c r="AN49" s="2"/>
      <c r="AO49" s="2"/>
      <c r="AP49" s="2"/>
      <c r="AQ49" s="2" t="s">
        <v>485</v>
      </c>
      <c r="AR49" s="2"/>
      <c r="AS49" s="2" t="s">
        <v>119</v>
      </c>
      <c r="AT49" s="2"/>
      <c r="AU49" s="2" t="s">
        <v>104</v>
      </c>
      <c r="AV49" s="2"/>
      <c r="AW49" s="2" t="s">
        <v>105</v>
      </c>
      <c r="AX49" s="2" t="s">
        <v>119</v>
      </c>
      <c r="AY49" s="2"/>
      <c r="AZ49" s="2" t="s">
        <v>486</v>
      </c>
      <c r="BA49" s="2"/>
      <c r="BB49" s="2"/>
      <c r="BC49" s="2"/>
      <c r="BD49" s="2"/>
      <c r="BE49" s="2" t="s">
        <v>119</v>
      </c>
      <c r="BF49" s="2"/>
      <c r="BG49" s="2"/>
      <c r="BH49" s="12" t="s">
        <v>84</v>
      </c>
      <c r="BI49" s="21"/>
      <c r="BJ49" s="2" t="s">
        <v>56</v>
      </c>
      <c r="BK49" s="2" t="s">
        <v>116</v>
      </c>
      <c r="BL49" s="2"/>
      <c r="BM49" s="2" t="s">
        <v>226</v>
      </c>
      <c r="BN49" s="2"/>
      <c r="BO49" s="2"/>
      <c r="BP49" s="2" t="s">
        <v>211</v>
      </c>
      <c r="BQ49" s="2"/>
      <c r="BR49" s="12">
        <f>7*3</f>
        <v>21</v>
      </c>
      <c r="BS49" s="2" t="s">
        <v>487</v>
      </c>
      <c r="BT49" s="2" t="s">
        <v>54</v>
      </c>
      <c r="BU49" s="2"/>
      <c r="BV49" s="2"/>
      <c r="BW49" s="2"/>
      <c r="BX49" s="2"/>
      <c r="BY49" s="2"/>
      <c r="BZ49" s="2"/>
      <c r="CA49" s="2"/>
      <c r="CB49" s="2"/>
      <c r="CC49" s="2"/>
      <c r="CD49" s="35"/>
      <c r="CE49" s="2"/>
      <c r="CF49" s="2"/>
      <c r="CG49" s="12"/>
      <c r="CH49" s="2"/>
      <c r="CI49" s="5"/>
      <c r="CJ49" s="5"/>
      <c r="CK49" s="6"/>
      <c r="CL49" s="5"/>
      <c r="CM49" s="5" t="s">
        <v>68</v>
      </c>
      <c r="CN49" s="5"/>
      <c r="CO49" s="5"/>
      <c r="CP49" s="6"/>
      <c r="CQ49" s="5" t="s">
        <v>54</v>
      </c>
      <c r="CR49" s="5"/>
      <c r="CS49" s="5" t="s">
        <v>48</v>
      </c>
      <c r="CT49" s="5" t="s">
        <v>488</v>
      </c>
      <c r="CU49" s="5" t="s">
        <v>48</v>
      </c>
      <c r="CV49" s="33"/>
      <c r="CW49" s="33" t="s">
        <v>87</v>
      </c>
      <c r="CX49" s="33" t="s">
        <v>211</v>
      </c>
      <c r="CY49" s="33" t="s">
        <v>54</v>
      </c>
      <c r="CZ49" s="33"/>
      <c r="DA49" s="42" t="s">
        <v>54</v>
      </c>
      <c r="DB49" s="42"/>
      <c r="DC49" s="42"/>
    </row>
    <row r="50" spans="1:107" ht="14.25" customHeight="1" x14ac:dyDescent="0.35">
      <c r="A50" s="7" t="s">
        <v>489</v>
      </c>
      <c r="B50" s="2" t="s">
        <v>110</v>
      </c>
      <c r="C50" s="7" t="s">
        <v>490</v>
      </c>
      <c r="D50" s="7" t="s">
        <v>441</v>
      </c>
      <c r="E50" s="2" t="s">
        <v>491</v>
      </c>
      <c r="F50" s="2" t="s">
        <v>492</v>
      </c>
      <c r="G50" s="2"/>
      <c r="H50" s="2"/>
      <c r="I50" s="2" t="s">
        <v>43</v>
      </c>
      <c r="J50" s="2" t="s">
        <v>43</v>
      </c>
      <c r="K50" s="2" t="s">
        <v>43</v>
      </c>
      <c r="L50" s="2" t="s">
        <v>42</v>
      </c>
      <c r="M50" s="2" t="s">
        <v>43</v>
      </c>
      <c r="N50" s="2" t="s">
        <v>43</v>
      </c>
      <c r="O50" s="2" t="s">
        <v>43</v>
      </c>
      <c r="P50" s="2" t="s">
        <v>126</v>
      </c>
      <c r="Q50" s="2"/>
      <c r="R50" s="2" t="s">
        <v>54</v>
      </c>
      <c r="S50" s="2"/>
      <c r="T50" s="2"/>
      <c r="U50" s="2"/>
      <c r="V50" s="2"/>
      <c r="W50" s="2"/>
      <c r="X50" s="2"/>
      <c r="Y50" s="2"/>
      <c r="Z50" s="2"/>
      <c r="AA50" s="2" t="s">
        <v>54</v>
      </c>
      <c r="AB50" s="2"/>
      <c r="AC50" s="2"/>
      <c r="AD50" s="2" t="s">
        <v>54</v>
      </c>
      <c r="AE50" s="2"/>
      <c r="AF50" s="2"/>
      <c r="AG50" s="2"/>
      <c r="AH50" s="2"/>
      <c r="AI50" s="2"/>
      <c r="AJ50" s="2"/>
      <c r="AK50" s="2"/>
      <c r="AL50" s="2"/>
      <c r="AM50" s="2"/>
      <c r="AN50" s="2"/>
      <c r="AO50" s="2"/>
      <c r="AP50" s="2"/>
      <c r="AQ50" s="2" t="s">
        <v>131</v>
      </c>
      <c r="AR50" s="2"/>
      <c r="AS50" s="2" t="s">
        <v>116</v>
      </c>
      <c r="AT50" s="2"/>
      <c r="AU50" s="2" t="s">
        <v>104</v>
      </c>
      <c r="AV50" s="2"/>
      <c r="AW50" s="2" t="s">
        <v>105</v>
      </c>
      <c r="AX50" s="2" t="s">
        <v>116</v>
      </c>
      <c r="AY50" s="2"/>
      <c r="AZ50" s="2" t="s">
        <v>493</v>
      </c>
      <c r="BA50" s="2"/>
      <c r="BB50" s="2"/>
      <c r="BC50" s="2"/>
      <c r="BD50" s="2"/>
      <c r="BE50" s="2" t="s">
        <v>81</v>
      </c>
      <c r="BF50" s="2"/>
      <c r="BG50" s="2"/>
      <c r="BH50" s="12" t="s">
        <v>84</v>
      </c>
      <c r="BI50" s="21"/>
      <c r="BJ50" s="2" t="s">
        <v>48</v>
      </c>
      <c r="BK50" s="2" t="s">
        <v>103</v>
      </c>
      <c r="BL50" s="2"/>
      <c r="BM50" s="2" t="s">
        <v>226</v>
      </c>
      <c r="BN50" s="2"/>
      <c r="BO50" s="2"/>
      <c r="BP50" s="2" t="s">
        <v>116</v>
      </c>
      <c r="BQ50" s="2"/>
      <c r="BR50" s="12">
        <f>13*2</f>
        <v>26</v>
      </c>
      <c r="BS50" s="2" t="s">
        <v>119</v>
      </c>
      <c r="BT50" s="2" t="s">
        <v>54</v>
      </c>
      <c r="BU50" s="2"/>
      <c r="BV50" s="2"/>
      <c r="BW50" s="2"/>
      <c r="BX50" s="2"/>
      <c r="BY50" s="2"/>
      <c r="BZ50" s="2"/>
      <c r="CA50" s="2"/>
      <c r="CB50" s="2"/>
      <c r="CC50" s="2"/>
      <c r="CD50" s="35"/>
      <c r="CE50" s="2"/>
      <c r="CF50" s="2"/>
      <c r="CG50" s="12"/>
      <c r="CH50" s="2"/>
      <c r="CI50" s="5"/>
      <c r="CJ50" s="5"/>
      <c r="CK50" s="6"/>
      <c r="CM50" s="18" t="s">
        <v>68</v>
      </c>
      <c r="CP50" s="6"/>
      <c r="CQ50" s="5" t="s">
        <v>54</v>
      </c>
      <c r="CR50" s="5"/>
      <c r="CS50" s="5" t="s">
        <v>54</v>
      </c>
      <c r="CU50" s="5" t="s">
        <v>48</v>
      </c>
      <c r="CV50" s="33"/>
      <c r="CW50" s="33" t="s">
        <v>87</v>
      </c>
      <c r="CX50" s="33" t="s">
        <v>494</v>
      </c>
      <c r="CY50" s="33" t="s">
        <v>54</v>
      </c>
      <c r="CZ50" s="28"/>
      <c r="DA50" s="42" t="s">
        <v>54</v>
      </c>
      <c r="DB50" s="42"/>
      <c r="DC50" s="42"/>
    </row>
    <row r="51" spans="1:107" ht="14.25" customHeight="1" x14ac:dyDescent="0.35">
      <c r="A51" s="7" t="s">
        <v>495</v>
      </c>
      <c r="B51" s="2" t="s">
        <v>110</v>
      </c>
      <c r="C51" s="7" t="s">
        <v>287</v>
      </c>
      <c r="D51" s="7" t="s">
        <v>496</v>
      </c>
      <c r="E51" s="2"/>
      <c r="F51" s="2" t="s">
        <v>497</v>
      </c>
      <c r="G51" s="2"/>
      <c r="H51" s="2"/>
      <c r="I51" s="2" t="s">
        <v>43</v>
      </c>
      <c r="J51" s="2" t="s">
        <v>42</v>
      </c>
      <c r="K51" s="2" t="s">
        <v>43</v>
      </c>
      <c r="L51" s="2" t="s">
        <v>43</v>
      </c>
      <c r="M51" s="2" t="s">
        <v>43</v>
      </c>
      <c r="N51" s="2" t="s">
        <v>43</v>
      </c>
      <c r="O51" s="2" t="s">
        <v>43</v>
      </c>
      <c r="P51" s="2" t="s">
        <v>126</v>
      </c>
      <c r="Q51" s="2"/>
      <c r="R51" s="2" t="s">
        <v>499</v>
      </c>
      <c r="S51" s="2" t="s">
        <v>90</v>
      </c>
      <c r="T51" s="2"/>
      <c r="U51" s="2"/>
      <c r="V51" s="2"/>
      <c r="W51" s="2"/>
      <c r="X51" s="2"/>
      <c r="Y51" s="2"/>
      <c r="Z51" s="2"/>
      <c r="AA51" s="2" t="s">
        <v>54</v>
      </c>
      <c r="AB51" s="2"/>
      <c r="AC51" s="2"/>
      <c r="AD51" s="2" t="s">
        <v>54</v>
      </c>
      <c r="AE51" s="2"/>
      <c r="AF51" s="2"/>
      <c r="AG51" s="2"/>
      <c r="AH51" s="2"/>
      <c r="AI51" s="2"/>
      <c r="AJ51" s="2"/>
      <c r="AK51" s="2"/>
      <c r="AL51" s="2"/>
      <c r="AM51" s="2"/>
      <c r="AN51" s="2"/>
      <c r="AO51" s="2"/>
      <c r="AP51" s="2"/>
      <c r="AQ51" s="2" t="s">
        <v>498</v>
      </c>
      <c r="AR51" s="2"/>
      <c r="AS51" s="2" t="s">
        <v>119</v>
      </c>
      <c r="AT51" s="2"/>
      <c r="AU51" s="2" t="s">
        <v>104</v>
      </c>
      <c r="AV51" s="2"/>
      <c r="AW51" s="2" t="s">
        <v>54</v>
      </c>
      <c r="AX51" s="2"/>
      <c r="AY51" s="2"/>
      <c r="AZ51" s="2" t="s">
        <v>283</v>
      </c>
      <c r="BA51" s="2"/>
      <c r="BB51" s="2"/>
      <c r="BC51" s="2"/>
      <c r="BD51" s="2"/>
      <c r="BE51" s="2" t="str">
        <f>$BE$22</f>
        <v>Marais 2004, Maritz pers. comms</v>
      </c>
      <c r="BF51" s="2"/>
      <c r="BG51" s="2"/>
      <c r="BH51" s="12" t="s">
        <v>84</v>
      </c>
      <c r="BI51" s="21"/>
      <c r="BJ51" s="2" t="s">
        <v>56</v>
      </c>
      <c r="BK51" s="2" t="s">
        <v>90</v>
      </c>
      <c r="BL51" s="2"/>
      <c r="BM51" s="2" t="s">
        <v>226</v>
      </c>
      <c r="BN51" s="2"/>
      <c r="BO51" s="2"/>
      <c r="BP51" s="2" t="s">
        <v>119</v>
      </c>
      <c r="BQ51" s="2"/>
      <c r="BR51" s="12">
        <f>4.5*1</f>
        <v>4.5</v>
      </c>
      <c r="BS51" s="2" t="s">
        <v>232</v>
      </c>
      <c r="BT51" s="2" t="s">
        <v>54</v>
      </c>
      <c r="BU51" s="2"/>
      <c r="BV51" s="2"/>
      <c r="BW51" s="2"/>
      <c r="BX51" s="2"/>
      <c r="BY51" s="2"/>
      <c r="BZ51" s="2"/>
      <c r="CA51" s="2"/>
      <c r="CB51" s="2"/>
      <c r="CC51" s="2"/>
      <c r="CD51" s="35"/>
      <c r="CE51" s="2"/>
      <c r="CF51" s="2"/>
      <c r="CG51" s="12"/>
      <c r="CH51" s="2"/>
      <c r="CK51" s="6"/>
      <c r="CP51" s="6"/>
      <c r="CQ51" s="5" t="s">
        <v>54</v>
      </c>
      <c r="CR51" s="5"/>
      <c r="CS51" s="5" t="s">
        <v>54</v>
      </c>
      <c r="CU51" s="5" t="s">
        <v>48</v>
      </c>
      <c r="CV51" s="33"/>
      <c r="CW51" s="33" t="s">
        <v>87</v>
      </c>
      <c r="CX51" s="33" t="s">
        <v>149</v>
      </c>
      <c r="CY51" s="33" t="s">
        <v>54</v>
      </c>
      <c r="CZ51" s="28"/>
      <c r="DA51" s="42" t="s">
        <v>54</v>
      </c>
      <c r="DB51" s="42"/>
      <c r="DC51" s="42"/>
    </row>
    <row r="52" spans="1:107" ht="14.25" customHeight="1" x14ac:dyDescent="0.35">
      <c r="A52" s="7" t="s">
        <v>500</v>
      </c>
      <c r="B52" s="2" t="s">
        <v>332</v>
      </c>
      <c r="C52" s="7" t="s">
        <v>501</v>
      </c>
      <c r="D52" s="7" t="s">
        <v>502</v>
      </c>
      <c r="E52" s="2"/>
      <c r="F52" s="2" t="s">
        <v>503</v>
      </c>
      <c r="G52" s="8" t="s">
        <v>84</v>
      </c>
      <c r="H52" s="8"/>
      <c r="I52" s="2" t="s">
        <v>43</v>
      </c>
      <c r="J52" s="2" t="s">
        <v>43</v>
      </c>
      <c r="K52" s="2" t="s">
        <v>43</v>
      </c>
      <c r="L52" s="2" t="s">
        <v>42</v>
      </c>
      <c r="M52" s="2" t="s">
        <v>43</v>
      </c>
      <c r="N52" s="2" t="s">
        <v>43</v>
      </c>
      <c r="O52" s="2" t="s">
        <v>43</v>
      </c>
      <c r="P52" s="2" t="s">
        <v>103</v>
      </c>
      <c r="Q52" s="2"/>
      <c r="R52" s="2" t="s">
        <v>506</v>
      </c>
      <c r="S52" s="2" t="s">
        <v>81</v>
      </c>
      <c r="T52" s="2"/>
      <c r="U52" s="8"/>
      <c r="V52" s="8"/>
      <c r="W52" s="8"/>
      <c r="X52" s="8"/>
      <c r="Y52" s="8" t="s">
        <v>504</v>
      </c>
      <c r="Z52" s="8"/>
      <c r="AA52" s="2" t="s">
        <v>139</v>
      </c>
      <c r="AB52" s="2" t="s">
        <v>103</v>
      </c>
      <c r="AC52" s="2"/>
      <c r="AD52" s="2" t="s">
        <v>54</v>
      </c>
      <c r="AE52" s="2"/>
      <c r="AF52" s="2"/>
      <c r="AG52" s="2"/>
      <c r="AH52" s="2"/>
      <c r="AI52" s="2"/>
      <c r="AJ52" s="2"/>
      <c r="AK52" s="2"/>
      <c r="AL52" s="9">
        <v>800</v>
      </c>
      <c r="AM52" s="2">
        <v>1075</v>
      </c>
      <c r="AN52" s="2">
        <v>1152</v>
      </c>
      <c r="AO52" s="2" t="s">
        <v>505</v>
      </c>
      <c r="AP52" s="2"/>
      <c r="AQ52" s="2" t="s">
        <v>48</v>
      </c>
      <c r="AR52" s="2" t="s">
        <v>131</v>
      </c>
      <c r="AS52" s="2" t="s">
        <v>116</v>
      </c>
      <c r="AT52" s="2"/>
      <c r="AU52" s="2" t="s">
        <v>104</v>
      </c>
      <c r="AV52" s="2"/>
      <c r="AW52" s="2" t="s">
        <v>105</v>
      </c>
      <c r="AX52" s="2" t="s">
        <v>211</v>
      </c>
      <c r="AY52" s="2"/>
      <c r="AZ52" s="2" t="s">
        <v>507</v>
      </c>
      <c r="BA52" s="2" t="s">
        <v>48</v>
      </c>
      <c r="BB52" s="16">
        <v>1</v>
      </c>
      <c r="BC52" s="2" t="s">
        <v>54</v>
      </c>
      <c r="BD52" s="2" t="s">
        <v>48</v>
      </c>
      <c r="BE52" s="2" t="s">
        <v>326</v>
      </c>
      <c r="BF52" s="2"/>
      <c r="BG52" s="10"/>
      <c r="BH52" s="12" t="s">
        <v>84</v>
      </c>
      <c r="BI52" s="21"/>
      <c r="BJ52" s="2" t="s">
        <v>56</v>
      </c>
      <c r="BK52" s="2" t="s">
        <v>103</v>
      </c>
      <c r="BL52" s="2"/>
      <c r="BM52" s="2" t="s">
        <v>48</v>
      </c>
      <c r="BN52" s="2" t="s">
        <v>128</v>
      </c>
      <c r="BO52" s="2" t="s">
        <v>80</v>
      </c>
      <c r="BP52" s="2" t="s">
        <v>119</v>
      </c>
      <c r="BQ52" s="2"/>
      <c r="BR52" s="12">
        <f>1*25</f>
        <v>25</v>
      </c>
      <c r="BS52" s="2" t="s">
        <v>211</v>
      </c>
      <c r="BT52" s="2" t="s">
        <v>54</v>
      </c>
      <c r="BU52" s="2"/>
      <c r="BV52" s="2"/>
      <c r="BW52" s="2" t="s">
        <v>56</v>
      </c>
      <c r="BX52" s="2" t="s">
        <v>66</v>
      </c>
      <c r="BY52" s="2" t="s">
        <v>54</v>
      </c>
      <c r="BZ52" s="2"/>
      <c r="CA52" s="2"/>
      <c r="CB52" s="2"/>
      <c r="CC52" s="2"/>
      <c r="CD52" s="35"/>
      <c r="CE52" s="2" t="s">
        <v>54</v>
      </c>
      <c r="CF52" s="2"/>
      <c r="CG52" s="13" t="s">
        <v>54</v>
      </c>
      <c r="CH52" s="2"/>
      <c r="CI52" s="2" t="s">
        <v>54</v>
      </c>
      <c r="CJ52" s="2"/>
      <c r="CK52" s="6"/>
      <c r="CM52" s="18" t="s">
        <v>68</v>
      </c>
      <c r="CP52" s="6"/>
      <c r="CQ52" s="5" t="s">
        <v>54</v>
      </c>
      <c r="CR52" s="5"/>
      <c r="CS52" s="5" t="s">
        <v>54</v>
      </c>
      <c r="CU52" s="5" t="s">
        <v>48</v>
      </c>
      <c r="CV52" s="33"/>
      <c r="CW52" s="33" t="s">
        <v>70</v>
      </c>
      <c r="CX52" s="33" t="s">
        <v>149</v>
      </c>
      <c r="CY52" s="33" t="s">
        <v>54</v>
      </c>
      <c r="CZ52" s="28"/>
      <c r="DA52" s="42" t="s">
        <v>54</v>
      </c>
      <c r="DB52" s="42"/>
      <c r="DC52" s="42"/>
    </row>
    <row r="53" spans="1:107" ht="14.25" customHeight="1" x14ac:dyDescent="0.35">
      <c r="A53" s="7" t="s">
        <v>508</v>
      </c>
      <c r="B53" s="2" t="s">
        <v>359</v>
      </c>
      <c r="C53" s="2" t="s">
        <v>360</v>
      </c>
      <c r="D53" s="2" t="s">
        <v>509</v>
      </c>
      <c r="E53" s="2"/>
      <c r="F53" s="2" t="s">
        <v>510</v>
      </c>
      <c r="G53" s="8" t="s">
        <v>84</v>
      </c>
      <c r="H53" s="8"/>
      <c r="I53" s="2" t="s">
        <v>43</v>
      </c>
      <c r="J53" s="2" t="s">
        <v>43</v>
      </c>
      <c r="K53" s="2" t="s">
        <v>43</v>
      </c>
      <c r="L53" s="2" t="s">
        <v>42</v>
      </c>
      <c r="M53" s="2" t="s">
        <v>43</v>
      </c>
      <c r="N53" s="2" t="s">
        <v>43</v>
      </c>
      <c r="O53" s="2" t="s">
        <v>43</v>
      </c>
      <c r="P53" s="2" t="s">
        <v>119</v>
      </c>
      <c r="Q53" s="2"/>
      <c r="R53" s="2" t="s">
        <v>54</v>
      </c>
      <c r="S53" s="2"/>
      <c r="T53" s="2"/>
      <c r="U53" s="8"/>
      <c r="V53" s="8"/>
      <c r="W53" s="8"/>
      <c r="X53" s="8"/>
      <c r="Y53" s="8" t="s">
        <v>504</v>
      </c>
      <c r="Z53" s="8"/>
      <c r="AA53" s="2" t="s">
        <v>54</v>
      </c>
      <c r="AB53" s="2"/>
      <c r="AC53" s="2"/>
      <c r="AD53" s="2" t="s">
        <v>54</v>
      </c>
      <c r="AE53" s="2"/>
      <c r="AF53" s="2"/>
      <c r="AG53" s="2"/>
      <c r="AH53" s="2"/>
      <c r="AI53" s="2"/>
      <c r="AJ53" s="2"/>
      <c r="AK53" s="2"/>
      <c r="AL53" s="12">
        <f>(AM53+AN53)/2</f>
        <v>879</v>
      </c>
      <c r="AM53" s="2">
        <v>960</v>
      </c>
      <c r="AN53" s="2">
        <v>798</v>
      </c>
      <c r="AO53" s="2" t="s">
        <v>81</v>
      </c>
      <c r="AP53" s="2"/>
      <c r="AQ53" s="2" t="s">
        <v>48</v>
      </c>
      <c r="AR53" s="2" t="s">
        <v>512</v>
      </c>
      <c r="AS53" s="2" t="s">
        <v>119</v>
      </c>
      <c r="AT53" s="2"/>
      <c r="AU53" s="2" t="s">
        <v>144</v>
      </c>
      <c r="AV53" s="2"/>
      <c r="AW53" s="2" t="s">
        <v>54</v>
      </c>
      <c r="AX53" s="2"/>
      <c r="AY53" s="2"/>
      <c r="AZ53" s="2" t="s">
        <v>54</v>
      </c>
      <c r="BA53" s="2" t="s">
        <v>54</v>
      </c>
      <c r="BB53" s="16">
        <v>1</v>
      </c>
      <c r="BC53" s="2" t="s">
        <v>54</v>
      </c>
      <c r="BD53" s="2" t="s">
        <v>54</v>
      </c>
      <c r="BE53" s="2"/>
      <c r="BF53" s="2"/>
      <c r="BG53" s="10"/>
      <c r="BH53" s="12" t="s">
        <v>84</v>
      </c>
      <c r="BI53" s="21"/>
      <c r="BJ53" s="2" t="s">
        <v>56</v>
      </c>
      <c r="BK53" s="2" t="s">
        <v>90</v>
      </c>
      <c r="BL53" s="2"/>
      <c r="BM53" s="2" t="s">
        <v>56</v>
      </c>
      <c r="BN53" s="2" t="s">
        <v>97</v>
      </c>
      <c r="BO53" s="2" t="s">
        <v>80</v>
      </c>
      <c r="BP53" s="2" t="s">
        <v>119</v>
      </c>
      <c r="BQ53" s="2"/>
      <c r="BR53" s="12">
        <f>8*1</f>
        <v>8</v>
      </c>
      <c r="BS53" s="2" t="s">
        <v>119</v>
      </c>
      <c r="BT53" s="2" t="s">
        <v>54</v>
      </c>
      <c r="BU53" s="2"/>
      <c r="BV53" s="2"/>
      <c r="BW53" s="2" t="s">
        <v>48</v>
      </c>
      <c r="BX53" s="2" t="s">
        <v>66</v>
      </c>
      <c r="BY53" s="2" t="s">
        <v>54</v>
      </c>
      <c r="BZ53" s="2"/>
      <c r="CA53" s="2"/>
      <c r="CB53" s="2"/>
      <c r="CC53" s="2"/>
      <c r="CD53" s="35"/>
      <c r="CE53" s="2" t="s">
        <v>54</v>
      </c>
      <c r="CF53" s="2"/>
      <c r="CG53" s="13" t="s">
        <v>54</v>
      </c>
      <c r="CH53" s="2"/>
      <c r="CI53" s="2" t="s">
        <v>54</v>
      </c>
      <c r="CJ53" s="2"/>
      <c r="CK53" s="6"/>
      <c r="CP53" s="6"/>
      <c r="CQ53" s="5" t="s">
        <v>54</v>
      </c>
      <c r="CS53" s="5" t="s">
        <v>54</v>
      </c>
      <c r="CU53" s="5" t="s">
        <v>48</v>
      </c>
      <c r="CV53" s="33"/>
      <c r="CW53" s="33" t="s">
        <v>87</v>
      </c>
      <c r="CX53" s="33" t="s">
        <v>149</v>
      </c>
      <c r="CY53" s="33" t="s">
        <v>54</v>
      </c>
      <c r="CZ53" s="28"/>
      <c r="DA53" s="42" t="s">
        <v>511</v>
      </c>
      <c r="DB53" s="42" t="s">
        <v>364</v>
      </c>
      <c r="DC53" s="42"/>
    </row>
    <row r="54" spans="1:107" ht="14.25" customHeight="1" x14ac:dyDescent="0.35">
      <c r="A54" s="7" t="s">
        <v>513</v>
      </c>
      <c r="B54" s="2" t="s">
        <v>74</v>
      </c>
      <c r="C54" s="7" t="s">
        <v>514</v>
      </c>
      <c r="D54" s="7" t="s">
        <v>515</v>
      </c>
      <c r="E54" s="15"/>
      <c r="F54" s="15"/>
      <c r="G54" s="8" t="s">
        <v>84</v>
      </c>
      <c r="H54" s="8"/>
      <c r="I54" s="2" t="s">
        <v>43</v>
      </c>
      <c r="J54" s="2" t="s">
        <v>42</v>
      </c>
      <c r="K54" s="2" t="s">
        <v>43</v>
      </c>
      <c r="L54" s="2" t="s">
        <v>42</v>
      </c>
      <c r="M54" s="2" t="s">
        <v>42</v>
      </c>
      <c r="N54" s="2" t="s">
        <v>43</v>
      </c>
      <c r="O54" s="2" t="s">
        <v>43</v>
      </c>
      <c r="P54" s="2" t="s">
        <v>516</v>
      </c>
      <c r="Q54" s="2"/>
      <c r="R54" s="2" t="s">
        <v>54</v>
      </c>
      <c r="S54" s="2"/>
      <c r="T54" s="2"/>
      <c r="U54" s="8"/>
      <c r="V54" s="8"/>
      <c r="W54" s="8"/>
      <c r="X54" s="8"/>
      <c r="Y54" s="8" t="s">
        <v>504</v>
      </c>
      <c r="Z54" s="8"/>
      <c r="AA54" s="2" t="s">
        <v>54</v>
      </c>
      <c r="AB54" s="2"/>
      <c r="AC54" s="2"/>
      <c r="AD54" s="2" t="s">
        <v>54</v>
      </c>
      <c r="AE54" s="2"/>
      <c r="AF54" s="2"/>
      <c r="AG54" s="2"/>
      <c r="AH54" s="2"/>
      <c r="AI54" s="42"/>
      <c r="AJ54" s="42"/>
      <c r="AK54" s="2"/>
      <c r="AL54" s="9">
        <v>26.03</v>
      </c>
      <c r="AM54" s="2">
        <v>28.58</v>
      </c>
      <c r="AN54" s="2" t="s">
        <v>54</v>
      </c>
      <c r="AO54" s="2" t="s">
        <v>518</v>
      </c>
      <c r="AP54" s="2"/>
      <c r="AQ54" s="2" t="s">
        <v>48</v>
      </c>
      <c r="AR54" s="2" t="s">
        <v>519</v>
      </c>
      <c r="AS54" s="2" t="s">
        <v>520</v>
      </c>
      <c r="AT54" s="2"/>
      <c r="AU54" s="2" t="s">
        <v>144</v>
      </c>
      <c r="AV54" s="2"/>
      <c r="AW54" s="2" t="s">
        <v>54</v>
      </c>
      <c r="AX54" s="2"/>
      <c r="AY54" s="2"/>
      <c r="AZ54" s="2" t="s">
        <v>54</v>
      </c>
      <c r="BA54" s="2" t="s">
        <v>54</v>
      </c>
      <c r="BB54" s="16" t="s">
        <v>231</v>
      </c>
      <c r="BC54" s="2" t="s">
        <v>48</v>
      </c>
      <c r="BD54" s="2" t="s">
        <v>54</v>
      </c>
      <c r="BE54" s="2" t="s">
        <v>520</v>
      </c>
      <c r="BF54" s="2"/>
      <c r="BG54" s="10"/>
      <c r="BH54" s="11" t="s">
        <v>48</v>
      </c>
      <c r="BI54" s="21"/>
      <c r="BJ54" s="2" t="s">
        <v>54</v>
      </c>
      <c r="BK54" s="2"/>
      <c r="BL54" s="2"/>
      <c r="BM54" s="2" t="s">
        <v>48</v>
      </c>
      <c r="BN54" s="2" t="s">
        <v>226</v>
      </c>
      <c r="BO54" s="2" t="s">
        <v>80</v>
      </c>
      <c r="BP54" s="2" t="s">
        <v>517</v>
      </c>
      <c r="BQ54" s="2"/>
      <c r="BR54" s="12">
        <f>2*2</f>
        <v>4</v>
      </c>
      <c r="BS54" s="2" t="s">
        <v>521</v>
      </c>
      <c r="BT54" s="2" t="s">
        <v>54</v>
      </c>
      <c r="BU54" s="2"/>
      <c r="BV54" s="2"/>
      <c r="BW54" s="2" t="s">
        <v>48</v>
      </c>
      <c r="BX54" s="2" t="s">
        <v>66</v>
      </c>
      <c r="BY54" s="2" t="s">
        <v>54</v>
      </c>
      <c r="BZ54" s="2"/>
      <c r="CA54" s="2"/>
      <c r="CB54" s="2"/>
      <c r="CC54" s="2"/>
      <c r="CD54" s="35"/>
      <c r="CE54" s="2" t="s">
        <v>54</v>
      </c>
      <c r="CF54" s="2"/>
      <c r="CG54" s="13" t="s">
        <v>54</v>
      </c>
      <c r="CH54" s="2"/>
      <c r="CI54" s="2" t="s">
        <v>54</v>
      </c>
      <c r="CJ54" s="2"/>
      <c r="CK54" s="6"/>
      <c r="CM54" s="18" t="s">
        <v>68</v>
      </c>
      <c r="CP54" s="6"/>
      <c r="CQ54" s="5" t="s">
        <v>54</v>
      </c>
      <c r="CR54" s="5"/>
      <c r="CS54" s="5" t="s">
        <v>54</v>
      </c>
      <c r="CU54" s="5" t="s">
        <v>48</v>
      </c>
      <c r="CV54" s="33"/>
      <c r="CW54" s="33" t="s">
        <v>87</v>
      </c>
      <c r="CX54" s="33" t="s">
        <v>159</v>
      </c>
      <c r="CY54" s="33" t="s">
        <v>54</v>
      </c>
      <c r="CZ54" s="28"/>
      <c r="DA54" s="42" t="s">
        <v>54</v>
      </c>
      <c r="DB54" s="42"/>
      <c r="DC54" s="42"/>
    </row>
    <row r="55" spans="1:107" ht="14.25" customHeight="1" x14ac:dyDescent="0.35">
      <c r="A55" s="7" t="s">
        <v>522</v>
      </c>
      <c r="B55" s="2" t="s">
        <v>319</v>
      </c>
      <c r="C55" s="2" t="s">
        <v>459</v>
      </c>
      <c r="D55" s="2" t="s">
        <v>523</v>
      </c>
      <c r="E55" s="2"/>
      <c r="F55" s="2" t="s">
        <v>524</v>
      </c>
      <c r="G55" s="8" t="s">
        <v>84</v>
      </c>
      <c r="H55" s="8"/>
      <c r="I55" s="2" t="s">
        <v>43</v>
      </c>
      <c r="J55" s="2" t="s">
        <v>43</v>
      </c>
      <c r="K55" s="2" t="s">
        <v>43</v>
      </c>
      <c r="L55" s="2" t="s">
        <v>42</v>
      </c>
      <c r="M55" s="2" t="s">
        <v>43</v>
      </c>
      <c r="N55" s="2" t="s">
        <v>43</v>
      </c>
      <c r="O55" s="2" t="s">
        <v>43</v>
      </c>
      <c r="P55" s="2" t="s">
        <v>525</v>
      </c>
      <c r="Q55" s="2"/>
      <c r="R55" s="2" t="s">
        <v>54</v>
      </c>
      <c r="S55" s="2"/>
      <c r="T55" s="2"/>
      <c r="U55" s="8"/>
      <c r="V55" s="8"/>
      <c r="W55" s="8"/>
      <c r="X55" s="8"/>
      <c r="Y55" s="8" t="s">
        <v>504</v>
      </c>
      <c r="Z55" s="8"/>
      <c r="AA55" s="2" t="s">
        <v>46</v>
      </c>
      <c r="AB55" s="2" t="s">
        <v>103</v>
      </c>
      <c r="AC55" s="2"/>
      <c r="AD55" s="2" t="s">
        <v>54</v>
      </c>
      <c r="AE55" s="2"/>
      <c r="AF55" s="2"/>
      <c r="AG55" s="2"/>
      <c r="AH55" s="2"/>
      <c r="AI55" s="42"/>
      <c r="AJ55" s="42"/>
      <c r="AK55" s="2"/>
      <c r="AL55" s="12">
        <v>50</v>
      </c>
      <c r="AM55" s="2">
        <v>58</v>
      </c>
      <c r="AN55" s="2" t="s">
        <v>54</v>
      </c>
      <c r="AO55" s="2" t="s">
        <v>81</v>
      </c>
      <c r="AP55" s="2"/>
      <c r="AQ55" s="2" t="s">
        <v>48</v>
      </c>
      <c r="AR55" s="2" t="s">
        <v>343</v>
      </c>
      <c r="AS55" s="2" t="s">
        <v>81</v>
      </c>
      <c r="AT55" s="2"/>
      <c r="AU55" s="2" t="s">
        <v>61</v>
      </c>
      <c r="AV55" s="2"/>
      <c r="AW55" s="2" t="s">
        <v>54</v>
      </c>
      <c r="AX55" s="2"/>
      <c r="AY55" s="2"/>
      <c r="AZ55" s="2" t="s">
        <v>526</v>
      </c>
      <c r="BA55" s="2" t="s">
        <v>48</v>
      </c>
      <c r="BB55" s="16">
        <v>1</v>
      </c>
      <c r="BC55" s="2" t="s">
        <v>54</v>
      </c>
      <c r="BD55" s="2" t="s">
        <v>48</v>
      </c>
      <c r="BE55" s="2" t="s">
        <v>81</v>
      </c>
      <c r="BF55" s="2"/>
      <c r="BG55" s="10"/>
      <c r="BH55" s="12" t="s">
        <v>84</v>
      </c>
      <c r="BI55" s="21"/>
      <c r="BJ55" s="2" t="s">
        <v>56</v>
      </c>
      <c r="BK55" s="2" t="s">
        <v>90</v>
      </c>
      <c r="BL55" s="2"/>
      <c r="BM55" s="2" t="s">
        <v>54</v>
      </c>
      <c r="BN55" s="2" t="s">
        <v>97</v>
      </c>
      <c r="BO55" s="2" t="s">
        <v>54</v>
      </c>
      <c r="BP55" s="2" t="s">
        <v>168</v>
      </c>
      <c r="BQ55" s="2"/>
      <c r="BR55" s="12">
        <f>4.5*1</f>
        <v>4.5</v>
      </c>
      <c r="BS55" s="2" t="s">
        <v>421</v>
      </c>
      <c r="BT55" s="2" t="s">
        <v>54</v>
      </c>
      <c r="BU55" s="2"/>
      <c r="BV55" s="2"/>
      <c r="BW55" s="2" t="s">
        <v>56</v>
      </c>
      <c r="BX55" s="2" t="s">
        <v>66</v>
      </c>
      <c r="BY55" s="2" t="s">
        <v>54</v>
      </c>
      <c r="BZ55" s="2"/>
      <c r="CA55" s="2"/>
      <c r="CB55" s="2"/>
      <c r="CC55" s="2"/>
      <c r="CD55" s="35"/>
      <c r="CE55" s="2" t="s">
        <v>54</v>
      </c>
      <c r="CF55" s="2"/>
      <c r="CG55" s="13" t="s">
        <v>54</v>
      </c>
      <c r="CH55" s="2"/>
      <c r="CI55" s="2" t="s">
        <v>54</v>
      </c>
      <c r="CJ55" s="2"/>
      <c r="CK55" s="6"/>
      <c r="CP55" s="6"/>
      <c r="CQ55" s="5" t="s">
        <v>54</v>
      </c>
      <c r="CS55" s="5" t="s">
        <v>54</v>
      </c>
      <c r="CU55" s="5" t="s">
        <v>48</v>
      </c>
      <c r="CV55" s="33"/>
      <c r="CW55" s="33" t="s">
        <v>87</v>
      </c>
      <c r="CX55" s="33" t="s">
        <v>149</v>
      </c>
      <c r="CY55" s="33" t="s">
        <v>54</v>
      </c>
      <c r="CZ55" s="28"/>
      <c r="DA55" s="42" t="s">
        <v>54</v>
      </c>
      <c r="DB55" s="42"/>
      <c r="DC55" s="42"/>
    </row>
    <row r="56" spans="1:107" ht="14.25" customHeight="1" x14ac:dyDescent="0.35">
      <c r="AE56" s="2"/>
      <c r="AF56" s="2"/>
      <c r="AI56" s="28"/>
      <c r="AJ56" s="28"/>
      <c r="CP56" s="6"/>
    </row>
    <row r="57" spans="1:107" ht="14.25" customHeight="1" x14ac:dyDescent="0.35">
      <c r="AE57" s="2"/>
      <c r="AF57" s="2"/>
      <c r="AI57" s="43"/>
      <c r="AJ57" s="28"/>
      <c r="CP57" s="6"/>
    </row>
    <row r="58" spans="1:107" ht="14.25" customHeight="1" x14ac:dyDescent="0.35">
      <c r="AE58" s="2"/>
      <c r="AF58" s="2"/>
      <c r="AI58" s="43"/>
      <c r="AJ58" s="28"/>
      <c r="CP58" s="6"/>
    </row>
    <row r="59" spans="1:107" ht="14.25" customHeight="1" x14ac:dyDescent="0.35">
      <c r="U59" s="30"/>
      <c r="V59" s="19"/>
      <c r="Y59" s="41"/>
      <c r="AE59" s="2"/>
      <c r="AF59" s="2"/>
      <c r="AI59" s="43"/>
      <c r="AJ59" s="28"/>
      <c r="CP59" s="6"/>
    </row>
    <row r="60" spans="1:107" ht="14.25" customHeight="1" x14ac:dyDescent="0.35">
      <c r="U60" s="30"/>
      <c r="V60" s="19"/>
      <c r="Y60" s="41"/>
      <c r="AE60" s="2"/>
      <c r="AF60" s="2"/>
      <c r="AI60" s="43"/>
      <c r="AJ60" s="28"/>
      <c r="CP60" s="6"/>
    </row>
    <row r="61" spans="1:107" ht="14.25" customHeight="1" x14ac:dyDescent="0.35">
      <c r="U61" s="30"/>
      <c r="V61" s="19"/>
      <c r="Y61" s="41"/>
      <c r="AE61" s="2"/>
      <c r="AF61" s="2"/>
      <c r="AI61" s="43"/>
      <c r="AJ61" s="28"/>
      <c r="CP61" s="6"/>
    </row>
    <row r="62" spans="1:107" ht="14.25" customHeight="1" x14ac:dyDescent="0.35">
      <c r="U62" s="30"/>
      <c r="V62" s="19"/>
      <c r="Y62" s="41"/>
      <c r="AE62" s="2"/>
      <c r="AF62" s="2"/>
      <c r="AI62" s="43"/>
      <c r="AJ62" s="28"/>
      <c r="CP62" s="6"/>
    </row>
    <row r="63" spans="1:107" ht="14.25" customHeight="1" x14ac:dyDescent="0.35">
      <c r="U63" s="31"/>
      <c r="V63" s="16"/>
      <c r="Y63" s="41"/>
      <c r="AE63" s="2"/>
      <c r="AF63" s="2"/>
      <c r="AI63" s="43"/>
      <c r="AJ63" s="28"/>
      <c r="CP63" s="6"/>
    </row>
    <row r="64" spans="1:107" ht="14.25" customHeight="1" x14ac:dyDescent="0.35">
      <c r="U64" s="31"/>
      <c r="V64" s="16"/>
      <c r="Y64" s="41"/>
      <c r="AE64" s="2"/>
      <c r="AF64" s="2"/>
      <c r="AI64" s="43"/>
      <c r="AJ64" s="28"/>
      <c r="CP64" s="6"/>
    </row>
    <row r="65" spans="21:94" ht="14.25" customHeight="1" x14ac:dyDescent="0.35">
      <c r="U65" s="31"/>
      <c r="V65" s="16"/>
      <c r="Y65" s="41"/>
      <c r="AE65" s="2"/>
      <c r="AF65" s="2"/>
      <c r="AI65" s="43"/>
      <c r="AJ65" s="28"/>
      <c r="CP65" s="6"/>
    </row>
    <row r="66" spans="21:94" ht="14.25" customHeight="1" x14ac:dyDescent="0.35">
      <c r="U66" s="30"/>
      <c r="V66" s="19"/>
      <c r="Y66" s="41"/>
      <c r="AE66" s="2"/>
      <c r="AF66" s="2"/>
      <c r="AI66" s="44"/>
      <c r="AJ66" s="28"/>
      <c r="CP66" s="6"/>
    </row>
    <row r="67" spans="21:94" ht="14.25" customHeight="1" x14ac:dyDescent="0.35">
      <c r="U67" s="30"/>
      <c r="V67" s="19"/>
      <c r="Y67" s="41"/>
      <c r="AE67" s="2"/>
      <c r="AF67" s="2"/>
      <c r="AI67" s="43"/>
      <c r="AJ67" s="28"/>
      <c r="CP67" s="6"/>
    </row>
    <row r="68" spans="21:94" ht="14.25" customHeight="1" x14ac:dyDescent="0.35">
      <c r="U68" s="30"/>
      <c r="V68" s="19"/>
      <c r="Y68" s="41"/>
      <c r="AE68" s="2"/>
      <c r="AF68" s="2"/>
      <c r="AI68" s="43"/>
      <c r="AJ68" s="28"/>
      <c r="CP68" s="6"/>
    </row>
    <row r="69" spans="21:94" ht="14.25" customHeight="1" x14ac:dyDescent="0.35">
      <c r="U69" s="31"/>
      <c r="V69" s="16"/>
      <c r="Y69" s="41"/>
      <c r="AE69" s="2"/>
      <c r="AF69" s="2"/>
      <c r="AI69" s="43"/>
      <c r="AJ69" s="28"/>
      <c r="CP69" s="6"/>
    </row>
    <row r="70" spans="21:94" ht="14.25" customHeight="1" x14ac:dyDescent="0.35">
      <c r="U70" s="30"/>
      <c r="V70" s="19"/>
      <c r="Y70" s="41"/>
      <c r="AE70" s="2"/>
      <c r="AF70" s="2"/>
      <c r="AI70" s="43"/>
      <c r="AJ70" s="28"/>
      <c r="CP70" s="6"/>
    </row>
    <row r="71" spans="21:94" ht="14.25" customHeight="1" x14ac:dyDescent="0.35">
      <c r="U71" s="30"/>
      <c r="V71" s="19"/>
      <c r="Y71" s="41"/>
      <c r="AE71" s="2"/>
      <c r="AF71" s="2"/>
      <c r="AI71" s="43"/>
      <c r="AJ71" s="28"/>
      <c r="CP71" s="6"/>
    </row>
    <row r="72" spans="21:94" ht="14.25" customHeight="1" x14ac:dyDescent="0.35">
      <c r="U72" s="30"/>
      <c r="V72" s="19"/>
      <c r="Y72" s="41"/>
      <c r="AE72" s="2"/>
      <c r="AF72" s="2"/>
      <c r="AI72" s="43"/>
      <c r="AJ72" s="28"/>
      <c r="CP72" s="6"/>
    </row>
    <row r="73" spans="21:94" ht="14.25" customHeight="1" x14ac:dyDescent="0.35">
      <c r="U73" s="30"/>
      <c r="V73" s="19"/>
      <c r="Y73" s="41"/>
      <c r="AE73" s="2"/>
      <c r="AF73" s="2"/>
      <c r="AI73" s="43"/>
      <c r="AJ73" s="28"/>
      <c r="CP73" s="6"/>
    </row>
    <row r="74" spans="21:94" ht="14.25" customHeight="1" x14ac:dyDescent="0.35">
      <c r="U74" s="30"/>
      <c r="V74" s="19"/>
      <c r="Y74" s="41"/>
      <c r="AE74" s="2"/>
      <c r="AF74" s="2"/>
      <c r="AI74" s="43"/>
      <c r="AJ74" s="28"/>
      <c r="CP74" s="6"/>
    </row>
    <row r="75" spans="21:94" ht="14.25" customHeight="1" x14ac:dyDescent="0.35">
      <c r="U75" s="30"/>
      <c r="V75" s="19"/>
      <c r="Y75" s="41"/>
      <c r="AE75" s="2"/>
      <c r="AF75" s="2"/>
      <c r="AI75" s="43"/>
      <c r="AJ75" s="28"/>
      <c r="CP75" s="6"/>
    </row>
    <row r="76" spans="21:94" ht="14.25" customHeight="1" x14ac:dyDescent="0.35">
      <c r="U76" s="30"/>
      <c r="V76" s="19"/>
      <c r="Y76" s="41"/>
      <c r="AE76" s="2"/>
      <c r="AF76" s="2"/>
      <c r="AI76" s="43"/>
      <c r="AJ76" s="28"/>
      <c r="CP76" s="6"/>
    </row>
    <row r="77" spans="21:94" ht="14.25" customHeight="1" x14ac:dyDescent="0.35">
      <c r="U77" s="31"/>
      <c r="V77" s="16"/>
      <c r="Y77" s="41"/>
      <c r="AE77" s="2"/>
      <c r="AF77" s="2"/>
      <c r="AI77" s="43"/>
      <c r="AJ77" s="28"/>
      <c r="CP77" s="6"/>
    </row>
    <row r="78" spans="21:94" ht="14.25" customHeight="1" x14ac:dyDescent="0.35">
      <c r="U78" s="30"/>
      <c r="V78" s="19"/>
      <c r="Y78" s="41"/>
      <c r="AE78" s="2"/>
      <c r="AF78" s="2"/>
      <c r="AI78" s="43"/>
      <c r="AJ78" s="28"/>
      <c r="CP78" s="6"/>
    </row>
    <row r="79" spans="21:94" ht="14.25" customHeight="1" x14ac:dyDescent="0.35">
      <c r="U79" s="30"/>
      <c r="V79" s="19"/>
      <c r="Y79" s="41"/>
      <c r="AE79" s="2"/>
      <c r="AF79" s="2"/>
      <c r="AI79" s="43"/>
      <c r="AJ79" s="28"/>
      <c r="CP79" s="6"/>
    </row>
    <row r="80" spans="21:94" ht="14.25" customHeight="1" x14ac:dyDescent="0.35">
      <c r="U80" s="30"/>
      <c r="V80" s="19"/>
      <c r="Y80" s="41"/>
      <c r="AE80" s="2"/>
      <c r="AF80" s="2"/>
      <c r="AI80" s="43"/>
      <c r="AJ80" s="28"/>
      <c r="CP80" s="6"/>
    </row>
    <row r="81" spans="21:94" ht="14.25" customHeight="1" x14ac:dyDescent="0.35">
      <c r="U81" s="30"/>
      <c r="V81" s="19"/>
      <c r="Y81" s="41"/>
      <c r="AE81" s="2"/>
      <c r="AF81" s="2"/>
      <c r="AI81" s="43"/>
      <c r="AJ81" s="28"/>
      <c r="CP81" s="6"/>
    </row>
    <row r="82" spans="21:94" ht="14.25" customHeight="1" x14ac:dyDescent="0.35">
      <c r="U82" s="31"/>
      <c r="V82" s="16"/>
      <c r="Y82" s="41"/>
      <c r="AE82" s="2"/>
      <c r="AF82" s="2"/>
      <c r="AI82" s="43"/>
      <c r="AJ82" s="28"/>
      <c r="CP82" s="6"/>
    </row>
    <row r="83" spans="21:94" ht="14.25" customHeight="1" x14ac:dyDescent="0.35">
      <c r="U83" s="30"/>
      <c r="V83" s="19"/>
      <c r="Y83" s="41"/>
      <c r="AE83" s="2"/>
      <c r="AF83" s="2"/>
      <c r="AI83" s="43"/>
      <c r="AJ83" s="28"/>
      <c r="CP83" s="6"/>
    </row>
    <row r="84" spans="21:94" ht="14.25" customHeight="1" x14ac:dyDescent="0.35">
      <c r="U84" s="30"/>
      <c r="V84" s="19"/>
      <c r="Y84" s="41"/>
      <c r="AE84" s="2"/>
      <c r="AF84" s="2"/>
      <c r="AI84" s="43"/>
      <c r="AJ84" s="28"/>
      <c r="CP84" s="6"/>
    </row>
    <row r="85" spans="21:94" ht="14.25" customHeight="1" x14ac:dyDescent="0.35">
      <c r="U85" s="30"/>
      <c r="V85" s="19"/>
      <c r="Y85" s="41"/>
      <c r="AE85" s="2"/>
      <c r="AF85" s="2"/>
      <c r="AI85" s="43"/>
      <c r="AJ85" s="45"/>
      <c r="CP85" s="6"/>
    </row>
    <row r="86" spans="21:94" ht="14.25" customHeight="1" x14ac:dyDescent="0.35">
      <c r="U86" s="31"/>
      <c r="V86" s="16"/>
      <c r="Y86" s="41"/>
      <c r="AE86" s="2"/>
      <c r="AF86" s="2"/>
      <c r="AI86" s="43"/>
      <c r="AJ86" s="45"/>
      <c r="CP86" s="6"/>
    </row>
    <row r="87" spans="21:94" ht="14.25" customHeight="1" x14ac:dyDescent="0.35">
      <c r="U87" s="30"/>
      <c r="V87" s="19"/>
      <c r="Y87" s="41"/>
      <c r="AE87" s="2"/>
      <c r="AF87" s="2"/>
      <c r="AI87" s="43"/>
      <c r="AJ87" s="45"/>
      <c r="CP87" s="6"/>
    </row>
    <row r="88" spans="21:94" ht="14.25" customHeight="1" x14ac:dyDescent="0.35">
      <c r="U88" s="30"/>
      <c r="V88" s="19"/>
      <c r="Y88" s="41"/>
      <c r="AE88" s="2"/>
      <c r="AF88" s="2"/>
      <c r="AI88" s="43"/>
      <c r="AJ88" s="45"/>
      <c r="CP88" s="6"/>
    </row>
    <row r="89" spans="21:94" ht="14.25" customHeight="1" x14ac:dyDescent="0.35">
      <c r="U89" s="31"/>
      <c r="V89" s="16"/>
      <c r="Y89" s="41"/>
      <c r="AE89" s="2"/>
      <c r="AF89" s="2"/>
      <c r="AI89" s="43"/>
      <c r="AJ89" s="45"/>
      <c r="CP89" s="6"/>
    </row>
    <row r="90" spans="21:94" ht="14.25" customHeight="1" x14ac:dyDescent="0.35">
      <c r="U90" s="40"/>
      <c r="V90" s="30"/>
      <c r="Y90" s="41"/>
      <c r="AE90" s="2"/>
      <c r="AF90" s="2"/>
      <c r="AI90" s="43"/>
      <c r="AJ90" s="45"/>
      <c r="CP90" s="6"/>
    </row>
    <row r="91" spans="21:94" ht="14.25" customHeight="1" x14ac:dyDescent="0.35">
      <c r="U91" s="30"/>
      <c r="V91" s="30"/>
      <c r="Y91" s="41"/>
      <c r="AE91" s="2"/>
      <c r="AF91" s="2"/>
      <c r="AI91" s="43"/>
      <c r="AJ91" s="45"/>
      <c r="CP91" s="6"/>
    </row>
    <row r="92" spans="21:94" ht="14.25" customHeight="1" x14ac:dyDescent="0.35">
      <c r="U92" s="30"/>
      <c r="V92" s="30"/>
      <c r="Y92" s="41"/>
      <c r="AE92" s="2"/>
      <c r="AF92" s="2"/>
      <c r="AI92" s="43"/>
      <c r="AJ92" s="45"/>
      <c r="CP92" s="6"/>
    </row>
    <row r="93" spans="21:94" ht="14.25" customHeight="1" x14ac:dyDescent="0.35">
      <c r="U93" s="30"/>
      <c r="V93" s="30"/>
      <c r="Y93" s="41"/>
      <c r="AE93" s="2"/>
      <c r="AF93" s="2"/>
      <c r="AI93" s="43"/>
      <c r="AJ93" s="45"/>
      <c r="CP93" s="6"/>
    </row>
    <row r="94" spans="21:94" ht="14.25" customHeight="1" x14ac:dyDescent="0.35">
      <c r="U94" s="30"/>
      <c r="V94" s="30"/>
      <c r="Y94" s="41"/>
      <c r="AE94" s="2"/>
      <c r="AF94" s="2"/>
      <c r="AI94" s="43"/>
      <c r="AJ94" s="45"/>
      <c r="CP94" s="6"/>
    </row>
    <row r="95" spans="21:94" ht="14.25" customHeight="1" x14ac:dyDescent="0.35">
      <c r="U95" s="30"/>
      <c r="V95" s="30"/>
      <c r="Y95" s="41"/>
      <c r="AE95" s="2"/>
      <c r="AF95" s="2"/>
      <c r="AI95" s="43"/>
      <c r="AJ95" s="45"/>
      <c r="CP95" s="6"/>
    </row>
    <row r="96" spans="21:94" ht="14.25" customHeight="1" x14ac:dyDescent="0.35">
      <c r="U96" s="30"/>
      <c r="V96" s="30"/>
      <c r="Y96" s="41"/>
      <c r="AE96" s="2"/>
      <c r="AF96" s="2"/>
      <c r="AI96" s="43"/>
      <c r="AJ96" s="45"/>
      <c r="CP96" s="6"/>
    </row>
    <row r="97" spans="21:94" ht="14.25" customHeight="1" x14ac:dyDescent="0.35">
      <c r="U97" s="30"/>
      <c r="V97" s="30"/>
      <c r="Y97" s="41"/>
      <c r="AE97" s="2"/>
      <c r="AF97" s="2"/>
      <c r="AI97" s="43"/>
      <c r="AJ97" s="45"/>
      <c r="CP97" s="6"/>
    </row>
    <row r="98" spans="21:94" ht="14.25" customHeight="1" x14ac:dyDescent="0.35">
      <c r="U98" s="31"/>
      <c r="V98" s="31"/>
      <c r="Y98" s="41"/>
      <c r="AE98" s="2"/>
      <c r="AF98" s="2"/>
      <c r="CP98" s="6"/>
    </row>
    <row r="99" spans="21:94" ht="14.25" customHeight="1" x14ac:dyDescent="0.35">
      <c r="U99" s="31"/>
      <c r="V99" s="31"/>
      <c r="Y99" s="41"/>
      <c r="AE99" s="2"/>
      <c r="AF99" s="2"/>
      <c r="CP99" s="6"/>
    </row>
    <row r="100" spans="21:94" ht="14.25" customHeight="1" x14ac:dyDescent="0.35">
      <c r="AE100" s="2"/>
      <c r="AF100" s="2"/>
      <c r="CP100" s="6"/>
    </row>
    <row r="101" spans="21:94" ht="14.25" customHeight="1" x14ac:dyDescent="0.35">
      <c r="AE101" s="2"/>
      <c r="AF101" s="2"/>
      <c r="CP101" s="6"/>
    </row>
    <row r="102" spans="21:94" ht="14.25" customHeight="1" x14ac:dyDescent="0.35">
      <c r="AE102" s="2"/>
      <c r="AF102" s="2"/>
      <c r="CP102" s="6"/>
    </row>
    <row r="103" spans="21:94" ht="14.25" customHeight="1" x14ac:dyDescent="0.35">
      <c r="AE103" s="2"/>
      <c r="AF103" s="2"/>
      <c r="CP103" s="6"/>
    </row>
    <row r="104" spans="21:94" ht="14.25" customHeight="1" x14ac:dyDescent="0.35">
      <c r="AE104" s="2"/>
      <c r="AF104" s="2"/>
      <c r="CP104" s="6"/>
    </row>
    <row r="105" spans="21:94" ht="14.25" customHeight="1" x14ac:dyDescent="0.35">
      <c r="AE105" s="2"/>
      <c r="AF105" s="2"/>
      <c r="CP105" s="6"/>
    </row>
    <row r="106" spans="21:94" ht="14.25" customHeight="1" x14ac:dyDescent="0.35">
      <c r="AE106" s="2"/>
      <c r="AF106" s="2"/>
      <c r="CP106" s="6"/>
    </row>
    <row r="107" spans="21:94" ht="14.25" customHeight="1" x14ac:dyDescent="0.35">
      <c r="AE107" s="2"/>
      <c r="AF107" s="2"/>
      <c r="CP107" s="6"/>
    </row>
    <row r="108" spans="21:94" ht="14.25" customHeight="1" x14ac:dyDescent="0.35">
      <c r="AE108" s="2"/>
      <c r="AF108" s="2"/>
      <c r="CP108" s="6"/>
    </row>
    <row r="109" spans="21:94" ht="14.25" customHeight="1" x14ac:dyDescent="0.35">
      <c r="AE109" s="2"/>
      <c r="AF109" s="2"/>
      <c r="CP109" s="6"/>
    </row>
    <row r="110" spans="21:94" ht="14.25" customHeight="1" x14ac:dyDescent="0.35">
      <c r="AE110" s="2"/>
      <c r="AF110" s="2"/>
      <c r="CP110" s="6"/>
    </row>
    <row r="111" spans="21:94" ht="14.25" customHeight="1" x14ac:dyDescent="0.35">
      <c r="AE111" s="2"/>
      <c r="AF111" s="2"/>
      <c r="CP111" s="6"/>
    </row>
    <row r="112" spans="21:94" ht="14.25" customHeight="1" x14ac:dyDescent="0.35">
      <c r="AE112" s="2"/>
      <c r="AF112" s="2"/>
      <c r="CP112" s="6"/>
    </row>
    <row r="113" spans="31:94" ht="14.25" customHeight="1" x14ac:dyDescent="0.35">
      <c r="AE113" s="2"/>
      <c r="AF113" s="2"/>
      <c r="AH113" s="27"/>
      <c r="CP113" s="6"/>
    </row>
    <row r="114" spans="31:94" ht="14.25" customHeight="1" x14ac:dyDescent="0.35">
      <c r="AE114" s="2"/>
      <c r="AF114" s="2"/>
      <c r="CP114" s="6"/>
    </row>
    <row r="115" spans="31:94" ht="14.25" customHeight="1" x14ac:dyDescent="0.35">
      <c r="AE115" s="2"/>
      <c r="AF115" s="2"/>
      <c r="CP115" s="6"/>
    </row>
    <row r="116" spans="31:94" ht="14.25" customHeight="1" x14ac:dyDescent="0.35">
      <c r="AE116" s="2"/>
      <c r="AF116" s="2"/>
      <c r="CP116" s="6"/>
    </row>
    <row r="117" spans="31:94" ht="14.25" customHeight="1" x14ac:dyDescent="0.35">
      <c r="AE117" s="2"/>
      <c r="AF117" s="2"/>
      <c r="CP117" s="6"/>
    </row>
    <row r="118" spans="31:94" ht="14.25" customHeight="1" x14ac:dyDescent="0.35">
      <c r="AE118" s="2"/>
      <c r="AF118" s="2"/>
      <c r="CP118" s="6"/>
    </row>
    <row r="119" spans="31:94" ht="14.25" customHeight="1" x14ac:dyDescent="0.35">
      <c r="AE119" s="2"/>
      <c r="AF119" s="2"/>
      <c r="CP119" s="6"/>
    </row>
    <row r="120" spans="31:94" ht="14.25" customHeight="1" x14ac:dyDescent="0.35">
      <c r="AE120" s="2"/>
      <c r="AF120" s="2"/>
      <c r="CP120" s="6"/>
    </row>
    <row r="121" spans="31:94" ht="14.25" customHeight="1" x14ac:dyDescent="0.35">
      <c r="AE121" s="2"/>
      <c r="AF121" s="2"/>
      <c r="CP121" s="6"/>
    </row>
    <row r="122" spans="31:94" ht="14.25" customHeight="1" x14ac:dyDescent="0.35">
      <c r="AE122" s="2"/>
      <c r="AF122" s="2"/>
      <c r="CP122" s="6"/>
    </row>
    <row r="123" spans="31:94" ht="14.25" customHeight="1" x14ac:dyDescent="0.35">
      <c r="AE123" s="2"/>
      <c r="AF123" s="2"/>
      <c r="CP123" s="6"/>
    </row>
    <row r="124" spans="31:94" ht="14.25" customHeight="1" x14ac:dyDescent="0.35">
      <c r="AE124" s="2"/>
      <c r="AF124" s="2"/>
      <c r="CP124" s="6"/>
    </row>
    <row r="125" spans="31:94" ht="14.25" customHeight="1" x14ac:dyDescent="0.35">
      <c r="AE125" s="2"/>
      <c r="AF125" s="2"/>
      <c r="CP125" s="6"/>
    </row>
    <row r="126" spans="31:94" ht="14.25" customHeight="1" x14ac:dyDescent="0.35">
      <c r="AE126" s="2"/>
      <c r="AF126" s="2"/>
      <c r="CP126" s="6"/>
    </row>
    <row r="127" spans="31:94" ht="14.25" customHeight="1" x14ac:dyDescent="0.35">
      <c r="AE127" s="2"/>
      <c r="AF127" s="2"/>
      <c r="CP127" s="6"/>
    </row>
    <row r="128" spans="31:94" ht="14.25" customHeight="1" x14ac:dyDescent="0.35">
      <c r="AE128" s="2"/>
      <c r="AF128" s="2"/>
      <c r="CP128" s="6"/>
    </row>
    <row r="129" spans="31:94" ht="14.25" customHeight="1" x14ac:dyDescent="0.35">
      <c r="AE129" s="2"/>
      <c r="AF129" s="2"/>
      <c r="CP129" s="6"/>
    </row>
    <row r="130" spans="31:94" ht="14.25" customHeight="1" x14ac:dyDescent="0.35">
      <c r="AE130" s="2"/>
      <c r="AF130" s="2"/>
      <c r="CP130" s="6"/>
    </row>
    <row r="131" spans="31:94" ht="14.25" customHeight="1" x14ac:dyDescent="0.35">
      <c r="AE131" s="2"/>
      <c r="AF131" s="2"/>
      <c r="CP131" s="6"/>
    </row>
    <row r="132" spans="31:94" ht="14.25" customHeight="1" x14ac:dyDescent="0.35">
      <c r="AE132" s="2"/>
      <c r="AF132" s="2"/>
      <c r="CP132" s="6"/>
    </row>
    <row r="133" spans="31:94" ht="14.25" customHeight="1" x14ac:dyDescent="0.35">
      <c r="AE133" s="2"/>
      <c r="AF133" s="2"/>
      <c r="CP133" s="6"/>
    </row>
    <row r="134" spans="31:94" ht="14.25" customHeight="1" x14ac:dyDescent="0.35">
      <c r="AE134" s="2"/>
      <c r="AF134" s="2"/>
      <c r="CP134" s="6"/>
    </row>
    <row r="135" spans="31:94" ht="14.25" customHeight="1" x14ac:dyDescent="0.35">
      <c r="AE135" s="2"/>
      <c r="AF135" s="2"/>
      <c r="CP135" s="6"/>
    </row>
    <row r="136" spans="31:94" ht="14.25" customHeight="1" x14ac:dyDescent="0.35">
      <c r="AE136" s="2"/>
      <c r="AF136" s="2"/>
      <c r="CP136" s="6"/>
    </row>
    <row r="137" spans="31:94" ht="14.25" customHeight="1" x14ac:dyDescent="0.35">
      <c r="AE137" s="2"/>
      <c r="AF137" s="2"/>
      <c r="CP137" s="6"/>
    </row>
    <row r="138" spans="31:94" ht="14.25" customHeight="1" x14ac:dyDescent="0.35">
      <c r="AE138" s="2"/>
      <c r="AF138" s="2"/>
      <c r="CP138" s="6"/>
    </row>
    <row r="139" spans="31:94" ht="14.25" customHeight="1" x14ac:dyDescent="0.35">
      <c r="AE139" s="2"/>
      <c r="AF139" s="2"/>
      <c r="CP139" s="6"/>
    </row>
    <row r="140" spans="31:94" ht="14.25" customHeight="1" x14ac:dyDescent="0.35">
      <c r="AE140" s="2"/>
      <c r="AF140" s="2"/>
      <c r="CP140" s="6"/>
    </row>
    <row r="141" spans="31:94" ht="14.25" customHeight="1" x14ac:dyDescent="0.35">
      <c r="AE141" s="2"/>
      <c r="AF141" s="2"/>
      <c r="CP141" s="6"/>
    </row>
    <row r="142" spans="31:94" ht="14.25" customHeight="1" x14ac:dyDescent="0.35">
      <c r="AE142" s="2"/>
      <c r="AF142" s="2"/>
      <c r="CP142" s="6"/>
    </row>
    <row r="143" spans="31:94" ht="14.25" customHeight="1" x14ac:dyDescent="0.35">
      <c r="AE143" s="2"/>
      <c r="AF143" s="2"/>
      <c r="CP143" s="6"/>
    </row>
    <row r="144" spans="31:94" ht="14.25" customHeight="1" x14ac:dyDescent="0.35">
      <c r="AE144" s="2"/>
      <c r="AF144" s="2"/>
      <c r="CP144" s="6"/>
    </row>
    <row r="145" spans="31:94" ht="14.25" customHeight="1" x14ac:dyDescent="0.35">
      <c r="AE145" s="2"/>
      <c r="AF145" s="2"/>
      <c r="CP145" s="6"/>
    </row>
    <row r="146" spans="31:94" ht="14.25" customHeight="1" x14ac:dyDescent="0.35">
      <c r="AE146" s="2"/>
      <c r="AF146" s="2"/>
      <c r="CP146" s="6"/>
    </row>
    <row r="147" spans="31:94" ht="14.25" customHeight="1" x14ac:dyDescent="0.35">
      <c r="AE147" s="2"/>
      <c r="AF147" s="2"/>
      <c r="CP147" s="6"/>
    </row>
    <row r="148" spans="31:94" ht="14.25" customHeight="1" x14ac:dyDescent="0.35">
      <c r="AE148" s="2"/>
      <c r="AF148" s="2"/>
      <c r="CP148" s="6"/>
    </row>
    <row r="149" spans="31:94" ht="14.25" customHeight="1" x14ac:dyDescent="0.35">
      <c r="AE149" s="2"/>
      <c r="AF149" s="2"/>
      <c r="CP149" s="6"/>
    </row>
    <row r="150" spans="31:94" ht="14.25" customHeight="1" x14ac:dyDescent="0.35">
      <c r="AE150" s="2"/>
      <c r="AF150" s="2"/>
      <c r="CP150" s="6"/>
    </row>
    <row r="151" spans="31:94" ht="14.25" customHeight="1" x14ac:dyDescent="0.35">
      <c r="AE151" s="2"/>
      <c r="AF151" s="2"/>
      <c r="CP151" s="6"/>
    </row>
    <row r="152" spans="31:94" ht="14.25" customHeight="1" x14ac:dyDescent="0.35">
      <c r="AE152" s="2"/>
      <c r="AF152" s="2"/>
      <c r="CP152" s="6"/>
    </row>
    <row r="153" spans="31:94" ht="14.25" customHeight="1" x14ac:dyDescent="0.35">
      <c r="AE153" s="2"/>
      <c r="AF153" s="2"/>
      <c r="CP153" s="6"/>
    </row>
    <row r="154" spans="31:94" ht="14.25" customHeight="1" x14ac:dyDescent="0.35">
      <c r="AE154" s="2"/>
      <c r="AF154" s="2"/>
      <c r="CP154" s="6"/>
    </row>
    <row r="155" spans="31:94" ht="14.25" customHeight="1" x14ac:dyDescent="0.35">
      <c r="AE155" s="2"/>
      <c r="AF155" s="2"/>
      <c r="CP155" s="6"/>
    </row>
    <row r="156" spans="31:94" ht="14.25" customHeight="1" x14ac:dyDescent="0.35">
      <c r="AE156" s="2"/>
      <c r="AF156" s="2"/>
      <c r="CP156" s="6"/>
    </row>
    <row r="157" spans="31:94" ht="14.25" customHeight="1" x14ac:dyDescent="0.35">
      <c r="AE157" s="2"/>
      <c r="AF157" s="2"/>
      <c r="CP157" s="6"/>
    </row>
    <row r="158" spans="31:94" ht="14.25" customHeight="1" x14ac:dyDescent="0.35">
      <c r="AE158" s="2"/>
      <c r="AF158" s="2"/>
      <c r="CP158" s="6"/>
    </row>
    <row r="159" spans="31:94" ht="14.25" customHeight="1" x14ac:dyDescent="0.35">
      <c r="AE159" s="2"/>
      <c r="AF159" s="2"/>
      <c r="CP159" s="6"/>
    </row>
    <row r="160" spans="31:94" ht="14.25" customHeight="1" x14ac:dyDescent="0.35">
      <c r="AE160" s="2"/>
      <c r="AF160" s="2"/>
      <c r="CP160" s="6"/>
    </row>
    <row r="161" spans="31:94" ht="14.25" customHeight="1" x14ac:dyDescent="0.35">
      <c r="AE161" s="2"/>
      <c r="AF161" s="2"/>
      <c r="CP161" s="6"/>
    </row>
    <row r="162" spans="31:94" ht="14.25" customHeight="1" x14ac:dyDescent="0.35">
      <c r="AE162" s="2"/>
      <c r="AF162" s="2"/>
      <c r="CP162" s="6"/>
    </row>
    <row r="163" spans="31:94" ht="14.25" customHeight="1" x14ac:dyDescent="0.35">
      <c r="AE163" s="2"/>
      <c r="AF163" s="2"/>
      <c r="CP163" s="6"/>
    </row>
    <row r="164" spans="31:94" ht="14.25" customHeight="1" x14ac:dyDescent="0.35">
      <c r="AE164" s="2"/>
      <c r="AF164" s="2"/>
      <c r="CP164" s="6"/>
    </row>
    <row r="165" spans="31:94" ht="14.25" customHeight="1" x14ac:dyDescent="0.35">
      <c r="AE165" s="2"/>
      <c r="AF165" s="2"/>
      <c r="CP165" s="6"/>
    </row>
    <row r="166" spans="31:94" ht="14.25" customHeight="1" x14ac:dyDescent="0.35">
      <c r="AE166" s="2"/>
      <c r="AF166" s="2"/>
      <c r="CP166" s="6"/>
    </row>
    <row r="167" spans="31:94" ht="14.25" customHeight="1" x14ac:dyDescent="0.35">
      <c r="AE167" s="2"/>
      <c r="AF167" s="2"/>
      <c r="CP167" s="6"/>
    </row>
    <row r="168" spans="31:94" ht="14.25" customHeight="1" x14ac:dyDescent="0.35">
      <c r="AE168" s="2"/>
      <c r="AF168" s="2"/>
      <c r="CP168" s="6"/>
    </row>
    <row r="169" spans="31:94" ht="14.25" customHeight="1" x14ac:dyDescent="0.35">
      <c r="AE169" s="2"/>
      <c r="AF169" s="2"/>
      <c r="CP169" s="6"/>
    </row>
    <row r="170" spans="31:94" ht="14.25" customHeight="1" x14ac:dyDescent="0.35">
      <c r="AE170" s="2"/>
      <c r="AF170" s="2"/>
      <c r="CP170" s="6"/>
    </row>
    <row r="171" spans="31:94" ht="14.25" customHeight="1" x14ac:dyDescent="0.35">
      <c r="AE171" s="2"/>
      <c r="AF171" s="2"/>
      <c r="CP171" s="6"/>
    </row>
    <row r="172" spans="31:94" ht="14.25" customHeight="1" x14ac:dyDescent="0.35">
      <c r="AE172" s="2"/>
      <c r="AF172" s="2"/>
      <c r="CP172" s="6"/>
    </row>
    <row r="173" spans="31:94" ht="14.25" customHeight="1" x14ac:dyDescent="0.35">
      <c r="AE173" s="2"/>
      <c r="AF173" s="2"/>
      <c r="CP173" s="6"/>
    </row>
    <row r="174" spans="31:94" ht="14.25" customHeight="1" x14ac:dyDescent="0.35">
      <c r="AE174" s="2"/>
      <c r="AF174" s="2"/>
      <c r="CP174" s="6"/>
    </row>
    <row r="175" spans="31:94" ht="14.25" customHeight="1" x14ac:dyDescent="0.35">
      <c r="AE175" s="2"/>
      <c r="AF175" s="2"/>
      <c r="CP175" s="6"/>
    </row>
    <row r="176" spans="31:94" ht="14.25" customHeight="1" x14ac:dyDescent="0.35">
      <c r="AE176" s="2"/>
      <c r="AF176" s="2"/>
      <c r="CP176" s="6"/>
    </row>
    <row r="177" spans="31:94" ht="14.25" customHeight="1" x14ac:dyDescent="0.35">
      <c r="AE177" s="2"/>
      <c r="AF177" s="2"/>
      <c r="CP177" s="6"/>
    </row>
    <row r="178" spans="31:94" ht="14.25" customHeight="1" x14ac:dyDescent="0.35">
      <c r="AE178" s="2"/>
      <c r="AF178" s="2"/>
      <c r="CP178" s="6"/>
    </row>
    <row r="179" spans="31:94" ht="14.25" customHeight="1" x14ac:dyDescent="0.35">
      <c r="AE179" s="2"/>
      <c r="AF179" s="2"/>
      <c r="CP179" s="6"/>
    </row>
    <row r="180" spans="31:94" ht="14.25" customHeight="1" x14ac:dyDescent="0.35">
      <c r="AE180" s="2"/>
      <c r="AF180" s="2"/>
      <c r="CP180" s="6"/>
    </row>
    <row r="181" spans="31:94" ht="14.25" customHeight="1" x14ac:dyDescent="0.35">
      <c r="AE181" s="2"/>
      <c r="AF181" s="2"/>
      <c r="CP181" s="6"/>
    </row>
    <row r="182" spans="31:94" ht="14.25" customHeight="1" x14ac:dyDescent="0.35">
      <c r="AE182" s="2"/>
      <c r="AF182" s="2"/>
      <c r="CP182" s="6"/>
    </row>
    <row r="183" spans="31:94" ht="14.25" customHeight="1" x14ac:dyDescent="0.35">
      <c r="AE183" s="2"/>
      <c r="AF183" s="2"/>
      <c r="CP183" s="6"/>
    </row>
    <row r="184" spans="31:94" ht="14.25" customHeight="1" x14ac:dyDescent="0.35">
      <c r="AE184" s="2"/>
      <c r="AF184" s="2"/>
      <c r="CP184" s="6"/>
    </row>
    <row r="185" spans="31:94" ht="14.25" customHeight="1" x14ac:dyDescent="0.35">
      <c r="AE185" s="2"/>
      <c r="AF185" s="2"/>
      <c r="CP185" s="6"/>
    </row>
    <row r="186" spans="31:94" ht="14.25" customHeight="1" x14ac:dyDescent="0.35">
      <c r="AE186" s="2"/>
      <c r="AF186" s="2"/>
      <c r="CP186" s="6"/>
    </row>
    <row r="187" spans="31:94" ht="14.25" customHeight="1" x14ac:dyDescent="0.35">
      <c r="AE187" s="2"/>
      <c r="AF187" s="2"/>
      <c r="CP187" s="6"/>
    </row>
    <row r="188" spans="31:94" ht="14.25" customHeight="1" x14ac:dyDescent="0.35">
      <c r="AE188" s="2"/>
      <c r="AF188" s="2"/>
      <c r="CP188" s="6"/>
    </row>
    <row r="189" spans="31:94" ht="14.25" customHeight="1" x14ac:dyDescent="0.35">
      <c r="AE189" s="2"/>
      <c r="AF189" s="2"/>
      <c r="CP189" s="6"/>
    </row>
    <row r="190" spans="31:94" ht="14.25" customHeight="1" x14ac:dyDescent="0.35">
      <c r="AE190" s="2"/>
      <c r="AF190" s="2"/>
      <c r="CP190" s="6"/>
    </row>
    <row r="191" spans="31:94" ht="14.25" customHeight="1" x14ac:dyDescent="0.35">
      <c r="AE191" s="2"/>
      <c r="AF191" s="2"/>
      <c r="CP191" s="6"/>
    </row>
    <row r="192" spans="31:94" ht="14.25" customHeight="1" x14ac:dyDescent="0.35">
      <c r="AE192" s="2"/>
      <c r="AF192" s="2"/>
      <c r="CP192" s="6"/>
    </row>
    <row r="193" spans="31:94" ht="14.25" customHeight="1" x14ac:dyDescent="0.35">
      <c r="AE193" s="2"/>
      <c r="AF193" s="2"/>
      <c r="CP193" s="6"/>
    </row>
    <row r="194" spans="31:94" ht="14.25" customHeight="1" x14ac:dyDescent="0.35">
      <c r="AE194" s="2"/>
      <c r="AF194" s="2"/>
      <c r="CP194" s="6"/>
    </row>
    <row r="195" spans="31:94" ht="14.25" customHeight="1" x14ac:dyDescent="0.35">
      <c r="AE195" s="2"/>
      <c r="AF195" s="2"/>
      <c r="CP195" s="6"/>
    </row>
    <row r="196" spans="31:94" ht="14.25" customHeight="1" x14ac:dyDescent="0.35">
      <c r="AE196" s="2"/>
      <c r="AF196" s="2"/>
      <c r="CP196" s="6"/>
    </row>
    <row r="197" spans="31:94" ht="14.25" customHeight="1" x14ac:dyDescent="0.35">
      <c r="AE197" s="2"/>
      <c r="AF197" s="2"/>
      <c r="CP197" s="6"/>
    </row>
    <row r="198" spans="31:94" ht="14.25" customHeight="1" x14ac:dyDescent="0.35">
      <c r="AE198" s="2"/>
      <c r="AF198" s="2"/>
      <c r="CP198" s="6"/>
    </row>
    <row r="199" spans="31:94" ht="14.25" customHeight="1" x14ac:dyDescent="0.35">
      <c r="AE199" s="2"/>
      <c r="AF199" s="2"/>
      <c r="CP199" s="6"/>
    </row>
    <row r="200" spans="31:94" ht="14.25" customHeight="1" x14ac:dyDescent="0.35">
      <c r="AE200" s="2"/>
      <c r="AF200" s="2"/>
      <c r="CP200" s="6"/>
    </row>
    <row r="201" spans="31:94" ht="14.25" customHeight="1" x14ac:dyDescent="0.35">
      <c r="AE201" s="2"/>
      <c r="AF201" s="2"/>
      <c r="CP201" s="6"/>
    </row>
    <row r="202" spans="31:94" ht="14.25" customHeight="1" x14ac:dyDescent="0.35">
      <c r="AE202" s="2"/>
      <c r="AF202" s="2"/>
      <c r="CP202" s="6"/>
    </row>
    <row r="203" spans="31:94" ht="14.25" customHeight="1" x14ac:dyDescent="0.35">
      <c r="AE203" s="2"/>
      <c r="AF203" s="2"/>
      <c r="CP203" s="6"/>
    </row>
    <row r="204" spans="31:94" ht="14.25" customHeight="1" x14ac:dyDescent="0.35">
      <c r="AE204" s="2"/>
      <c r="AF204" s="2"/>
      <c r="CP204" s="6"/>
    </row>
    <row r="205" spans="31:94" ht="14.25" customHeight="1" x14ac:dyDescent="0.35">
      <c r="AE205" s="2"/>
      <c r="AF205" s="2"/>
      <c r="CP205" s="6"/>
    </row>
    <row r="206" spans="31:94" ht="14.25" customHeight="1" x14ac:dyDescent="0.35">
      <c r="AE206" s="2"/>
      <c r="AF206" s="2"/>
      <c r="CP206" s="6"/>
    </row>
    <row r="207" spans="31:94" ht="14.25" customHeight="1" x14ac:dyDescent="0.35">
      <c r="AE207" s="2"/>
      <c r="AF207" s="2"/>
      <c r="CP207" s="6"/>
    </row>
    <row r="208" spans="31:94" ht="14.25" customHeight="1" x14ac:dyDescent="0.35">
      <c r="AE208" s="2"/>
      <c r="AF208" s="2"/>
      <c r="CP208" s="6"/>
    </row>
    <row r="209" spans="31:94" ht="14.25" customHeight="1" x14ac:dyDescent="0.35">
      <c r="AE209" s="2"/>
      <c r="AF209" s="2"/>
      <c r="CP209" s="6"/>
    </row>
    <row r="210" spans="31:94" ht="14.25" customHeight="1" x14ac:dyDescent="0.35">
      <c r="AE210" s="2"/>
      <c r="AF210" s="2"/>
      <c r="CP210" s="6"/>
    </row>
    <row r="211" spans="31:94" ht="14.25" customHeight="1" x14ac:dyDescent="0.35">
      <c r="AE211" s="2"/>
      <c r="AF211" s="2"/>
      <c r="CP211" s="6"/>
    </row>
    <row r="212" spans="31:94" ht="14.25" customHeight="1" x14ac:dyDescent="0.35">
      <c r="AE212" s="2"/>
      <c r="AF212" s="2"/>
      <c r="CP212" s="6"/>
    </row>
    <row r="213" spans="31:94" ht="14.25" customHeight="1" x14ac:dyDescent="0.35">
      <c r="AE213" s="2"/>
      <c r="AF213" s="2"/>
      <c r="CP213" s="6"/>
    </row>
    <row r="214" spans="31:94" ht="14.25" customHeight="1" x14ac:dyDescent="0.35">
      <c r="AE214" s="2"/>
      <c r="AF214" s="2"/>
      <c r="CP214" s="6"/>
    </row>
    <row r="215" spans="31:94" ht="14.25" customHeight="1" x14ac:dyDescent="0.35">
      <c r="AE215" s="2"/>
      <c r="AF215" s="2"/>
      <c r="CP215" s="6"/>
    </row>
    <row r="216" spans="31:94" ht="14.25" customHeight="1" x14ac:dyDescent="0.35">
      <c r="AE216" s="2"/>
      <c r="AF216" s="2"/>
      <c r="CP216" s="6"/>
    </row>
    <row r="217" spans="31:94" ht="14.25" customHeight="1" x14ac:dyDescent="0.35">
      <c r="AE217" s="2"/>
      <c r="AF217" s="2"/>
      <c r="CP217" s="6"/>
    </row>
    <row r="218" spans="31:94" ht="14.25" customHeight="1" x14ac:dyDescent="0.35">
      <c r="AE218" s="2"/>
      <c r="AF218" s="2"/>
      <c r="CP218" s="6"/>
    </row>
    <row r="219" spans="31:94" ht="14.25" customHeight="1" x14ac:dyDescent="0.35">
      <c r="AE219" s="2"/>
      <c r="AF219" s="2"/>
      <c r="CP219" s="6"/>
    </row>
    <row r="220" spans="31:94" ht="14.25" customHeight="1" x14ac:dyDescent="0.35">
      <c r="AE220" s="2"/>
      <c r="AF220" s="2"/>
      <c r="CP220" s="6"/>
    </row>
    <row r="221" spans="31:94" ht="14.25" customHeight="1" x14ac:dyDescent="0.35">
      <c r="AE221" s="2"/>
      <c r="AF221" s="2"/>
      <c r="CP221" s="6"/>
    </row>
    <row r="222" spans="31:94" ht="14.25" customHeight="1" x14ac:dyDescent="0.35">
      <c r="AE222" s="2"/>
      <c r="AF222" s="2"/>
      <c r="CP222" s="6"/>
    </row>
    <row r="223" spans="31:94" ht="14.25" customHeight="1" x14ac:dyDescent="0.35">
      <c r="AE223" s="2"/>
      <c r="AF223" s="2"/>
      <c r="CP223" s="6"/>
    </row>
    <row r="224" spans="31:94" ht="14.25" customHeight="1" x14ac:dyDescent="0.35">
      <c r="AE224" s="2"/>
      <c r="AF224" s="2"/>
      <c r="CP224" s="6"/>
    </row>
    <row r="225" spans="31:94" ht="14.25" customHeight="1" x14ac:dyDescent="0.35">
      <c r="AE225" s="2"/>
      <c r="AF225" s="2"/>
      <c r="CP225" s="6"/>
    </row>
    <row r="226" spans="31:94" ht="14.25" customHeight="1" x14ac:dyDescent="0.35">
      <c r="AE226" s="2"/>
      <c r="AF226" s="2"/>
      <c r="CP226" s="6"/>
    </row>
    <row r="227" spans="31:94" ht="14.25" customHeight="1" x14ac:dyDescent="0.35">
      <c r="AE227" s="2"/>
      <c r="AF227" s="2"/>
      <c r="CP227" s="6"/>
    </row>
    <row r="228" spans="31:94" ht="14.25" customHeight="1" x14ac:dyDescent="0.35">
      <c r="AE228" s="2"/>
      <c r="AF228" s="2"/>
      <c r="CP228" s="6"/>
    </row>
    <row r="229" spans="31:94" ht="14.25" customHeight="1" x14ac:dyDescent="0.35">
      <c r="AE229" s="2"/>
      <c r="AF229" s="2"/>
      <c r="CP229" s="6"/>
    </row>
    <row r="230" spans="31:94" ht="14.25" customHeight="1" x14ac:dyDescent="0.35">
      <c r="AE230" s="2"/>
      <c r="AF230" s="2"/>
      <c r="CP230" s="6"/>
    </row>
    <row r="231" spans="31:94" ht="14.25" customHeight="1" x14ac:dyDescent="0.35">
      <c r="AE231" s="2"/>
      <c r="AF231" s="2"/>
      <c r="CP231" s="6"/>
    </row>
    <row r="232" spans="31:94" ht="14.25" customHeight="1" x14ac:dyDescent="0.35">
      <c r="AE232" s="2"/>
      <c r="AF232" s="2"/>
      <c r="CP232" s="6"/>
    </row>
    <row r="233" spans="31:94" ht="14.25" customHeight="1" x14ac:dyDescent="0.35">
      <c r="AE233" s="2"/>
      <c r="AF233" s="2"/>
      <c r="CP233" s="6"/>
    </row>
    <row r="234" spans="31:94" ht="14.25" customHeight="1" x14ac:dyDescent="0.35">
      <c r="AE234" s="2"/>
      <c r="AF234" s="2"/>
      <c r="CP234" s="6"/>
    </row>
    <row r="235" spans="31:94" ht="14.25" customHeight="1" x14ac:dyDescent="0.35">
      <c r="AE235" s="2"/>
      <c r="AF235" s="2"/>
      <c r="CP235" s="6"/>
    </row>
    <row r="236" spans="31:94" ht="14.25" customHeight="1" x14ac:dyDescent="0.35">
      <c r="AE236" s="2"/>
      <c r="AF236" s="2"/>
      <c r="CP236" s="6"/>
    </row>
    <row r="237" spans="31:94" ht="14.25" customHeight="1" x14ac:dyDescent="0.35">
      <c r="AE237" s="2"/>
      <c r="AF237" s="2"/>
      <c r="CP237" s="6"/>
    </row>
    <row r="238" spans="31:94" ht="14.25" customHeight="1" x14ac:dyDescent="0.35">
      <c r="AE238" s="2"/>
      <c r="AF238" s="2"/>
      <c r="CP238" s="6"/>
    </row>
    <row r="239" spans="31:94" ht="14.25" customHeight="1" x14ac:dyDescent="0.35">
      <c r="AE239" s="2"/>
      <c r="AF239" s="2"/>
      <c r="CP239" s="6"/>
    </row>
    <row r="240" spans="31:94" ht="14.25" customHeight="1" x14ac:dyDescent="0.35">
      <c r="AE240" s="2"/>
      <c r="AF240" s="2"/>
      <c r="CP240" s="6"/>
    </row>
    <row r="241" spans="31:94" ht="14.25" customHeight="1" x14ac:dyDescent="0.35">
      <c r="AE241" s="2"/>
      <c r="AF241" s="2"/>
      <c r="CP241" s="6"/>
    </row>
    <row r="242" spans="31:94" ht="14.25" customHeight="1" x14ac:dyDescent="0.35">
      <c r="AE242" s="2"/>
      <c r="AF242" s="2"/>
      <c r="CP242" s="6"/>
    </row>
    <row r="243" spans="31:94" ht="14.25" customHeight="1" x14ac:dyDescent="0.35">
      <c r="AE243" s="2"/>
      <c r="AF243" s="2"/>
      <c r="CP243" s="6"/>
    </row>
    <row r="244" spans="31:94" ht="14.25" customHeight="1" x14ac:dyDescent="0.35">
      <c r="AE244" s="2"/>
      <c r="AF244" s="2"/>
      <c r="CP244" s="6"/>
    </row>
    <row r="245" spans="31:94" ht="14.25" customHeight="1" x14ac:dyDescent="0.35">
      <c r="AE245" s="2"/>
      <c r="AF245" s="2"/>
      <c r="CP245" s="6"/>
    </row>
    <row r="246" spans="31:94" ht="14.25" customHeight="1" x14ac:dyDescent="0.35">
      <c r="AE246" s="2"/>
      <c r="AF246" s="2"/>
      <c r="CP246" s="6"/>
    </row>
    <row r="247" spans="31:94" ht="14.25" customHeight="1" x14ac:dyDescent="0.35">
      <c r="AE247" s="2"/>
      <c r="AF247" s="2"/>
      <c r="CP247" s="6"/>
    </row>
    <row r="248" spans="31:94" ht="14.25" customHeight="1" x14ac:dyDescent="0.35">
      <c r="AE248" s="2"/>
      <c r="AF248" s="2"/>
      <c r="CP248" s="6"/>
    </row>
    <row r="249" spans="31:94" ht="14.25" customHeight="1" x14ac:dyDescent="0.35">
      <c r="AE249" s="2"/>
      <c r="AF249" s="2"/>
      <c r="CP249" s="6"/>
    </row>
    <row r="250" spans="31:94" ht="14.25" customHeight="1" x14ac:dyDescent="0.35">
      <c r="AE250" s="2"/>
      <c r="AF250" s="2"/>
      <c r="CP250" s="6"/>
    </row>
    <row r="251" spans="31:94" ht="14.25" customHeight="1" x14ac:dyDescent="0.35">
      <c r="AE251" s="2"/>
      <c r="AF251" s="2"/>
      <c r="CP251" s="6"/>
    </row>
    <row r="252" spans="31:94" ht="14.25" customHeight="1" x14ac:dyDescent="0.35">
      <c r="AE252" s="2"/>
      <c r="AF252" s="2"/>
      <c r="CP252" s="6"/>
    </row>
    <row r="253" spans="31:94" ht="14.25" customHeight="1" x14ac:dyDescent="0.35">
      <c r="AE253" s="2"/>
      <c r="AF253" s="2"/>
      <c r="CP253" s="6"/>
    </row>
    <row r="254" spans="31:94" ht="14.25" customHeight="1" x14ac:dyDescent="0.35">
      <c r="AE254" s="2"/>
      <c r="AF254" s="2"/>
      <c r="CP254" s="6"/>
    </row>
    <row r="255" spans="31:94" ht="14.25" customHeight="1" x14ac:dyDescent="0.35">
      <c r="AE255" s="2"/>
      <c r="AF255" s="2"/>
      <c r="CP255" s="6"/>
    </row>
    <row r="256" spans="31:94" ht="14.25" customHeight="1" x14ac:dyDescent="0.35">
      <c r="AE256" s="2"/>
      <c r="AF256" s="2"/>
      <c r="CP256" s="6"/>
    </row>
    <row r="257" spans="31:94" ht="14.25" customHeight="1" x14ac:dyDescent="0.35">
      <c r="AE257" s="2"/>
      <c r="AF257" s="2"/>
      <c r="CP257" s="6"/>
    </row>
    <row r="258" spans="31:94" ht="14.25" customHeight="1" x14ac:dyDescent="0.35">
      <c r="AE258" s="2"/>
      <c r="AF258" s="2"/>
      <c r="CP258" s="6"/>
    </row>
    <row r="259" spans="31:94" ht="14.25" customHeight="1" x14ac:dyDescent="0.35">
      <c r="AE259" s="2"/>
      <c r="AF259" s="2"/>
      <c r="CP259" s="6"/>
    </row>
    <row r="260" spans="31:94" ht="14.25" customHeight="1" x14ac:dyDescent="0.35">
      <c r="AE260" s="2"/>
      <c r="AF260" s="2"/>
      <c r="CP260" s="6"/>
    </row>
    <row r="261" spans="31:94" ht="14.25" customHeight="1" x14ac:dyDescent="0.35">
      <c r="AE261" s="2"/>
      <c r="AF261" s="2"/>
      <c r="CP261" s="6"/>
    </row>
    <row r="262" spans="31:94" ht="14.25" customHeight="1" x14ac:dyDescent="0.35">
      <c r="AE262" s="2"/>
      <c r="AF262" s="2"/>
      <c r="CP262" s="6"/>
    </row>
    <row r="263" spans="31:94" ht="14.25" customHeight="1" x14ac:dyDescent="0.35">
      <c r="AE263" s="2"/>
      <c r="AF263" s="2"/>
      <c r="CP263" s="6"/>
    </row>
    <row r="264" spans="31:94" ht="14.25" customHeight="1" x14ac:dyDescent="0.35">
      <c r="AE264" s="2"/>
      <c r="AF264" s="2"/>
      <c r="CP264" s="6"/>
    </row>
    <row r="265" spans="31:94" ht="14.25" customHeight="1" x14ac:dyDescent="0.35">
      <c r="AE265" s="2"/>
      <c r="AF265" s="2"/>
      <c r="CP265" s="6"/>
    </row>
    <row r="266" spans="31:94" ht="14.25" customHeight="1" x14ac:dyDescent="0.35">
      <c r="AE266" s="2"/>
      <c r="AF266" s="2"/>
      <c r="CP266" s="6"/>
    </row>
    <row r="267" spans="31:94" ht="14.25" customHeight="1" x14ac:dyDescent="0.35">
      <c r="AE267" s="2"/>
      <c r="AF267" s="2"/>
      <c r="CP267" s="6"/>
    </row>
    <row r="268" spans="31:94" ht="14.25" customHeight="1" x14ac:dyDescent="0.35">
      <c r="AE268" s="2"/>
      <c r="AF268" s="2"/>
      <c r="CP268" s="6"/>
    </row>
    <row r="269" spans="31:94" ht="14.25" customHeight="1" x14ac:dyDescent="0.35">
      <c r="AE269" s="2"/>
      <c r="AF269" s="2"/>
      <c r="CP269" s="6"/>
    </row>
    <row r="270" spans="31:94" ht="14.25" customHeight="1" x14ac:dyDescent="0.35">
      <c r="AE270" s="2"/>
      <c r="AF270" s="2"/>
      <c r="CP270" s="6"/>
    </row>
    <row r="271" spans="31:94" ht="14.25" customHeight="1" x14ac:dyDescent="0.35">
      <c r="AE271" s="2"/>
      <c r="AF271" s="2"/>
      <c r="CP271" s="6"/>
    </row>
    <row r="272" spans="31:94" ht="14.25" customHeight="1" x14ac:dyDescent="0.35">
      <c r="AE272" s="2"/>
      <c r="AF272" s="2"/>
      <c r="CP272" s="6"/>
    </row>
    <row r="273" spans="31:94" ht="14.25" customHeight="1" x14ac:dyDescent="0.35">
      <c r="AE273" s="2"/>
      <c r="AF273" s="2"/>
      <c r="CP273" s="6"/>
    </row>
    <row r="274" spans="31:94" ht="14.25" customHeight="1" x14ac:dyDescent="0.35">
      <c r="AE274" s="2"/>
      <c r="AF274" s="2"/>
      <c r="CP274" s="6"/>
    </row>
    <row r="275" spans="31:94" ht="14.25" customHeight="1" x14ac:dyDescent="0.35">
      <c r="AE275" s="2"/>
      <c r="AF275" s="2"/>
      <c r="CP275" s="6"/>
    </row>
    <row r="276" spans="31:94" ht="14.25" customHeight="1" x14ac:dyDescent="0.35">
      <c r="AE276" s="2"/>
      <c r="AF276" s="2"/>
      <c r="CP276" s="6"/>
    </row>
    <row r="277" spans="31:94" ht="14.25" customHeight="1" x14ac:dyDescent="0.35">
      <c r="AE277" s="2"/>
      <c r="AF277" s="2"/>
      <c r="CP277" s="6"/>
    </row>
    <row r="278" spans="31:94" ht="14.25" customHeight="1" x14ac:dyDescent="0.35">
      <c r="AE278" s="2"/>
      <c r="AF278" s="2"/>
      <c r="CP278" s="6"/>
    </row>
    <row r="279" spans="31:94" ht="14.25" customHeight="1" x14ac:dyDescent="0.35">
      <c r="AE279" s="2"/>
      <c r="AF279" s="2"/>
      <c r="CP279" s="6"/>
    </row>
    <row r="280" spans="31:94" ht="14.25" customHeight="1" x14ac:dyDescent="0.35">
      <c r="AE280" s="2"/>
      <c r="AF280" s="2"/>
      <c r="CP280" s="6"/>
    </row>
    <row r="281" spans="31:94" ht="14.25" customHeight="1" x14ac:dyDescent="0.35">
      <c r="AE281" s="2"/>
      <c r="AF281" s="2"/>
      <c r="CP281" s="6"/>
    </row>
    <row r="282" spans="31:94" ht="14.25" customHeight="1" x14ac:dyDescent="0.35">
      <c r="AE282" s="2"/>
      <c r="AF282" s="2"/>
      <c r="CP282" s="6"/>
    </row>
    <row r="283" spans="31:94" ht="14.25" customHeight="1" x14ac:dyDescent="0.35">
      <c r="AE283" s="2"/>
      <c r="AF283" s="2"/>
      <c r="CP283" s="6"/>
    </row>
    <row r="284" spans="31:94" ht="14.25" customHeight="1" x14ac:dyDescent="0.35">
      <c r="AE284" s="2"/>
      <c r="AF284" s="2"/>
      <c r="CP284" s="6"/>
    </row>
    <row r="285" spans="31:94" ht="14.25" customHeight="1" x14ac:dyDescent="0.35">
      <c r="AE285" s="2"/>
      <c r="AF285" s="2"/>
      <c r="CP285" s="6"/>
    </row>
    <row r="286" spans="31:94" ht="14.25" customHeight="1" x14ac:dyDescent="0.35">
      <c r="AE286" s="2"/>
      <c r="AF286" s="2"/>
      <c r="CP286" s="6"/>
    </row>
    <row r="287" spans="31:94" ht="14.25" customHeight="1" x14ac:dyDescent="0.35">
      <c r="AE287" s="2"/>
      <c r="AF287" s="2"/>
      <c r="CP287" s="6"/>
    </row>
    <row r="288" spans="31:94" ht="14.25" customHeight="1" x14ac:dyDescent="0.35">
      <c r="AE288" s="2"/>
      <c r="AF288" s="2"/>
      <c r="CP288" s="6"/>
    </row>
    <row r="289" spans="31:94" ht="14.25" customHeight="1" x14ac:dyDescent="0.35">
      <c r="AE289" s="2"/>
      <c r="AF289" s="2"/>
      <c r="CP289" s="6"/>
    </row>
    <row r="290" spans="31:94" ht="14.25" customHeight="1" x14ac:dyDescent="0.35">
      <c r="AE290" s="2"/>
      <c r="AF290" s="2"/>
      <c r="CP290" s="6"/>
    </row>
    <row r="291" spans="31:94" ht="14.25" customHeight="1" x14ac:dyDescent="0.35">
      <c r="AE291" s="2"/>
      <c r="AF291" s="2"/>
      <c r="CP291" s="6"/>
    </row>
    <row r="292" spans="31:94" ht="14.25" customHeight="1" x14ac:dyDescent="0.35">
      <c r="AE292" s="2"/>
      <c r="AF292" s="2"/>
      <c r="CP292" s="6"/>
    </row>
    <row r="293" spans="31:94" ht="14.25" customHeight="1" x14ac:dyDescent="0.35">
      <c r="AE293" s="2"/>
      <c r="AF293" s="2"/>
      <c r="CP293" s="6"/>
    </row>
    <row r="294" spans="31:94" ht="14.25" customHeight="1" x14ac:dyDescent="0.35">
      <c r="AE294" s="2"/>
      <c r="AF294" s="2"/>
      <c r="CP294" s="6"/>
    </row>
    <row r="295" spans="31:94" ht="14.25" customHeight="1" x14ac:dyDescent="0.35">
      <c r="AE295" s="2"/>
      <c r="AF295" s="2"/>
      <c r="CP295" s="6"/>
    </row>
    <row r="296" spans="31:94" ht="14.25" customHeight="1" x14ac:dyDescent="0.35">
      <c r="AE296" s="2"/>
      <c r="AF296" s="2"/>
      <c r="CP296" s="6"/>
    </row>
    <row r="297" spans="31:94" ht="14.25" customHeight="1" x14ac:dyDescent="0.35">
      <c r="AE297" s="2"/>
      <c r="AF297" s="2"/>
      <c r="CP297" s="6"/>
    </row>
    <row r="298" spans="31:94" ht="14.25" customHeight="1" x14ac:dyDescent="0.35">
      <c r="AE298" s="2"/>
      <c r="AF298" s="2"/>
      <c r="CP298" s="6"/>
    </row>
    <row r="299" spans="31:94" ht="14.25" customHeight="1" x14ac:dyDescent="0.35">
      <c r="AE299" s="2"/>
      <c r="AF299" s="2"/>
      <c r="CP299" s="6"/>
    </row>
    <row r="300" spans="31:94" ht="14.25" customHeight="1" x14ac:dyDescent="0.35">
      <c r="AE300" s="2"/>
      <c r="AF300" s="2"/>
      <c r="CP300" s="6"/>
    </row>
    <row r="301" spans="31:94" ht="14.25" customHeight="1" x14ac:dyDescent="0.35">
      <c r="AE301" s="2"/>
      <c r="AF301" s="2"/>
      <c r="CP301" s="6"/>
    </row>
    <row r="302" spans="31:94" ht="14.25" customHeight="1" x14ac:dyDescent="0.35">
      <c r="AE302" s="2"/>
      <c r="AF302" s="2"/>
      <c r="CP302" s="6"/>
    </row>
    <row r="303" spans="31:94" ht="14.25" customHeight="1" x14ac:dyDescent="0.35">
      <c r="AE303" s="2"/>
      <c r="AF303" s="2"/>
      <c r="CP303" s="6"/>
    </row>
    <row r="304" spans="31:94" ht="14.25" customHeight="1" x14ac:dyDescent="0.35">
      <c r="AE304" s="2"/>
      <c r="AF304" s="2"/>
      <c r="CP304" s="6"/>
    </row>
    <row r="305" spans="31:94" ht="14.25" customHeight="1" x14ac:dyDescent="0.35">
      <c r="AE305" s="2"/>
      <c r="AF305" s="2"/>
      <c r="CP305" s="6"/>
    </row>
    <row r="306" spans="31:94" ht="14.25" customHeight="1" x14ac:dyDescent="0.35">
      <c r="AE306" s="2"/>
      <c r="AF306" s="2"/>
      <c r="CP306" s="6"/>
    </row>
    <row r="307" spans="31:94" ht="14.25" customHeight="1" x14ac:dyDescent="0.35">
      <c r="AE307" s="2"/>
      <c r="AF307" s="2"/>
      <c r="CP307" s="6"/>
    </row>
    <row r="308" spans="31:94" ht="14.25" customHeight="1" x14ac:dyDescent="0.35">
      <c r="AE308" s="2"/>
      <c r="AF308" s="2"/>
      <c r="CP308" s="6"/>
    </row>
    <row r="309" spans="31:94" ht="14.25" customHeight="1" x14ac:dyDescent="0.35">
      <c r="AE309" s="2"/>
      <c r="AF309" s="2"/>
      <c r="CP309" s="6"/>
    </row>
    <row r="310" spans="31:94" ht="14.25" customHeight="1" x14ac:dyDescent="0.35">
      <c r="AE310" s="2"/>
      <c r="AF310" s="2"/>
      <c r="CP310" s="6"/>
    </row>
    <row r="311" spans="31:94" ht="14.25" customHeight="1" x14ac:dyDescent="0.35">
      <c r="AE311" s="2"/>
      <c r="AF311" s="2"/>
      <c r="CP311" s="6"/>
    </row>
    <row r="312" spans="31:94" ht="14.25" customHeight="1" x14ac:dyDescent="0.35">
      <c r="AE312" s="2"/>
      <c r="AF312" s="2"/>
      <c r="CP312" s="6"/>
    </row>
    <row r="313" spans="31:94" ht="14.25" customHeight="1" x14ac:dyDescent="0.35">
      <c r="AE313" s="2"/>
      <c r="AF313" s="2"/>
      <c r="CP313" s="6"/>
    </row>
    <row r="314" spans="31:94" ht="14.25" customHeight="1" x14ac:dyDescent="0.35">
      <c r="AE314" s="2"/>
      <c r="AF314" s="2"/>
      <c r="CP314" s="6"/>
    </row>
    <row r="315" spans="31:94" ht="14.25" customHeight="1" x14ac:dyDescent="0.35">
      <c r="AE315" s="2"/>
      <c r="AF315" s="2"/>
      <c r="CP315" s="6"/>
    </row>
    <row r="316" spans="31:94" ht="14.25" customHeight="1" x14ac:dyDescent="0.35">
      <c r="AE316" s="2"/>
      <c r="AF316" s="2"/>
      <c r="CP316" s="6"/>
    </row>
    <row r="317" spans="31:94" ht="14.25" customHeight="1" x14ac:dyDescent="0.35">
      <c r="AE317" s="2"/>
      <c r="AF317" s="2"/>
      <c r="CP317" s="6"/>
    </row>
    <row r="318" spans="31:94" ht="14.25" customHeight="1" x14ac:dyDescent="0.35">
      <c r="AE318" s="2"/>
      <c r="AF318" s="2"/>
      <c r="CP318" s="6"/>
    </row>
    <row r="319" spans="31:94" ht="14.25" customHeight="1" x14ac:dyDescent="0.35">
      <c r="AE319" s="2"/>
      <c r="AF319" s="2"/>
      <c r="CP319" s="6"/>
    </row>
    <row r="320" spans="31:94" ht="14.25" customHeight="1" x14ac:dyDescent="0.35">
      <c r="AE320" s="2"/>
      <c r="AF320" s="2"/>
      <c r="CP320" s="6"/>
    </row>
    <row r="321" spans="31:94" ht="14.25" customHeight="1" x14ac:dyDescent="0.35">
      <c r="AE321" s="2"/>
      <c r="AF321" s="2"/>
      <c r="CP321" s="6"/>
    </row>
    <row r="322" spans="31:94" ht="14.25" customHeight="1" x14ac:dyDescent="0.35">
      <c r="AE322" s="2"/>
      <c r="AF322" s="2"/>
      <c r="CP322" s="6"/>
    </row>
    <row r="323" spans="31:94" ht="14.25" customHeight="1" x14ac:dyDescent="0.35">
      <c r="AE323" s="2"/>
      <c r="AF323" s="2"/>
      <c r="CP323" s="6"/>
    </row>
    <row r="324" spans="31:94" ht="14.25" customHeight="1" x14ac:dyDescent="0.35">
      <c r="AE324" s="2"/>
      <c r="AF324" s="2"/>
      <c r="CP324" s="6"/>
    </row>
    <row r="325" spans="31:94" ht="14.25" customHeight="1" x14ac:dyDescent="0.35">
      <c r="AE325" s="2"/>
      <c r="AF325" s="2"/>
      <c r="CP325" s="6"/>
    </row>
    <row r="326" spans="31:94" ht="14.25" customHeight="1" x14ac:dyDescent="0.35">
      <c r="AE326" s="2"/>
      <c r="AF326" s="2"/>
      <c r="CP326" s="6"/>
    </row>
    <row r="327" spans="31:94" ht="14.25" customHeight="1" x14ac:dyDescent="0.35">
      <c r="AE327" s="2"/>
      <c r="AF327" s="2"/>
      <c r="CP327" s="6"/>
    </row>
    <row r="328" spans="31:94" ht="14.25" customHeight="1" x14ac:dyDescent="0.35">
      <c r="AE328" s="2"/>
      <c r="AF328" s="2"/>
      <c r="CP328" s="6"/>
    </row>
    <row r="329" spans="31:94" ht="14.25" customHeight="1" x14ac:dyDescent="0.35">
      <c r="AE329" s="2"/>
      <c r="AF329" s="2"/>
      <c r="CP329" s="6"/>
    </row>
    <row r="330" spans="31:94" ht="14.25" customHeight="1" x14ac:dyDescent="0.35">
      <c r="AE330" s="2"/>
      <c r="AF330" s="2"/>
      <c r="CP330" s="6"/>
    </row>
    <row r="331" spans="31:94" ht="14.25" customHeight="1" x14ac:dyDescent="0.35">
      <c r="AE331" s="2"/>
      <c r="AF331" s="2"/>
      <c r="CP331" s="6"/>
    </row>
    <row r="332" spans="31:94" ht="14.25" customHeight="1" x14ac:dyDescent="0.35">
      <c r="AE332" s="2"/>
      <c r="AF332" s="2"/>
      <c r="CP332" s="6"/>
    </row>
    <row r="333" spans="31:94" ht="14.25" customHeight="1" x14ac:dyDescent="0.35">
      <c r="AE333" s="2"/>
      <c r="AF333" s="2"/>
      <c r="CP333" s="6"/>
    </row>
    <row r="334" spans="31:94" ht="14.25" customHeight="1" x14ac:dyDescent="0.35">
      <c r="AE334" s="2"/>
      <c r="AF334" s="2"/>
      <c r="CP334" s="6"/>
    </row>
    <row r="335" spans="31:94" ht="14.25" customHeight="1" x14ac:dyDescent="0.35">
      <c r="AE335" s="2"/>
      <c r="AF335" s="2"/>
      <c r="CP335" s="6"/>
    </row>
    <row r="336" spans="31:94" ht="14.25" customHeight="1" x14ac:dyDescent="0.35">
      <c r="AE336" s="2"/>
      <c r="AF336" s="2"/>
      <c r="CP336" s="6"/>
    </row>
    <row r="337" spans="31:94" ht="14.25" customHeight="1" x14ac:dyDescent="0.35">
      <c r="AE337" s="2"/>
      <c r="AF337" s="2"/>
      <c r="CP337" s="6"/>
    </row>
    <row r="338" spans="31:94" ht="14.25" customHeight="1" x14ac:dyDescent="0.35">
      <c r="AE338" s="2"/>
      <c r="AF338" s="2"/>
      <c r="CP338" s="6"/>
    </row>
    <row r="339" spans="31:94" ht="14.25" customHeight="1" x14ac:dyDescent="0.35">
      <c r="AE339" s="2"/>
      <c r="AF339" s="2"/>
      <c r="CP339" s="6"/>
    </row>
    <row r="340" spans="31:94" ht="14.25" customHeight="1" x14ac:dyDescent="0.35">
      <c r="AE340" s="2"/>
      <c r="AF340" s="2"/>
      <c r="CP340" s="6"/>
    </row>
    <row r="341" spans="31:94" ht="14.25" customHeight="1" x14ac:dyDescent="0.35">
      <c r="AE341" s="2"/>
      <c r="AF341" s="2"/>
      <c r="CP341" s="6"/>
    </row>
    <row r="342" spans="31:94" ht="14.25" customHeight="1" x14ac:dyDescent="0.35">
      <c r="AE342" s="2"/>
      <c r="AF342" s="2"/>
      <c r="CP342" s="6"/>
    </row>
    <row r="343" spans="31:94" ht="14.25" customHeight="1" x14ac:dyDescent="0.35">
      <c r="AE343" s="2"/>
      <c r="AF343" s="2"/>
      <c r="CP343" s="6"/>
    </row>
    <row r="344" spans="31:94" ht="14.25" customHeight="1" x14ac:dyDescent="0.35">
      <c r="AE344" s="2"/>
      <c r="AF344" s="2"/>
      <c r="CP344" s="6"/>
    </row>
    <row r="345" spans="31:94" ht="14.25" customHeight="1" x14ac:dyDescent="0.35">
      <c r="AE345" s="2"/>
      <c r="AF345" s="2"/>
      <c r="CP345" s="6"/>
    </row>
    <row r="346" spans="31:94" ht="14.25" customHeight="1" x14ac:dyDescent="0.35">
      <c r="AE346" s="2"/>
      <c r="AF346" s="2"/>
      <c r="CP346" s="6"/>
    </row>
    <row r="347" spans="31:94" ht="14.25" customHeight="1" x14ac:dyDescent="0.35">
      <c r="AE347" s="2"/>
      <c r="AF347" s="2"/>
      <c r="CP347" s="6"/>
    </row>
    <row r="348" spans="31:94" ht="14.25" customHeight="1" x14ac:dyDescent="0.35">
      <c r="AE348" s="2"/>
      <c r="AF348" s="2"/>
      <c r="CP348" s="6"/>
    </row>
    <row r="349" spans="31:94" ht="14.25" customHeight="1" x14ac:dyDescent="0.35">
      <c r="AE349" s="2"/>
      <c r="AF349" s="2"/>
      <c r="CP349" s="6"/>
    </row>
    <row r="350" spans="31:94" ht="14.25" customHeight="1" x14ac:dyDescent="0.35">
      <c r="AE350" s="2"/>
      <c r="AF350" s="2"/>
      <c r="CP350" s="6"/>
    </row>
    <row r="351" spans="31:94" ht="14.25" customHeight="1" x14ac:dyDescent="0.35">
      <c r="AE351" s="2"/>
      <c r="AF351" s="2"/>
      <c r="CP351" s="6"/>
    </row>
    <row r="352" spans="31:94" ht="14.25" customHeight="1" x14ac:dyDescent="0.35">
      <c r="AE352" s="2"/>
      <c r="AF352" s="2"/>
      <c r="CP352" s="6"/>
    </row>
    <row r="353" spans="31:94" ht="14.25" customHeight="1" x14ac:dyDescent="0.35">
      <c r="AE353" s="2"/>
      <c r="AF353" s="2"/>
      <c r="CP353" s="6"/>
    </row>
    <row r="354" spans="31:94" ht="14.25" customHeight="1" x14ac:dyDescent="0.35">
      <c r="AE354" s="2"/>
      <c r="AF354" s="2"/>
      <c r="CP354" s="6"/>
    </row>
    <row r="355" spans="31:94" ht="14.25" customHeight="1" x14ac:dyDescent="0.35">
      <c r="AE355" s="2"/>
      <c r="AF355" s="2"/>
      <c r="CP355" s="6"/>
    </row>
    <row r="356" spans="31:94" ht="14.25" customHeight="1" x14ac:dyDescent="0.35">
      <c r="AE356" s="2"/>
      <c r="AF356" s="2"/>
      <c r="CP356" s="6"/>
    </row>
    <row r="357" spans="31:94" ht="14.25" customHeight="1" x14ac:dyDescent="0.35">
      <c r="AE357" s="2"/>
      <c r="AF357" s="2"/>
      <c r="CP357" s="6"/>
    </row>
    <row r="358" spans="31:94" ht="14.25" customHeight="1" x14ac:dyDescent="0.35">
      <c r="AE358" s="2"/>
      <c r="AF358" s="2"/>
      <c r="CP358" s="6"/>
    </row>
    <row r="359" spans="31:94" ht="14.25" customHeight="1" x14ac:dyDescent="0.35">
      <c r="AE359" s="2"/>
      <c r="AF359" s="2"/>
      <c r="CP359" s="6"/>
    </row>
    <row r="360" spans="31:94" ht="14.25" customHeight="1" x14ac:dyDescent="0.35">
      <c r="AE360" s="2"/>
      <c r="AF360" s="2"/>
      <c r="CP360" s="6"/>
    </row>
    <row r="361" spans="31:94" ht="14.25" customHeight="1" x14ac:dyDescent="0.35">
      <c r="AE361" s="2"/>
      <c r="AF361" s="2"/>
      <c r="CP361" s="6"/>
    </row>
    <row r="362" spans="31:94" ht="14.25" customHeight="1" x14ac:dyDescent="0.35">
      <c r="AE362" s="2"/>
      <c r="AF362" s="2"/>
      <c r="CP362" s="6"/>
    </row>
    <row r="363" spans="31:94" ht="14.25" customHeight="1" x14ac:dyDescent="0.35">
      <c r="AE363" s="2"/>
      <c r="AF363" s="2"/>
      <c r="CP363" s="6"/>
    </row>
    <row r="364" spans="31:94" ht="14.25" customHeight="1" x14ac:dyDescent="0.35">
      <c r="AE364" s="2"/>
      <c r="AF364" s="2"/>
      <c r="CP364" s="6"/>
    </row>
    <row r="365" spans="31:94" ht="14.25" customHeight="1" x14ac:dyDescent="0.35">
      <c r="AE365" s="2"/>
      <c r="AF365" s="2"/>
      <c r="CP365" s="6"/>
    </row>
    <row r="366" spans="31:94" ht="14.25" customHeight="1" x14ac:dyDescent="0.35">
      <c r="AE366" s="2"/>
      <c r="AF366" s="2"/>
      <c r="CP366" s="6"/>
    </row>
    <row r="367" spans="31:94" ht="14.25" customHeight="1" x14ac:dyDescent="0.35">
      <c r="AE367" s="2"/>
      <c r="AF367" s="2"/>
      <c r="CP367" s="6"/>
    </row>
    <row r="368" spans="31:94" ht="14.25" customHeight="1" x14ac:dyDescent="0.35">
      <c r="AE368" s="2"/>
      <c r="AF368" s="2"/>
      <c r="CP368" s="6"/>
    </row>
    <row r="369" spans="31:94" ht="14.25" customHeight="1" x14ac:dyDescent="0.35">
      <c r="AE369" s="2"/>
      <c r="AF369" s="2"/>
      <c r="CP369" s="6"/>
    </row>
    <row r="370" spans="31:94" ht="14.25" customHeight="1" x14ac:dyDescent="0.35">
      <c r="AE370" s="2"/>
      <c r="AF370" s="2"/>
      <c r="CP370" s="6"/>
    </row>
    <row r="371" spans="31:94" ht="14.25" customHeight="1" x14ac:dyDescent="0.35">
      <c r="AE371" s="2"/>
      <c r="AF371" s="2"/>
      <c r="CP371" s="6"/>
    </row>
    <row r="372" spans="31:94" ht="14.25" customHeight="1" x14ac:dyDescent="0.35">
      <c r="AE372" s="2"/>
      <c r="AF372" s="2"/>
      <c r="CP372" s="6"/>
    </row>
    <row r="373" spans="31:94" ht="14.25" customHeight="1" x14ac:dyDescent="0.35">
      <c r="AE373" s="2"/>
      <c r="AF373" s="2"/>
      <c r="CP373" s="6"/>
    </row>
    <row r="374" spans="31:94" ht="14.25" customHeight="1" x14ac:dyDescent="0.35">
      <c r="AE374" s="2"/>
      <c r="AF374" s="2"/>
      <c r="CP374" s="6"/>
    </row>
    <row r="375" spans="31:94" ht="14.25" customHeight="1" x14ac:dyDescent="0.35">
      <c r="AE375" s="2"/>
      <c r="AF375" s="2"/>
      <c r="CP375" s="6"/>
    </row>
    <row r="376" spans="31:94" ht="14.25" customHeight="1" x14ac:dyDescent="0.35">
      <c r="AE376" s="2"/>
      <c r="AF376" s="2"/>
      <c r="CP376" s="6"/>
    </row>
    <row r="377" spans="31:94" ht="14.25" customHeight="1" x14ac:dyDescent="0.35">
      <c r="AE377" s="2"/>
      <c r="AF377" s="2"/>
      <c r="CP377" s="6"/>
    </row>
    <row r="378" spans="31:94" ht="14.25" customHeight="1" x14ac:dyDescent="0.35">
      <c r="AE378" s="2"/>
      <c r="AF378" s="2"/>
      <c r="CP378" s="6"/>
    </row>
    <row r="379" spans="31:94" ht="14.25" customHeight="1" x14ac:dyDescent="0.35">
      <c r="AE379" s="2"/>
      <c r="AF379" s="2"/>
      <c r="CP379" s="6"/>
    </row>
    <row r="380" spans="31:94" ht="14.25" customHeight="1" x14ac:dyDescent="0.35">
      <c r="AE380" s="2"/>
      <c r="AF380" s="2"/>
      <c r="CP380" s="6"/>
    </row>
    <row r="381" spans="31:94" ht="14.25" customHeight="1" x14ac:dyDescent="0.35">
      <c r="AE381" s="2"/>
      <c r="AF381" s="2"/>
      <c r="CP381" s="6"/>
    </row>
    <row r="382" spans="31:94" ht="14.25" customHeight="1" x14ac:dyDescent="0.35">
      <c r="AE382" s="2"/>
      <c r="AF382" s="2"/>
      <c r="CP382" s="6"/>
    </row>
    <row r="383" spans="31:94" ht="14.25" customHeight="1" x14ac:dyDescent="0.35">
      <c r="AE383" s="2"/>
      <c r="AF383" s="2"/>
      <c r="CP383" s="6"/>
    </row>
    <row r="384" spans="31:94" ht="14.25" customHeight="1" x14ac:dyDescent="0.35">
      <c r="AE384" s="2"/>
      <c r="AF384" s="2"/>
      <c r="CP384" s="6"/>
    </row>
    <row r="385" spans="31:94" ht="14.25" customHeight="1" x14ac:dyDescent="0.35">
      <c r="AE385" s="2"/>
      <c r="AF385" s="2"/>
      <c r="CP385" s="6"/>
    </row>
    <row r="386" spans="31:94" ht="14.25" customHeight="1" x14ac:dyDescent="0.35">
      <c r="AE386" s="2"/>
      <c r="AF386" s="2"/>
      <c r="CP386" s="6"/>
    </row>
    <row r="387" spans="31:94" ht="14.25" customHeight="1" x14ac:dyDescent="0.35">
      <c r="AE387" s="2"/>
      <c r="AF387" s="2"/>
      <c r="CP387" s="6"/>
    </row>
    <row r="388" spans="31:94" ht="14.25" customHeight="1" x14ac:dyDescent="0.35">
      <c r="AE388" s="2"/>
      <c r="AF388" s="2"/>
      <c r="CP388" s="6"/>
    </row>
    <row r="389" spans="31:94" ht="14.25" customHeight="1" x14ac:dyDescent="0.35">
      <c r="AE389" s="2"/>
      <c r="AF389" s="2"/>
      <c r="CP389" s="6"/>
    </row>
    <row r="390" spans="31:94" ht="14.25" customHeight="1" x14ac:dyDescent="0.35">
      <c r="AE390" s="2"/>
      <c r="AF390" s="2"/>
      <c r="CP390" s="6"/>
    </row>
    <row r="391" spans="31:94" ht="14.25" customHeight="1" x14ac:dyDescent="0.35">
      <c r="AE391" s="2"/>
      <c r="AF391" s="2"/>
      <c r="CP391" s="6"/>
    </row>
    <row r="392" spans="31:94" ht="14.25" customHeight="1" x14ac:dyDescent="0.35">
      <c r="AE392" s="2"/>
      <c r="AF392" s="2"/>
      <c r="CP392" s="6"/>
    </row>
    <row r="393" spans="31:94" ht="14.25" customHeight="1" x14ac:dyDescent="0.35">
      <c r="AE393" s="2"/>
      <c r="AF393" s="2"/>
      <c r="CP393" s="6"/>
    </row>
    <row r="394" spans="31:94" ht="14.25" customHeight="1" x14ac:dyDescent="0.35">
      <c r="AE394" s="2"/>
      <c r="AF394" s="2"/>
      <c r="CP394" s="6"/>
    </row>
    <row r="395" spans="31:94" ht="14.25" customHeight="1" x14ac:dyDescent="0.35">
      <c r="AE395" s="2"/>
      <c r="AF395" s="2"/>
      <c r="CP395" s="6"/>
    </row>
    <row r="396" spans="31:94" ht="14.25" customHeight="1" x14ac:dyDescent="0.35">
      <c r="AE396" s="2"/>
      <c r="AF396" s="2"/>
      <c r="CP396" s="6"/>
    </row>
    <row r="397" spans="31:94" ht="14.25" customHeight="1" x14ac:dyDescent="0.35">
      <c r="AE397" s="2"/>
      <c r="AF397" s="2"/>
      <c r="CP397" s="6"/>
    </row>
    <row r="398" spans="31:94" ht="14.25" customHeight="1" x14ac:dyDescent="0.35">
      <c r="AE398" s="2"/>
      <c r="AF398" s="2"/>
      <c r="CP398" s="6"/>
    </row>
    <row r="399" spans="31:94" ht="14.25" customHeight="1" x14ac:dyDescent="0.35">
      <c r="AE399" s="2"/>
      <c r="AF399" s="2"/>
      <c r="CP399" s="6"/>
    </row>
    <row r="400" spans="31:94" ht="14.25" customHeight="1" x14ac:dyDescent="0.35">
      <c r="AE400" s="2"/>
      <c r="AF400" s="2"/>
      <c r="CP400" s="6"/>
    </row>
    <row r="401" spans="31:94" ht="14.25" customHeight="1" x14ac:dyDescent="0.35">
      <c r="AE401" s="2"/>
      <c r="AF401" s="2"/>
      <c r="CP401" s="6"/>
    </row>
    <row r="402" spans="31:94" ht="14.25" customHeight="1" x14ac:dyDescent="0.35">
      <c r="AE402" s="2"/>
      <c r="AF402" s="2"/>
      <c r="CP402" s="6"/>
    </row>
    <row r="403" spans="31:94" ht="14.25" customHeight="1" x14ac:dyDescent="0.35">
      <c r="AE403" s="2"/>
      <c r="AF403" s="2"/>
      <c r="CP403" s="6"/>
    </row>
    <row r="404" spans="31:94" ht="14.25" customHeight="1" x14ac:dyDescent="0.35">
      <c r="AE404" s="2"/>
      <c r="AF404" s="2"/>
      <c r="CP404" s="6"/>
    </row>
    <row r="405" spans="31:94" ht="14.25" customHeight="1" x14ac:dyDescent="0.35">
      <c r="AE405" s="2"/>
      <c r="AF405" s="2"/>
      <c r="CP405" s="6"/>
    </row>
    <row r="406" spans="31:94" ht="14.25" customHeight="1" x14ac:dyDescent="0.35">
      <c r="AE406" s="2"/>
      <c r="AF406" s="2"/>
      <c r="CP406" s="6"/>
    </row>
    <row r="407" spans="31:94" ht="14.25" customHeight="1" x14ac:dyDescent="0.35">
      <c r="AE407" s="2"/>
      <c r="AF407" s="2"/>
      <c r="CP407" s="6"/>
    </row>
    <row r="408" spans="31:94" ht="14.25" customHeight="1" x14ac:dyDescent="0.35">
      <c r="AE408" s="2"/>
      <c r="AF408" s="2"/>
      <c r="CP408" s="6"/>
    </row>
    <row r="409" spans="31:94" ht="14.25" customHeight="1" x14ac:dyDescent="0.35">
      <c r="AE409" s="2"/>
      <c r="AF409" s="2"/>
      <c r="CP409" s="6"/>
    </row>
    <row r="410" spans="31:94" ht="14.25" customHeight="1" x14ac:dyDescent="0.35">
      <c r="AE410" s="2"/>
      <c r="AF410" s="2"/>
      <c r="CP410" s="6"/>
    </row>
    <row r="411" spans="31:94" ht="14.25" customHeight="1" x14ac:dyDescent="0.35">
      <c r="AE411" s="2"/>
      <c r="AF411" s="2"/>
      <c r="CP411" s="6"/>
    </row>
    <row r="412" spans="31:94" ht="14.25" customHeight="1" x14ac:dyDescent="0.35">
      <c r="AE412" s="2"/>
      <c r="AF412" s="2"/>
      <c r="CP412" s="6"/>
    </row>
    <row r="413" spans="31:94" ht="14.25" customHeight="1" x14ac:dyDescent="0.35">
      <c r="AE413" s="2"/>
      <c r="AF413" s="2"/>
      <c r="CP413" s="6"/>
    </row>
    <row r="414" spans="31:94" ht="14.25" customHeight="1" x14ac:dyDescent="0.35">
      <c r="AE414" s="2"/>
      <c r="AF414" s="2"/>
      <c r="CP414" s="6"/>
    </row>
    <row r="415" spans="31:94" ht="14.25" customHeight="1" x14ac:dyDescent="0.35">
      <c r="AE415" s="2"/>
      <c r="AF415" s="2"/>
      <c r="CP415" s="6"/>
    </row>
    <row r="416" spans="31:94" ht="14.25" customHeight="1" x14ac:dyDescent="0.35">
      <c r="AE416" s="2"/>
      <c r="AF416" s="2"/>
      <c r="CP416" s="6"/>
    </row>
    <row r="417" spans="31:94" ht="14.25" customHeight="1" x14ac:dyDescent="0.35">
      <c r="AE417" s="2"/>
      <c r="AF417" s="2"/>
      <c r="CP417" s="6"/>
    </row>
    <row r="418" spans="31:94" ht="14.25" customHeight="1" x14ac:dyDescent="0.35">
      <c r="AE418" s="2"/>
      <c r="AF418" s="2"/>
      <c r="CP418" s="6"/>
    </row>
    <row r="419" spans="31:94" ht="14.25" customHeight="1" x14ac:dyDescent="0.35">
      <c r="AE419" s="2"/>
      <c r="AF419" s="2"/>
      <c r="CP419" s="6"/>
    </row>
    <row r="420" spans="31:94" ht="14.25" customHeight="1" x14ac:dyDescent="0.35">
      <c r="AE420" s="2"/>
      <c r="AF420" s="2"/>
      <c r="CP420" s="6"/>
    </row>
    <row r="421" spans="31:94" ht="14.25" customHeight="1" x14ac:dyDescent="0.35">
      <c r="AE421" s="2"/>
      <c r="AF421" s="2"/>
      <c r="CP421" s="6"/>
    </row>
    <row r="422" spans="31:94" ht="14.25" customHeight="1" x14ac:dyDescent="0.35">
      <c r="AE422" s="2"/>
      <c r="AF422" s="2"/>
      <c r="CP422" s="6"/>
    </row>
    <row r="423" spans="31:94" ht="14.25" customHeight="1" x14ac:dyDescent="0.35">
      <c r="AE423" s="2"/>
      <c r="AF423" s="2"/>
      <c r="CP423" s="6"/>
    </row>
    <row r="424" spans="31:94" ht="14.25" customHeight="1" x14ac:dyDescent="0.35">
      <c r="AE424" s="2"/>
      <c r="AF424" s="2"/>
      <c r="CP424" s="6"/>
    </row>
    <row r="425" spans="31:94" ht="14.25" customHeight="1" x14ac:dyDescent="0.35">
      <c r="AE425" s="2"/>
      <c r="AF425" s="2"/>
      <c r="CP425" s="6"/>
    </row>
    <row r="426" spans="31:94" ht="14.25" customHeight="1" x14ac:dyDescent="0.35">
      <c r="AE426" s="2"/>
      <c r="AF426" s="2"/>
      <c r="CP426" s="6"/>
    </row>
    <row r="427" spans="31:94" ht="14.25" customHeight="1" x14ac:dyDescent="0.35">
      <c r="AE427" s="2"/>
      <c r="AF427" s="2"/>
      <c r="CP427" s="6"/>
    </row>
    <row r="428" spans="31:94" ht="14.25" customHeight="1" x14ac:dyDescent="0.35">
      <c r="AE428" s="2"/>
      <c r="AF428" s="2"/>
      <c r="CP428" s="6"/>
    </row>
    <row r="429" spans="31:94" ht="14.25" customHeight="1" x14ac:dyDescent="0.35">
      <c r="AE429" s="2"/>
      <c r="AF429" s="2"/>
      <c r="CP429" s="6"/>
    </row>
    <row r="430" spans="31:94" ht="14.25" customHeight="1" x14ac:dyDescent="0.35">
      <c r="AE430" s="2"/>
      <c r="AF430" s="2"/>
      <c r="CP430" s="6"/>
    </row>
    <row r="431" spans="31:94" ht="14.25" customHeight="1" x14ac:dyDescent="0.35">
      <c r="AE431" s="2"/>
      <c r="AF431" s="2"/>
      <c r="CP431" s="6"/>
    </row>
    <row r="432" spans="31:94" ht="14.25" customHeight="1" x14ac:dyDescent="0.35">
      <c r="AE432" s="2"/>
      <c r="AF432" s="2"/>
      <c r="CP432" s="6"/>
    </row>
    <row r="433" spans="31:94" ht="14.25" customHeight="1" x14ac:dyDescent="0.35">
      <c r="AE433" s="2"/>
      <c r="AF433" s="2"/>
      <c r="CP433" s="6"/>
    </row>
    <row r="434" spans="31:94" ht="14.25" customHeight="1" x14ac:dyDescent="0.35">
      <c r="AE434" s="2"/>
      <c r="AF434" s="2"/>
      <c r="CP434" s="6"/>
    </row>
    <row r="435" spans="31:94" ht="14.25" customHeight="1" x14ac:dyDescent="0.35">
      <c r="AE435" s="2"/>
      <c r="AF435" s="2"/>
      <c r="CP435" s="6"/>
    </row>
    <row r="436" spans="31:94" ht="14.25" customHeight="1" x14ac:dyDescent="0.35">
      <c r="AE436" s="2"/>
      <c r="AF436" s="2"/>
      <c r="CP436" s="6"/>
    </row>
    <row r="437" spans="31:94" ht="14.25" customHeight="1" x14ac:dyDescent="0.35">
      <c r="AE437" s="2"/>
      <c r="AF437" s="2"/>
      <c r="CP437" s="6"/>
    </row>
    <row r="438" spans="31:94" ht="14.25" customHeight="1" x14ac:dyDescent="0.35">
      <c r="AE438" s="2"/>
      <c r="AF438" s="2"/>
      <c r="CP438" s="6"/>
    </row>
    <row r="439" spans="31:94" ht="14.25" customHeight="1" x14ac:dyDescent="0.35">
      <c r="AE439" s="2"/>
      <c r="AF439" s="2"/>
      <c r="CP439" s="6"/>
    </row>
    <row r="440" spans="31:94" ht="14.25" customHeight="1" x14ac:dyDescent="0.35">
      <c r="AE440" s="2"/>
      <c r="AF440" s="2"/>
      <c r="CP440" s="6"/>
    </row>
    <row r="441" spans="31:94" ht="14.25" customHeight="1" x14ac:dyDescent="0.35">
      <c r="AE441" s="2"/>
      <c r="AF441" s="2"/>
      <c r="CP441" s="6"/>
    </row>
    <row r="442" spans="31:94" ht="14.25" customHeight="1" x14ac:dyDescent="0.35">
      <c r="AE442" s="2"/>
      <c r="AF442" s="2"/>
      <c r="CP442" s="6"/>
    </row>
    <row r="443" spans="31:94" ht="14.25" customHeight="1" x14ac:dyDescent="0.35">
      <c r="AE443" s="2"/>
      <c r="AF443" s="2"/>
      <c r="CP443" s="6"/>
    </row>
    <row r="444" spans="31:94" ht="14.25" customHeight="1" x14ac:dyDescent="0.35">
      <c r="AE444" s="2"/>
      <c r="AF444" s="2"/>
      <c r="CP444" s="6"/>
    </row>
    <row r="445" spans="31:94" ht="14.25" customHeight="1" x14ac:dyDescent="0.35">
      <c r="AE445" s="2"/>
      <c r="AF445" s="2"/>
      <c r="CP445" s="6"/>
    </row>
    <row r="446" spans="31:94" ht="14.25" customHeight="1" x14ac:dyDescent="0.35">
      <c r="AE446" s="2"/>
      <c r="AF446" s="2"/>
      <c r="CP446" s="6"/>
    </row>
    <row r="447" spans="31:94" ht="14.25" customHeight="1" x14ac:dyDescent="0.35">
      <c r="AE447" s="2"/>
      <c r="AF447" s="2"/>
      <c r="CP447" s="6"/>
    </row>
    <row r="448" spans="31:94" ht="14.25" customHeight="1" x14ac:dyDescent="0.35">
      <c r="AE448" s="2"/>
      <c r="AF448" s="2"/>
      <c r="CP448" s="6"/>
    </row>
    <row r="449" spans="31:94" ht="14.25" customHeight="1" x14ac:dyDescent="0.35">
      <c r="AE449" s="2"/>
      <c r="AF449" s="2"/>
      <c r="CP449" s="6"/>
    </row>
    <row r="450" spans="31:94" ht="14.25" customHeight="1" x14ac:dyDescent="0.35">
      <c r="AE450" s="2"/>
      <c r="AF450" s="2"/>
      <c r="CP450" s="6"/>
    </row>
    <row r="451" spans="31:94" ht="14.25" customHeight="1" x14ac:dyDescent="0.35">
      <c r="AE451" s="2"/>
      <c r="AF451" s="2"/>
      <c r="CP451" s="6"/>
    </row>
    <row r="452" spans="31:94" ht="14.25" customHeight="1" x14ac:dyDescent="0.35">
      <c r="AE452" s="2"/>
      <c r="AF452" s="2"/>
      <c r="CP452" s="6"/>
    </row>
    <row r="453" spans="31:94" ht="14.25" customHeight="1" x14ac:dyDescent="0.35">
      <c r="AE453" s="2"/>
      <c r="AF453" s="2"/>
      <c r="CP453" s="6"/>
    </row>
    <row r="454" spans="31:94" ht="14.25" customHeight="1" x14ac:dyDescent="0.35">
      <c r="AE454" s="2"/>
      <c r="AF454" s="2"/>
      <c r="CP454" s="6"/>
    </row>
    <row r="455" spans="31:94" ht="14.25" customHeight="1" x14ac:dyDescent="0.35">
      <c r="AE455" s="2"/>
      <c r="AF455" s="2"/>
      <c r="CP455" s="6"/>
    </row>
    <row r="456" spans="31:94" ht="14.25" customHeight="1" x14ac:dyDescent="0.35">
      <c r="AE456" s="2"/>
      <c r="AF456" s="2"/>
      <c r="CP456" s="6"/>
    </row>
    <row r="457" spans="31:94" ht="14.25" customHeight="1" x14ac:dyDescent="0.35">
      <c r="AE457" s="2"/>
      <c r="AF457" s="2"/>
      <c r="CP457" s="6"/>
    </row>
    <row r="458" spans="31:94" ht="14.25" customHeight="1" x14ac:dyDescent="0.35">
      <c r="AE458" s="2"/>
      <c r="AF458" s="2"/>
      <c r="CP458" s="6"/>
    </row>
    <row r="459" spans="31:94" ht="14.25" customHeight="1" x14ac:dyDescent="0.35">
      <c r="AE459" s="2"/>
      <c r="AF459" s="2"/>
      <c r="CP459" s="6"/>
    </row>
    <row r="460" spans="31:94" ht="14.25" customHeight="1" x14ac:dyDescent="0.35">
      <c r="AE460" s="2"/>
      <c r="AF460" s="2"/>
      <c r="CP460" s="6"/>
    </row>
    <row r="461" spans="31:94" ht="14.25" customHeight="1" x14ac:dyDescent="0.35">
      <c r="AE461" s="2"/>
      <c r="AF461" s="2"/>
      <c r="CP461" s="6"/>
    </row>
    <row r="462" spans="31:94" ht="14.25" customHeight="1" x14ac:dyDescent="0.35">
      <c r="AE462" s="2"/>
      <c r="AF462" s="2"/>
      <c r="CP462" s="6"/>
    </row>
    <row r="463" spans="31:94" ht="14.25" customHeight="1" x14ac:dyDescent="0.35">
      <c r="AE463" s="2"/>
      <c r="AF463" s="2"/>
      <c r="CP463" s="6"/>
    </row>
    <row r="464" spans="31:94" ht="14.25" customHeight="1" x14ac:dyDescent="0.35">
      <c r="AE464" s="2"/>
      <c r="AF464" s="2"/>
      <c r="CP464" s="6"/>
    </row>
    <row r="465" spans="31:94" ht="14.25" customHeight="1" x14ac:dyDescent="0.35">
      <c r="AE465" s="2"/>
      <c r="AF465" s="2"/>
      <c r="CP465" s="6"/>
    </row>
    <row r="466" spans="31:94" ht="14.25" customHeight="1" x14ac:dyDescent="0.35">
      <c r="AE466" s="2"/>
      <c r="AF466" s="2"/>
      <c r="CP466" s="6"/>
    </row>
    <row r="467" spans="31:94" ht="14.25" customHeight="1" x14ac:dyDescent="0.35">
      <c r="AE467" s="2"/>
      <c r="AF467" s="2"/>
      <c r="CP467" s="6"/>
    </row>
    <row r="468" spans="31:94" ht="14.25" customHeight="1" x14ac:dyDescent="0.35">
      <c r="AE468" s="2"/>
      <c r="AF468" s="2"/>
      <c r="CP468" s="6"/>
    </row>
    <row r="469" spans="31:94" ht="14.25" customHeight="1" x14ac:dyDescent="0.35">
      <c r="AE469" s="2"/>
      <c r="AF469" s="2"/>
      <c r="CP469" s="6"/>
    </row>
    <row r="470" spans="31:94" ht="14.25" customHeight="1" x14ac:dyDescent="0.35">
      <c r="AE470" s="2"/>
      <c r="AF470" s="2"/>
      <c r="CP470" s="6"/>
    </row>
    <row r="471" spans="31:94" ht="14.25" customHeight="1" x14ac:dyDescent="0.35">
      <c r="AE471" s="2"/>
      <c r="AF471" s="2"/>
      <c r="CP471" s="6"/>
    </row>
    <row r="472" spans="31:94" ht="14.25" customHeight="1" x14ac:dyDescent="0.35">
      <c r="AE472" s="2"/>
      <c r="AF472" s="2"/>
      <c r="CP472" s="6"/>
    </row>
    <row r="473" spans="31:94" ht="14.25" customHeight="1" x14ac:dyDescent="0.35">
      <c r="AE473" s="2"/>
      <c r="AF473" s="2"/>
      <c r="CP473" s="6"/>
    </row>
    <row r="474" spans="31:94" ht="14.25" customHeight="1" x14ac:dyDescent="0.35">
      <c r="AE474" s="2"/>
      <c r="AF474" s="2"/>
      <c r="CP474" s="6"/>
    </row>
    <row r="475" spans="31:94" ht="14.25" customHeight="1" x14ac:dyDescent="0.35">
      <c r="AE475" s="2"/>
      <c r="AF475" s="2"/>
      <c r="CP475" s="6"/>
    </row>
    <row r="476" spans="31:94" ht="14.25" customHeight="1" x14ac:dyDescent="0.35">
      <c r="AE476" s="2"/>
      <c r="AF476" s="2"/>
      <c r="CP476" s="6"/>
    </row>
    <row r="477" spans="31:94" ht="14.25" customHeight="1" x14ac:dyDescent="0.35">
      <c r="AE477" s="2"/>
      <c r="AF477" s="2"/>
      <c r="CP477" s="6"/>
    </row>
    <row r="478" spans="31:94" ht="14.25" customHeight="1" x14ac:dyDescent="0.35">
      <c r="AE478" s="2"/>
      <c r="AF478" s="2"/>
      <c r="CP478" s="6"/>
    </row>
    <row r="479" spans="31:94" ht="14.25" customHeight="1" x14ac:dyDescent="0.35">
      <c r="AE479" s="2"/>
      <c r="AF479" s="2"/>
      <c r="CP479" s="6"/>
    </row>
    <row r="480" spans="31:94" ht="14.25" customHeight="1" x14ac:dyDescent="0.35">
      <c r="AE480" s="2"/>
      <c r="AF480" s="2"/>
      <c r="CP480" s="6"/>
    </row>
    <row r="481" spans="31:94" ht="14.25" customHeight="1" x14ac:dyDescent="0.35">
      <c r="AE481" s="2"/>
      <c r="AF481" s="2"/>
      <c r="CP481" s="6"/>
    </row>
    <row r="482" spans="31:94" ht="14.25" customHeight="1" x14ac:dyDescent="0.35">
      <c r="AE482" s="2"/>
      <c r="AF482" s="2"/>
      <c r="CP482" s="6"/>
    </row>
    <row r="483" spans="31:94" ht="14.25" customHeight="1" x14ac:dyDescent="0.35">
      <c r="AE483" s="2"/>
      <c r="AF483" s="2"/>
      <c r="CP483" s="6"/>
    </row>
    <row r="484" spans="31:94" ht="14.25" customHeight="1" x14ac:dyDescent="0.35">
      <c r="AE484" s="2"/>
      <c r="AF484" s="2"/>
      <c r="CP484" s="6"/>
    </row>
    <row r="485" spans="31:94" ht="14.25" customHeight="1" x14ac:dyDescent="0.35">
      <c r="AE485" s="2"/>
      <c r="AF485" s="2"/>
      <c r="CP485" s="6"/>
    </row>
    <row r="486" spans="31:94" ht="14.25" customHeight="1" x14ac:dyDescent="0.35">
      <c r="AE486" s="2"/>
      <c r="AF486" s="2"/>
      <c r="CP486" s="6"/>
    </row>
    <row r="487" spans="31:94" ht="14.25" customHeight="1" x14ac:dyDescent="0.35">
      <c r="AE487" s="2"/>
      <c r="AF487" s="2"/>
      <c r="CP487" s="6"/>
    </row>
    <row r="488" spans="31:94" ht="14.25" customHeight="1" x14ac:dyDescent="0.35">
      <c r="AE488" s="2"/>
      <c r="AF488" s="2"/>
      <c r="CP488" s="6"/>
    </row>
    <row r="489" spans="31:94" ht="14.25" customHeight="1" x14ac:dyDescent="0.35">
      <c r="AE489" s="2"/>
      <c r="AF489" s="2"/>
      <c r="CP489" s="6"/>
    </row>
    <row r="490" spans="31:94" ht="14.25" customHeight="1" x14ac:dyDescent="0.35">
      <c r="AE490" s="2"/>
      <c r="AF490" s="2"/>
      <c r="CP490" s="6"/>
    </row>
    <row r="491" spans="31:94" ht="14.25" customHeight="1" x14ac:dyDescent="0.35">
      <c r="AE491" s="2"/>
      <c r="AF491" s="2"/>
      <c r="CP491" s="6"/>
    </row>
    <row r="492" spans="31:94" ht="14.25" customHeight="1" x14ac:dyDescent="0.35">
      <c r="AE492" s="2"/>
      <c r="AF492" s="2"/>
      <c r="CP492" s="6"/>
    </row>
    <row r="493" spans="31:94" ht="14.25" customHeight="1" x14ac:dyDescent="0.35">
      <c r="AE493" s="2"/>
      <c r="AF493" s="2"/>
      <c r="CP493" s="6"/>
    </row>
    <row r="494" spans="31:94" ht="14.25" customHeight="1" x14ac:dyDescent="0.35">
      <c r="AE494" s="2"/>
      <c r="AF494" s="2"/>
      <c r="CP494" s="6"/>
    </row>
    <row r="495" spans="31:94" ht="14.25" customHeight="1" x14ac:dyDescent="0.35">
      <c r="AE495" s="2"/>
      <c r="AF495" s="2"/>
      <c r="CP495" s="6"/>
    </row>
    <row r="496" spans="31:94" ht="14.25" customHeight="1" x14ac:dyDescent="0.35">
      <c r="AE496" s="2"/>
      <c r="AF496" s="2"/>
      <c r="CP496" s="6"/>
    </row>
    <row r="497" spans="31:94" ht="14.25" customHeight="1" x14ac:dyDescent="0.35">
      <c r="AE497" s="2"/>
      <c r="AF497" s="2"/>
      <c r="CP497" s="6"/>
    </row>
    <row r="498" spans="31:94" ht="14.25" customHeight="1" x14ac:dyDescent="0.35">
      <c r="AE498" s="2"/>
      <c r="AF498" s="2"/>
      <c r="CP498" s="6"/>
    </row>
    <row r="499" spans="31:94" ht="14.25" customHeight="1" x14ac:dyDescent="0.35">
      <c r="AE499" s="2"/>
      <c r="AF499" s="2"/>
      <c r="CP499" s="6"/>
    </row>
    <row r="500" spans="31:94" ht="14.25" customHeight="1" x14ac:dyDescent="0.35">
      <c r="AE500" s="2"/>
      <c r="AF500" s="2"/>
      <c r="CP500" s="6"/>
    </row>
    <row r="501" spans="31:94" ht="14.25" customHeight="1" x14ac:dyDescent="0.35">
      <c r="AE501" s="2"/>
      <c r="AF501" s="2"/>
      <c r="CP501" s="6"/>
    </row>
    <row r="502" spans="31:94" ht="14.25" customHeight="1" x14ac:dyDescent="0.35">
      <c r="AE502" s="2"/>
      <c r="AF502" s="2"/>
      <c r="CP502" s="6"/>
    </row>
    <row r="503" spans="31:94" ht="14.25" customHeight="1" x14ac:dyDescent="0.35">
      <c r="AE503" s="2"/>
      <c r="AF503" s="2"/>
      <c r="CP503" s="6"/>
    </row>
    <row r="504" spans="31:94" ht="14.25" customHeight="1" x14ac:dyDescent="0.35">
      <c r="AE504" s="2"/>
      <c r="AF504" s="2"/>
      <c r="CP504" s="6"/>
    </row>
    <row r="505" spans="31:94" ht="14.25" customHeight="1" x14ac:dyDescent="0.35">
      <c r="AE505" s="2"/>
      <c r="AF505" s="2"/>
      <c r="CP505" s="6"/>
    </row>
    <row r="506" spans="31:94" ht="14.25" customHeight="1" x14ac:dyDescent="0.35">
      <c r="AE506" s="2"/>
      <c r="AF506" s="2"/>
      <c r="CP506" s="6"/>
    </row>
    <row r="507" spans="31:94" ht="14.25" customHeight="1" x14ac:dyDescent="0.35">
      <c r="AE507" s="2"/>
      <c r="AF507" s="2"/>
      <c r="CP507" s="6"/>
    </row>
    <row r="508" spans="31:94" ht="14.25" customHeight="1" x14ac:dyDescent="0.35">
      <c r="AE508" s="2"/>
      <c r="AF508" s="2"/>
      <c r="CP508" s="6"/>
    </row>
    <row r="509" spans="31:94" ht="14.25" customHeight="1" x14ac:dyDescent="0.35">
      <c r="AE509" s="2"/>
      <c r="AF509" s="2"/>
      <c r="CP509" s="6"/>
    </row>
    <row r="510" spans="31:94" ht="14.25" customHeight="1" x14ac:dyDescent="0.35">
      <c r="AE510" s="2"/>
      <c r="AF510" s="2"/>
      <c r="CP510" s="6"/>
    </row>
    <row r="511" spans="31:94" ht="14.25" customHeight="1" x14ac:dyDescent="0.35">
      <c r="AE511" s="2"/>
      <c r="AF511" s="2"/>
      <c r="CP511" s="6"/>
    </row>
    <row r="512" spans="31:94" ht="14.25" customHeight="1" x14ac:dyDescent="0.35">
      <c r="AE512" s="2"/>
      <c r="AF512" s="2"/>
      <c r="CP512" s="6"/>
    </row>
    <row r="513" spans="31:94" ht="14.25" customHeight="1" x14ac:dyDescent="0.35">
      <c r="AE513" s="2"/>
      <c r="AF513" s="2"/>
      <c r="CP513" s="6"/>
    </row>
    <row r="514" spans="31:94" ht="14.25" customHeight="1" x14ac:dyDescent="0.35">
      <c r="AE514" s="2"/>
      <c r="AF514" s="2"/>
      <c r="CP514" s="6"/>
    </row>
    <row r="515" spans="31:94" ht="14.25" customHeight="1" x14ac:dyDescent="0.35">
      <c r="AE515" s="2"/>
      <c r="AF515" s="2"/>
      <c r="CP515" s="6"/>
    </row>
    <row r="516" spans="31:94" ht="14.25" customHeight="1" x14ac:dyDescent="0.35">
      <c r="AE516" s="2"/>
      <c r="AF516" s="2"/>
      <c r="CP516" s="6"/>
    </row>
    <row r="517" spans="31:94" ht="14.25" customHeight="1" x14ac:dyDescent="0.35">
      <c r="AE517" s="2"/>
      <c r="AF517" s="2"/>
      <c r="CP517" s="6"/>
    </row>
    <row r="518" spans="31:94" ht="14.25" customHeight="1" x14ac:dyDescent="0.35">
      <c r="AE518" s="2"/>
      <c r="AF518" s="2"/>
      <c r="CP518" s="6"/>
    </row>
    <row r="519" spans="31:94" ht="14.25" customHeight="1" x14ac:dyDescent="0.35">
      <c r="AE519" s="2"/>
      <c r="AF519" s="2"/>
      <c r="CP519" s="6"/>
    </row>
    <row r="520" spans="31:94" ht="14.25" customHeight="1" x14ac:dyDescent="0.35">
      <c r="AE520" s="2"/>
      <c r="AF520" s="2"/>
      <c r="CP520" s="6"/>
    </row>
    <row r="521" spans="31:94" ht="14.25" customHeight="1" x14ac:dyDescent="0.35">
      <c r="AE521" s="2"/>
      <c r="AF521" s="2"/>
      <c r="CP521" s="6"/>
    </row>
    <row r="522" spans="31:94" ht="14.25" customHeight="1" x14ac:dyDescent="0.35">
      <c r="AE522" s="2"/>
      <c r="AF522" s="2"/>
      <c r="CP522" s="6"/>
    </row>
    <row r="523" spans="31:94" ht="14.25" customHeight="1" x14ac:dyDescent="0.35">
      <c r="AE523" s="2"/>
      <c r="AF523" s="2"/>
      <c r="CP523" s="6"/>
    </row>
    <row r="524" spans="31:94" ht="14.25" customHeight="1" x14ac:dyDescent="0.35">
      <c r="AE524" s="2"/>
      <c r="AF524" s="2"/>
      <c r="CP524" s="6"/>
    </row>
    <row r="525" spans="31:94" ht="14.25" customHeight="1" x14ac:dyDescent="0.35">
      <c r="AE525" s="2"/>
      <c r="AF525" s="2"/>
      <c r="CP525" s="6"/>
    </row>
    <row r="526" spans="31:94" ht="14.25" customHeight="1" x14ac:dyDescent="0.35">
      <c r="AE526" s="2"/>
      <c r="AF526" s="2"/>
      <c r="CP526" s="6"/>
    </row>
    <row r="527" spans="31:94" ht="14.25" customHeight="1" x14ac:dyDescent="0.35">
      <c r="AE527" s="2"/>
      <c r="AF527" s="2"/>
      <c r="CP527" s="6"/>
    </row>
    <row r="528" spans="31:94" ht="14.25" customHeight="1" x14ac:dyDescent="0.35">
      <c r="AE528" s="2"/>
      <c r="AF528" s="2"/>
      <c r="CP528" s="6"/>
    </row>
    <row r="529" spans="31:94" ht="14.25" customHeight="1" x14ac:dyDescent="0.35">
      <c r="AE529" s="2"/>
      <c r="AF529" s="2"/>
      <c r="CP529" s="6"/>
    </row>
    <row r="530" spans="31:94" ht="14.25" customHeight="1" x14ac:dyDescent="0.35">
      <c r="AE530" s="2"/>
      <c r="AF530" s="2"/>
      <c r="CP530" s="6"/>
    </row>
    <row r="531" spans="31:94" ht="14.25" customHeight="1" x14ac:dyDescent="0.35">
      <c r="AE531" s="2"/>
      <c r="AF531" s="2"/>
      <c r="CP531" s="6"/>
    </row>
    <row r="532" spans="31:94" ht="14.25" customHeight="1" x14ac:dyDescent="0.35">
      <c r="AE532" s="2"/>
      <c r="AF532" s="2"/>
      <c r="CP532" s="6"/>
    </row>
    <row r="533" spans="31:94" ht="14.25" customHeight="1" x14ac:dyDescent="0.35">
      <c r="AE533" s="2"/>
      <c r="AF533" s="2"/>
      <c r="CP533" s="6"/>
    </row>
    <row r="534" spans="31:94" ht="14.25" customHeight="1" x14ac:dyDescent="0.35">
      <c r="AE534" s="2"/>
      <c r="AF534" s="2"/>
      <c r="CP534" s="6"/>
    </row>
    <row r="535" spans="31:94" ht="14.25" customHeight="1" x14ac:dyDescent="0.35">
      <c r="AE535" s="2"/>
      <c r="AF535" s="2"/>
      <c r="CP535" s="6"/>
    </row>
    <row r="536" spans="31:94" ht="14.25" customHeight="1" x14ac:dyDescent="0.35">
      <c r="AE536" s="2"/>
      <c r="AF536" s="2"/>
      <c r="CP536" s="6"/>
    </row>
    <row r="537" spans="31:94" ht="14.25" customHeight="1" x14ac:dyDescent="0.35">
      <c r="AE537" s="2"/>
      <c r="AF537" s="2"/>
      <c r="CP537" s="6"/>
    </row>
    <row r="538" spans="31:94" ht="14.25" customHeight="1" x14ac:dyDescent="0.35">
      <c r="AE538" s="2"/>
      <c r="AF538" s="2"/>
      <c r="CP538" s="6"/>
    </row>
    <row r="539" spans="31:94" ht="14.25" customHeight="1" x14ac:dyDescent="0.35">
      <c r="AE539" s="2"/>
      <c r="AF539" s="2"/>
      <c r="CP539" s="6"/>
    </row>
    <row r="540" spans="31:94" ht="14.25" customHeight="1" x14ac:dyDescent="0.35">
      <c r="AE540" s="2"/>
      <c r="AF540" s="2"/>
      <c r="CP540" s="6"/>
    </row>
    <row r="541" spans="31:94" ht="14.25" customHeight="1" x14ac:dyDescent="0.35">
      <c r="AE541" s="2"/>
      <c r="AF541" s="2"/>
      <c r="CP541" s="6"/>
    </row>
    <row r="542" spans="31:94" ht="14.25" customHeight="1" x14ac:dyDescent="0.35">
      <c r="AE542" s="2"/>
      <c r="AF542" s="2"/>
      <c r="CP542" s="6"/>
    </row>
    <row r="543" spans="31:94" ht="14.25" customHeight="1" x14ac:dyDescent="0.35">
      <c r="AE543" s="2"/>
      <c r="AF543" s="2"/>
      <c r="CP543" s="6"/>
    </row>
    <row r="544" spans="31:94" ht="14.25" customHeight="1" x14ac:dyDescent="0.35">
      <c r="AE544" s="2"/>
      <c r="AF544" s="2"/>
      <c r="CP544" s="6"/>
    </row>
    <row r="545" spans="31:94" ht="14.25" customHeight="1" x14ac:dyDescent="0.35">
      <c r="AE545" s="2"/>
      <c r="AF545" s="2"/>
      <c r="CP545" s="6"/>
    </row>
    <row r="546" spans="31:94" ht="14.25" customHeight="1" x14ac:dyDescent="0.35">
      <c r="AE546" s="2"/>
      <c r="AF546" s="2"/>
      <c r="CP546" s="6"/>
    </row>
    <row r="547" spans="31:94" ht="14.25" customHeight="1" x14ac:dyDescent="0.35">
      <c r="AE547" s="2"/>
      <c r="AF547" s="2"/>
      <c r="CP547" s="6"/>
    </row>
    <row r="548" spans="31:94" ht="14.25" customHeight="1" x14ac:dyDescent="0.35">
      <c r="AE548" s="2"/>
      <c r="AF548" s="2"/>
      <c r="CP548" s="6"/>
    </row>
    <row r="549" spans="31:94" ht="14.25" customHeight="1" x14ac:dyDescent="0.35">
      <c r="AE549" s="2"/>
      <c r="AF549" s="2"/>
      <c r="CP549" s="6"/>
    </row>
    <row r="550" spans="31:94" ht="14.25" customHeight="1" x14ac:dyDescent="0.35">
      <c r="AE550" s="2"/>
      <c r="AF550" s="2"/>
      <c r="CP550" s="6"/>
    </row>
    <row r="551" spans="31:94" ht="14.25" customHeight="1" x14ac:dyDescent="0.35">
      <c r="AE551" s="2"/>
      <c r="AF551" s="2"/>
      <c r="CP551" s="6"/>
    </row>
    <row r="552" spans="31:94" ht="14.25" customHeight="1" x14ac:dyDescent="0.35">
      <c r="AE552" s="2"/>
      <c r="AF552" s="2"/>
      <c r="CP552" s="6"/>
    </row>
    <row r="553" spans="31:94" ht="14.25" customHeight="1" x14ac:dyDescent="0.35">
      <c r="AE553" s="2"/>
      <c r="AF553" s="2"/>
      <c r="CP553" s="6"/>
    </row>
    <row r="554" spans="31:94" ht="14.25" customHeight="1" x14ac:dyDescent="0.35">
      <c r="AE554" s="2"/>
      <c r="AF554" s="2"/>
      <c r="CP554" s="6"/>
    </row>
    <row r="555" spans="31:94" ht="14.25" customHeight="1" x14ac:dyDescent="0.35">
      <c r="AE555" s="2"/>
      <c r="AF555" s="2"/>
      <c r="CP555" s="6"/>
    </row>
    <row r="556" spans="31:94" ht="14.25" customHeight="1" x14ac:dyDescent="0.35">
      <c r="AE556" s="2"/>
      <c r="AF556" s="2"/>
      <c r="CP556" s="6"/>
    </row>
    <row r="557" spans="31:94" ht="14.25" customHeight="1" x14ac:dyDescent="0.35">
      <c r="AE557" s="2"/>
      <c r="AF557" s="2"/>
      <c r="CP557" s="6"/>
    </row>
    <row r="558" spans="31:94" ht="14.25" customHeight="1" x14ac:dyDescent="0.35">
      <c r="AE558" s="2"/>
      <c r="AF558" s="2"/>
      <c r="CP558" s="6"/>
    </row>
    <row r="559" spans="31:94" ht="14.25" customHeight="1" x14ac:dyDescent="0.35">
      <c r="AE559" s="2"/>
      <c r="AF559" s="2"/>
      <c r="CP559" s="6"/>
    </row>
    <row r="560" spans="31:94" ht="14.25" customHeight="1" x14ac:dyDescent="0.35">
      <c r="AE560" s="2"/>
      <c r="AF560" s="2"/>
      <c r="CP560" s="6"/>
    </row>
    <row r="561" spans="31:94" ht="14.25" customHeight="1" x14ac:dyDescent="0.35">
      <c r="AE561" s="2"/>
      <c r="AF561" s="2"/>
      <c r="CP561" s="6"/>
    </row>
    <row r="562" spans="31:94" ht="14.25" customHeight="1" x14ac:dyDescent="0.35">
      <c r="AE562" s="2"/>
      <c r="AF562" s="2"/>
      <c r="CP562" s="6"/>
    </row>
    <row r="563" spans="31:94" ht="14.25" customHeight="1" x14ac:dyDescent="0.35">
      <c r="AE563" s="2"/>
      <c r="AF563" s="2"/>
      <c r="CP563" s="6"/>
    </row>
    <row r="564" spans="31:94" ht="14.25" customHeight="1" x14ac:dyDescent="0.35">
      <c r="AE564" s="2"/>
      <c r="AF564" s="2"/>
      <c r="CP564" s="6"/>
    </row>
    <row r="565" spans="31:94" ht="14.25" customHeight="1" x14ac:dyDescent="0.35">
      <c r="AE565" s="2"/>
      <c r="AF565" s="2"/>
      <c r="CP565" s="6"/>
    </row>
    <row r="566" spans="31:94" ht="14.25" customHeight="1" x14ac:dyDescent="0.35">
      <c r="AE566" s="2"/>
      <c r="AF566" s="2"/>
      <c r="CP566" s="6"/>
    </row>
    <row r="567" spans="31:94" ht="14.25" customHeight="1" x14ac:dyDescent="0.35">
      <c r="AE567" s="2"/>
      <c r="AF567" s="2"/>
      <c r="CP567" s="6"/>
    </row>
    <row r="568" spans="31:94" ht="14.25" customHeight="1" x14ac:dyDescent="0.35">
      <c r="AE568" s="2"/>
      <c r="AF568" s="2"/>
      <c r="CP568" s="6"/>
    </row>
    <row r="569" spans="31:94" ht="14.25" customHeight="1" x14ac:dyDescent="0.35">
      <c r="AE569" s="2"/>
      <c r="AF569" s="2"/>
      <c r="CP569" s="6"/>
    </row>
    <row r="570" spans="31:94" ht="14.25" customHeight="1" x14ac:dyDescent="0.35">
      <c r="AE570" s="2"/>
      <c r="AF570" s="2"/>
      <c r="CP570" s="6"/>
    </row>
    <row r="571" spans="31:94" ht="14.25" customHeight="1" x14ac:dyDescent="0.35">
      <c r="AE571" s="2"/>
      <c r="AF571" s="2"/>
      <c r="CP571" s="6"/>
    </row>
    <row r="572" spans="31:94" ht="14.25" customHeight="1" x14ac:dyDescent="0.35">
      <c r="AE572" s="2"/>
      <c r="AF572" s="2"/>
      <c r="CP572" s="6"/>
    </row>
    <row r="573" spans="31:94" ht="14.25" customHeight="1" x14ac:dyDescent="0.35">
      <c r="AE573" s="2"/>
      <c r="AF573" s="2"/>
      <c r="CP573" s="6"/>
    </row>
    <row r="574" spans="31:94" ht="14.25" customHeight="1" x14ac:dyDescent="0.35">
      <c r="AE574" s="2"/>
      <c r="AF574" s="2"/>
      <c r="CP574" s="6"/>
    </row>
    <row r="575" spans="31:94" ht="14.25" customHeight="1" x14ac:dyDescent="0.35">
      <c r="AE575" s="2"/>
      <c r="AF575" s="2"/>
      <c r="CP575" s="6"/>
    </row>
    <row r="576" spans="31:94" ht="14.25" customHeight="1" x14ac:dyDescent="0.35">
      <c r="AE576" s="2"/>
      <c r="AF576" s="2"/>
      <c r="CP576" s="6"/>
    </row>
    <row r="577" spans="31:94" ht="14.25" customHeight="1" x14ac:dyDescent="0.35">
      <c r="AE577" s="2"/>
      <c r="AF577" s="2"/>
      <c r="CP577" s="6"/>
    </row>
    <row r="578" spans="31:94" ht="14.25" customHeight="1" x14ac:dyDescent="0.35">
      <c r="AE578" s="2"/>
      <c r="AF578" s="2"/>
      <c r="CP578" s="6"/>
    </row>
    <row r="579" spans="31:94" ht="14.25" customHeight="1" x14ac:dyDescent="0.35">
      <c r="AE579" s="2"/>
      <c r="AF579" s="2"/>
      <c r="CP579" s="6"/>
    </row>
    <row r="580" spans="31:94" ht="14.25" customHeight="1" x14ac:dyDescent="0.35">
      <c r="AE580" s="2"/>
      <c r="AF580" s="2"/>
      <c r="CP580" s="6"/>
    </row>
    <row r="581" spans="31:94" ht="14.25" customHeight="1" x14ac:dyDescent="0.35">
      <c r="AE581" s="2"/>
      <c r="AF581" s="2"/>
      <c r="CP581" s="6"/>
    </row>
    <row r="582" spans="31:94" ht="14.25" customHeight="1" x14ac:dyDescent="0.35">
      <c r="AE582" s="2"/>
      <c r="AF582" s="2"/>
      <c r="CP582" s="6"/>
    </row>
    <row r="583" spans="31:94" ht="14.25" customHeight="1" x14ac:dyDescent="0.35">
      <c r="AE583" s="2"/>
      <c r="AF583" s="2"/>
      <c r="CP583" s="6"/>
    </row>
    <row r="584" spans="31:94" ht="14.25" customHeight="1" x14ac:dyDescent="0.35">
      <c r="AE584" s="2"/>
      <c r="AF584" s="2"/>
      <c r="CP584" s="6"/>
    </row>
    <row r="585" spans="31:94" ht="14.25" customHeight="1" x14ac:dyDescent="0.35">
      <c r="AE585" s="2"/>
      <c r="AF585" s="2"/>
      <c r="CP585" s="6"/>
    </row>
    <row r="586" spans="31:94" ht="14.25" customHeight="1" x14ac:dyDescent="0.35">
      <c r="AE586" s="2"/>
      <c r="AF586" s="2"/>
      <c r="CP586" s="6"/>
    </row>
    <row r="587" spans="31:94" ht="14.25" customHeight="1" x14ac:dyDescent="0.35">
      <c r="AE587" s="2"/>
      <c r="AF587" s="2"/>
      <c r="CP587" s="6"/>
    </row>
    <row r="588" spans="31:94" ht="14.25" customHeight="1" x14ac:dyDescent="0.35">
      <c r="AE588" s="2"/>
      <c r="AF588" s="2"/>
      <c r="CP588" s="6"/>
    </row>
    <row r="589" spans="31:94" ht="14.25" customHeight="1" x14ac:dyDescent="0.35">
      <c r="AE589" s="2"/>
      <c r="AF589" s="2"/>
      <c r="CP589" s="6"/>
    </row>
    <row r="590" spans="31:94" ht="14.25" customHeight="1" x14ac:dyDescent="0.35">
      <c r="AE590" s="2"/>
      <c r="AF590" s="2"/>
      <c r="CP590" s="6"/>
    </row>
    <row r="591" spans="31:94" ht="14.25" customHeight="1" x14ac:dyDescent="0.35">
      <c r="AE591" s="2"/>
      <c r="AF591" s="2"/>
      <c r="CP591" s="6"/>
    </row>
    <row r="592" spans="31:94" ht="14.25" customHeight="1" x14ac:dyDescent="0.35">
      <c r="AE592" s="2"/>
      <c r="AF592" s="2"/>
      <c r="CP592" s="6"/>
    </row>
    <row r="593" spans="31:94" ht="14.25" customHeight="1" x14ac:dyDescent="0.35">
      <c r="AE593" s="2"/>
      <c r="AF593" s="2"/>
      <c r="CP593" s="6"/>
    </row>
    <row r="594" spans="31:94" ht="14.25" customHeight="1" x14ac:dyDescent="0.35">
      <c r="AE594" s="2"/>
      <c r="AF594" s="2"/>
      <c r="CP594" s="6"/>
    </row>
    <row r="595" spans="31:94" ht="14.25" customHeight="1" x14ac:dyDescent="0.35">
      <c r="AE595" s="2"/>
      <c r="AF595" s="2"/>
      <c r="CP595" s="6"/>
    </row>
    <row r="596" spans="31:94" ht="14.25" customHeight="1" x14ac:dyDescent="0.35">
      <c r="AE596" s="2"/>
      <c r="AF596" s="2"/>
      <c r="CP596" s="6"/>
    </row>
    <row r="597" spans="31:94" ht="14.25" customHeight="1" x14ac:dyDescent="0.35">
      <c r="AE597" s="2"/>
      <c r="AF597" s="2"/>
      <c r="CP597" s="6"/>
    </row>
    <row r="598" spans="31:94" ht="14.25" customHeight="1" x14ac:dyDescent="0.35">
      <c r="AE598" s="2"/>
      <c r="AF598" s="2"/>
      <c r="CP598" s="6"/>
    </row>
    <row r="599" spans="31:94" ht="14.25" customHeight="1" x14ac:dyDescent="0.35">
      <c r="AE599" s="2"/>
      <c r="AF599" s="2"/>
      <c r="CP599" s="6"/>
    </row>
    <row r="600" spans="31:94" ht="14.25" customHeight="1" x14ac:dyDescent="0.35">
      <c r="AE600" s="2"/>
      <c r="AF600" s="2"/>
      <c r="CP600" s="6"/>
    </row>
    <row r="601" spans="31:94" ht="14.25" customHeight="1" x14ac:dyDescent="0.35">
      <c r="AE601" s="2"/>
      <c r="AF601" s="2"/>
      <c r="CP601" s="6"/>
    </row>
    <row r="602" spans="31:94" ht="14.25" customHeight="1" x14ac:dyDescent="0.35">
      <c r="AE602" s="2"/>
      <c r="AF602" s="2"/>
      <c r="CP602" s="6"/>
    </row>
    <row r="603" spans="31:94" ht="14.25" customHeight="1" x14ac:dyDescent="0.35">
      <c r="AE603" s="2"/>
      <c r="AF603" s="2"/>
      <c r="CP603" s="6"/>
    </row>
    <row r="604" spans="31:94" ht="14.25" customHeight="1" x14ac:dyDescent="0.35">
      <c r="AE604" s="2"/>
      <c r="AF604" s="2"/>
      <c r="CP604" s="6"/>
    </row>
    <row r="605" spans="31:94" ht="14.25" customHeight="1" x14ac:dyDescent="0.35">
      <c r="AE605" s="2"/>
      <c r="AF605" s="2"/>
      <c r="CP605" s="6"/>
    </row>
    <row r="606" spans="31:94" ht="14.25" customHeight="1" x14ac:dyDescent="0.35">
      <c r="AE606" s="2"/>
      <c r="AF606" s="2"/>
      <c r="CP606" s="6"/>
    </row>
    <row r="607" spans="31:94" ht="14.25" customHeight="1" x14ac:dyDescent="0.35">
      <c r="AE607" s="2"/>
      <c r="AF607" s="2"/>
      <c r="CP607" s="6"/>
    </row>
    <row r="608" spans="31:94" ht="14.25" customHeight="1" x14ac:dyDescent="0.35">
      <c r="AE608" s="2"/>
      <c r="AF608" s="2"/>
      <c r="CP608" s="6"/>
    </row>
    <row r="609" spans="31:94" ht="14.25" customHeight="1" x14ac:dyDescent="0.35">
      <c r="AE609" s="2"/>
      <c r="AF609" s="2"/>
      <c r="CP609" s="6"/>
    </row>
    <row r="610" spans="31:94" ht="14.25" customHeight="1" x14ac:dyDescent="0.35">
      <c r="AE610" s="2"/>
      <c r="AF610" s="2"/>
      <c r="CP610" s="6"/>
    </row>
    <row r="611" spans="31:94" ht="14.25" customHeight="1" x14ac:dyDescent="0.35">
      <c r="AE611" s="2"/>
      <c r="AF611" s="2"/>
      <c r="CP611" s="6"/>
    </row>
    <row r="612" spans="31:94" ht="14.25" customHeight="1" x14ac:dyDescent="0.35">
      <c r="AE612" s="2"/>
      <c r="AF612" s="2"/>
      <c r="CP612" s="6"/>
    </row>
    <row r="613" spans="31:94" ht="14.25" customHeight="1" x14ac:dyDescent="0.35">
      <c r="AE613" s="2"/>
      <c r="AF613" s="2"/>
      <c r="CP613" s="6"/>
    </row>
    <row r="614" spans="31:94" ht="14.25" customHeight="1" x14ac:dyDescent="0.35">
      <c r="AE614" s="2"/>
      <c r="AF614" s="2"/>
      <c r="CP614" s="6"/>
    </row>
    <row r="615" spans="31:94" ht="14.25" customHeight="1" x14ac:dyDescent="0.35">
      <c r="AE615" s="2"/>
      <c r="AF615" s="2"/>
      <c r="CP615" s="6"/>
    </row>
    <row r="616" spans="31:94" ht="14.25" customHeight="1" x14ac:dyDescent="0.35">
      <c r="AE616" s="2"/>
      <c r="AF616" s="2"/>
      <c r="CP616" s="6"/>
    </row>
    <row r="617" spans="31:94" ht="14.25" customHeight="1" x14ac:dyDescent="0.35">
      <c r="AE617" s="2"/>
      <c r="AF617" s="2"/>
      <c r="CP617" s="6"/>
    </row>
    <row r="618" spans="31:94" ht="14.25" customHeight="1" x14ac:dyDescent="0.35">
      <c r="AE618" s="2"/>
      <c r="AF618" s="2"/>
      <c r="CP618" s="6"/>
    </row>
    <row r="619" spans="31:94" ht="14.25" customHeight="1" x14ac:dyDescent="0.35">
      <c r="AE619" s="2"/>
      <c r="AF619" s="2"/>
      <c r="CP619" s="6"/>
    </row>
    <row r="620" spans="31:94" ht="14.25" customHeight="1" x14ac:dyDescent="0.35">
      <c r="AE620" s="2"/>
      <c r="AF620" s="2"/>
      <c r="CP620" s="6"/>
    </row>
    <row r="621" spans="31:94" ht="14.25" customHeight="1" x14ac:dyDescent="0.35">
      <c r="AE621" s="2"/>
      <c r="AF621" s="2"/>
      <c r="CP621" s="6"/>
    </row>
    <row r="622" spans="31:94" ht="14.25" customHeight="1" x14ac:dyDescent="0.35">
      <c r="AE622" s="2"/>
      <c r="AF622" s="2"/>
      <c r="CP622" s="6"/>
    </row>
    <row r="623" spans="31:94" ht="14.25" customHeight="1" x14ac:dyDescent="0.35">
      <c r="AE623" s="2"/>
      <c r="AF623" s="2"/>
      <c r="CP623" s="6"/>
    </row>
    <row r="624" spans="31:94" ht="14.25" customHeight="1" x14ac:dyDescent="0.35">
      <c r="AE624" s="2"/>
      <c r="AF624" s="2"/>
      <c r="CP624" s="6"/>
    </row>
    <row r="625" spans="31:94" ht="14.25" customHeight="1" x14ac:dyDescent="0.35">
      <c r="AE625" s="2"/>
      <c r="AF625" s="2"/>
      <c r="CP625" s="6"/>
    </row>
    <row r="626" spans="31:94" ht="14.25" customHeight="1" x14ac:dyDescent="0.35">
      <c r="AE626" s="2"/>
      <c r="AF626" s="2"/>
      <c r="CP626" s="6"/>
    </row>
    <row r="627" spans="31:94" ht="14.25" customHeight="1" x14ac:dyDescent="0.35">
      <c r="AE627" s="2"/>
      <c r="AF627" s="2"/>
      <c r="CP627" s="6"/>
    </row>
    <row r="628" spans="31:94" ht="14.25" customHeight="1" x14ac:dyDescent="0.35">
      <c r="AE628" s="2"/>
      <c r="AF628" s="2"/>
      <c r="CP628" s="6"/>
    </row>
    <row r="629" spans="31:94" ht="14.25" customHeight="1" x14ac:dyDescent="0.35">
      <c r="AE629" s="2"/>
      <c r="AF629" s="2"/>
      <c r="CP629" s="6"/>
    </row>
    <row r="630" spans="31:94" ht="14.25" customHeight="1" x14ac:dyDescent="0.35">
      <c r="AE630" s="2"/>
      <c r="AF630" s="2"/>
      <c r="CP630" s="6"/>
    </row>
    <row r="631" spans="31:94" ht="14.25" customHeight="1" x14ac:dyDescent="0.35">
      <c r="AE631" s="2"/>
      <c r="AF631" s="2"/>
      <c r="CP631" s="6"/>
    </row>
    <row r="632" spans="31:94" ht="14.25" customHeight="1" x14ac:dyDescent="0.35">
      <c r="AE632" s="2"/>
      <c r="AF632" s="2"/>
      <c r="CP632" s="6"/>
    </row>
    <row r="633" spans="31:94" ht="14.25" customHeight="1" x14ac:dyDescent="0.35">
      <c r="AE633" s="2"/>
      <c r="AF633" s="2"/>
      <c r="CP633" s="6"/>
    </row>
    <row r="634" spans="31:94" ht="14.25" customHeight="1" x14ac:dyDescent="0.35">
      <c r="AE634" s="2"/>
      <c r="AF634" s="2"/>
      <c r="CP634" s="6"/>
    </row>
    <row r="635" spans="31:94" ht="14.25" customHeight="1" x14ac:dyDescent="0.35">
      <c r="AE635" s="2"/>
      <c r="AF635" s="2"/>
      <c r="CP635" s="6"/>
    </row>
    <row r="636" spans="31:94" ht="14.25" customHeight="1" x14ac:dyDescent="0.35">
      <c r="AE636" s="2"/>
      <c r="AF636" s="2"/>
      <c r="CP636" s="6"/>
    </row>
    <row r="637" spans="31:94" ht="14.25" customHeight="1" x14ac:dyDescent="0.35">
      <c r="AE637" s="2"/>
      <c r="AF637" s="2"/>
      <c r="CP637" s="6"/>
    </row>
    <row r="638" spans="31:94" ht="14.25" customHeight="1" x14ac:dyDescent="0.35">
      <c r="AE638" s="2"/>
      <c r="AF638" s="2"/>
      <c r="CP638" s="6"/>
    </row>
    <row r="639" spans="31:94" ht="14.25" customHeight="1" x14ac:dyDescent="0.35">
      <c r="AE639" s="2"/>
      <c r="AF639" s="2"/>
      <c r="CP639" s="6"/>
    </row>
    <row r="640" spans="31:94" ht="14.25" customHeight="1" x14ac:dyDescent="0.35">
      <c r="AE640" s="2"/>
      <c r="AF640" s="2"/>
      <c r="CP640" s="6"/>
    </row>
    <row r="641" spans="31:94" ht="14.25" customHeight="1" x14ac:dyDescent="0.35">
      <c r="AE641" s="2"/>
      <c r="AF641" s="2"/>
      <c r="CP641" s="6"/>
    </row>
    <row r="642" spans="31:94" ht="14.25" customHeight="1" x14ac:dyDescent="0.35">
      <c r="AE642" s="2"/>
      <c r="AF642" s="2"/>
      <c r="CP642" s="6"/>
    </row>
    <row r="643" spans="31:94" ht="14.25" customHeight="1" x14ac:dyDescent="0.35">
      <c r="AE643" s="2"/>
      <c r="AF643" s="2"/>
      <c r="CP643" s="6"/>
    </row>
    <row r="644" spans="31:94" ht="14.25" customHeight="1" x14ac:dyDescent="0.35">
      <c r="AE644" s="2"/>
      <c r="AF644" s="2"/>
      <c r="CP644" s="6"/>
    </row>
    <row r="645" spans="31:94" ht="14.25" customHeight="1" x14ac:dyDescent="0.35">
      <c r="AE645" s="2"/>
      <c r="AF645" s="2"/>
      <c r="CP645" s="6"/>
    </row>
    <row r="646" spans="31:94" ht="14.25" customHeight="1" x14ac:dyDescent="0.35">
      <c r="AE646" s="2"/>
      <c r="AF646" s="2"/>
      <c r="CP646" s="6"/>
    </row>
    <row r="647" spans="31:94" ht="14.25" customHeight="1" x14ac:dyDescent="0.35">
      <c r="AE647" s="2"/>
      <c r="AF647" s="2"/>
      <c r="CP647" s="6"/>
    </row>
    <row r="648" spans="31:94" ht="14.25" customHeight="1" x14ac:dyDescent="0.35">
      <c r="AE648" s="2"/>
      <c r="AF648" s="2"/>
      <c r="CP648" s="6"/>
    </row>
    <row r="649" spans="31:94" ht="14.25" customHeight="1" x14ac:dyDescent="0.35">
      <c r="AE649" s="2"/>
      <c r="AF649" s="2"/>
      <c r="CP649" s="6"/>
    </row>
    <row r="650" spans="31:94" ht="14.25" customHeight="1" x14ac:dyDescent="0.35">
      <c r="AE650" s="2"/>
      <c r="AF650" s="2"/>
      <c r="CP650" s="6"/>
    </row>
    <row r="651" spans="31:94" ht="14.25" customHeight="1" x14ac:dyDescent="0.35">
      <c r="AE651" s="2"/>
      <c r="AF651" s="2"/>
      <c r="CP651" s="6"/>
    </row>
    <row r="652" spans="31:94" ht="14.25" customHeight="1" x14ac:dyDescent="0.35">
      <c r="AE652" s="2"/>
      <c r="AF652" s="2"/>
      <c r="CP652" s="6"/>
    </row>
    <row r="653" spans="31:94" ht="14.25" customHeight="1" x14ac:dyDescent="0.35">
      <c r="AE653" s="2"/>
      <c r="AF653" s="2"/>
      <c r="CP653" s="6"/>
    </row>
    <row r="654" spans="31:94" ht="14.25" customHeight="1" x14ac:dyDescent="0.35">
      <c r="AE654" s="2"/>
      <c r="AF654" s="2"/>
      <c r="CP654" s="6"/>
    </row>
    <row r="655" spans="31:94" ht="14.25" customHeight="1" x14ac:dyDescent="0.35">
      <c r="AE655" s="2"/>
      <c r="AF655" s="2"/>
      <c r="CP655" s="6"/>
    </row>
    <row r="656" spans="31:94" ht="14.25" customHeight="1" x14ac:dyDescent="0.35">
      <c r="AE656" s="2"/>
      <c r="AF656" s="2"/>
      <c r="CP656" s="6"/>
    </row>
    <row r="657" spans="31:94" ht="14.25" customHeight="1" x14ac:dyDescent="0.35">
      <c r="AE657" s="2"/>
      <c r="AF657" s="2"/>
      <c r="CP657" s="6"/>
    </row>
    <row r="658" spans="31:94" ht="14.25" customHeight="1" x14ac:dyDescent="0.35">
      <c r="AE658" s="2"/>
      <c r="AF658" s="2"/>
      <c r="CP658" s="6"/>
    </row>
    <row r="659" spans="31:94" ht="14.25" customHeight="1" x14ac:dyDescent="0.35">
      <c r="AE659" s="2"/>
      <c r="AF659" s="2"/>
      <c r="CP659" s="6"/>
    </row>
    <row r="660" spans="31:94" ht="14.25" customHeight="1" x14ac:dyDescent="0.35">
      <c r="AE660" s="2"/>
      <c r="AF660" s="2"/>
      <c r="CP660" s="6"/>
    </row>
    <row r="661" spans="31:94" ht="14.25" customHeight="1" x14ac:dyDescent="0.35">
      <c r="AE661" s="2"/>
      <c r="AF661" s="2"/>
      <c r="CP661" s="6"/>
    </row>
    <row r="662" spans="31:94" ht="14.25" customHeight="1" x14ac:dyDescent="0.35">
      <c r="AE662" s="2"/>
      <c r="AF662" s="2"/>
      <c r="CP662" s="6"/>
    </row>
    <row r="663" spans="31:94" ht="14.25" customHeight="1" x14ac:dyDescent="0.35">
      <c r="AE663" s="2"/>
      <c r="AF663" s="2"/>
      <c r="CP663" s="6"/>
    </row>
    <row r="664" spans="31:94" ht="14.25" customHeight="1" x14ac:dyDescent="0.35">
      <c r="AE664" s="2"/>
      <c r="AF664" s="2"/>
      <c r="CP664" s="6"/>
    </row>
    <row r="665" spans="31:94" ht="14.25" customHeight="1" x14ac:dyDescent="0.35">
      <c r="AE665" s="2"/>
      <c r="AF665" s="2"/>
      <c r="CP665" s="6"/>
    </row>
    <row r="666" spans="31:94" ht="14.25" customHeight="1" x14ac:dyDescent="0.35">
      <c r="AE666" s="2"/>
      <c r="AF666" s="2"/>
      <c r="CP666" s="6"/>
    </row>
    <row r="667" spans="31:94" ht="14.25" customHeight="1" x14ac:dyDescent="0.35">
      <c r="AE667" s="2"/>
      <c r="AF667" s="2"/>
      <c r="CP667" s="6"/>
    </row>
    <row r="668" spans="31:94" ht="14.25" customHeight="1" x14ac:dyDescent="0.35">
      <c r="AE668" s="2"/>
      <c r="AF668" s="2"/>
      <c r="CP668" s="6"/>
    </row>
    <row r="669" spans="31:94" ht="14.25" customHeight="1" x14ac:dyDescent="0.35">
      <c r="AE669" s="2"/>
      <c r="AF669" s="2"/>
      <c r="CP669" s="6"/>
    </row>
    <row r="670" spans="31:94" ht="14.25" customHeight="1" x14ac:dyDescent="0.35">
      <c r="AE670" s="2"/>
      <c r="AF670" s="2"/>
      <c r="CP670" s="6"/>
    </row>
    <row r="671" spans="31:94" ht="14.25" customHeight="1" x14ac:dyDescent="0.35">
      <c r="AE671" s="2"/>
      <c r="AF671" s="2"/>
      <c r="CP671" s="6"/>
    </row>
    <row r="672" spans="31:94" ht="14.25" customHeight="1" x14ac:dyDescent="0.35">
      <c r="AE672" s="2"/>
      <c r="AF672" s="2"/>
      <c r="CP672" s="6"/>
    </row>
    <row r="673" spans="31:94" ht="14.25" customHeight="1" x14ac:dyDescent="0.35">
      <c r="AE673" s="2"/>
      <c r="AF673" s="2"/>
      <c r="CP673" s="6"/>
    </row>
    <row r="674" spans="31:94" ht="14.25" customHeight="1" x14ac:dyDescent="0.35">
      <c r="AE674" s="2"/>
      <c r="AF674" s="2"/>
      <c r="CP674" s="6"/>
    </row>
    <row r="675" spans="31:94" ht="14.25" customHeight="1" x14ac:dyDescent="0.35">
      <c r="AE675" s="2"/>
      <c r="AF675" s="2"/>
      <c r="CP675" s="6"/>
    </row>
    <row r="676" spans="31:94" ht="14.25" customHeight="1" x14ac:dyDescent="0.35">
      <c r="AE676" s="2"/>
      <c r="AF676" s="2"/>
      <c r="CP676" s="6"/>
    </row>
    <row r="677" spans="31:94" ht="14.25" customHeight="1" x14ac:dyDescent="0.35">
      <c r="AE677" s="2"/>
      <c r="AF677" s="2"/>
      <c r="CP677" s="6"/>
    </row>
    <row r="678" spans="31:94" ht="14.25" customHeight="1" x14ac:dyDescent="0.35">
      <c r="AE678" s="2"/>
      <c r="AF678" s="2"/>
      <c r="CP678" s="6"/>
    </row>
    <row r="679" spans="31:94" ht="14.25" customHeight="1" x14ac:dyDescent="0.35">
      <c r="AE679" s="2"/>
      <c r="AF679" s="2"/>
      <c r="CP679" s="6"/>
    </row>
    <row r="680" spans="31:94" ht="14.25" customHeight="1" x14ac:dyDescent="0.35">
      <c r="AE680" s="2"/>
      <c r="AF680" s="2"/>
      <c r="CP680" s="6"/>
    </row>
    <row r="681" spans="31:94" ht="14.25" customHeight="1" x14ac:dyDescent="0.35">
      <c r="AE681" s="2"/>
      <c r="AF681" s="2"/>
      <c r="CP681" s="6"/>
    </row>
    <row r="682" spans="31:94" ht="14.25" customHeight="1" x14ac:dyDescent="0.35">
      <c r="AE682" s="2"/>
      <c r="AF682" s="2"/>
      <c r="CP682" s="6"/>
    </row>
    <row r="683" spans="31:94" ht="14.25" customHeight="1" x14ac:dyDescent="0.35">
      <c r="AE683" s="2"/>
      <c r="AF683" s="2"/>
      <c r="CP683" s="6"/>
    </row>
    <row r="684" spans="31:94" ht="14.25" customHeight="1" x14ac:dyDescent="0.35">
      <c r="AE684" s="2"/>
      <c r="AF684" s="2"/>
      <c r="CP684" s="6"/>
    </row>
    <row r="685" spans="31:94" ht="14.25" customHeight="1" x14ac:dyDescent="0.35">
      <c r="AE685" s="2"/>
      <c r="AF685" s="2"/>
      <c r="CP685" s="6"/>
    </row>
    <row r="686" spans="31:94" ht="14.25" customHeight="1" x14ac:dyDescent="0.35">
      <c r="AE686" s="2"/>
      <c r="AF686" s="2"/>
      <c r="CP686" s="6"/>
    </row>
    <row r="687" spans="31:94" ht="14.25" customHeight="1" x14ac:dyDescent="0.35">
      <c r="AE687" s="2"/>
      <c r="AF687" s="2"/>
      <c r="CP687" s="6"/>
    </row>
    <row r="688" spans="31:94" ht="14.25" customHeight="1" x14ac:dyDescent="0.35">
      <c r="AE688" s="2"/>
      <c r="AF688" s="2"/>
      <c r="CP688" s="6"/>
    </row>
    <row r="689" spans="31:94" ht="14.25" customHeight="1" x14ac:dyDescent="0.35">
      <c r="AE689" s="2"/>
      <c r="AF689" s="2"/>
      <c r="CP689" s="6"/>
    </row>
    <row r="690" spans="31:94" ht="14.25" customHeight="1" x14ac:dyDescent="0.35">
      <c r="AE690" s="2"/>
      <c r="AF690" s="2"/>
      <c r="CP690" s="6"/>
    </row>
    <row r="691" spans="31:94" ht="14.25" customHeight="1" x14ac:dyDescent="0.35">
      <c r="AE691" s="2"/>
      <c r="AF691" s="2"/>
      <c r="CP691" s="6"/>
    </row>
    <row r="692" spans="31:94" ht="14.25" customHeight="1" x14ac:dyDescent="0.35">
      <c r="AE692" s="2"/>
      <c r="AF692" s="2"/>
      <c r="CP692" s="6"/>
    </row>
    <row r="693" spans="31:94" ht="14.25" customHeight="1" x14ac:dyDescent="0.35">
      <c r="AE693" s="2"/>
      <c r="AF693" s="2"/>
      <c r="CP693" s="6"/>
    </row>
    <row r="694" spans="31:94" ht="14.25" customHeight="1" x14ac:dyDescent="0.35">
      <c r="AE694" s="2"/>
      <c r="AF694" s="2"/>
      <c r="CP694" s="6"/>
    </row>
    <row r="695" spans="31:94" ht="14.25" customHeight="1" x14ac:dyDescent="0.35">
      <c r="AE695" s="2"/>
      <c r="AF695" s="2"/>
      <c r="CP695" s="6"/>
    </row>
    <row r="696" spans="31:94" ht="14.25" customHeight="1" x14ac:dyDescent="0.35">
      <c r="AE696" s="2"/>
      <c r="AF696" s="2"/>
      <c r="CP696" s="6"/>
    </row>
    <row r="697" spans="31:94" ht="14.25" customHeight="1" x14ac:dyDescent="0.35">
      <c r="AE697" s="2"/>
      <c r="AF697" s="2"/>
      <c r="CP697" s="6"/>
    </row>
    <row r="698" spans="31:94" ht="14.25" customHeight="1" x14ac:dyDescent="0.35">
      <c r="AE698" s="2"/>
      <c r="AF698" s="2"/>
      <c r="CP698" s="6"/>
    </row>
    <row r="699" spans="31:94" ht="14.25" customHeight="1" x14ac:dyDescent="0.35">
      <c r="AE699" s="2"/>
      <c r="AF699" s="2"/>
      <c r="CP699" s="6"/>
    </row>
    <row r="700" spans="31:94" ht="14.25" customHeight="1" x14ac:dyDescent="0.35">
      <c r="AE700" s="2"/>
      <c r="AF700" s="2"/>
      <c r="CP700" s="6"/>
    </row>
    <row r="701" spans="31:94" ht="14.25" customHeight="1" x14ac:dyDescent="0.35">
      <c r="AE701" s="2"/>
      <c r="AF701" s="2"/>
      <c r="CP701" s="6"/>
    </row>
    <row r="702" spans="31:94" ht="14.25" customHeight="1" x14ac:dyDescent="0.35">
      <c r="AE702" s="2"/>
      <c r="AF702" s="2"/>
      <c r="CP702" s="6"/>
    </row>
    <row r="703" spans="31:94" ht="14.25" customHeight="1" x14ac:dyDescent="0.35">
      <c r="AE703" s="2"/>
      <c r="AF703" s="2"/>
      <c r="CP703" s="6"/>
    </row>
    <row r="704" spans="31:94" ht="14.25" customHeight="1" x14ac:dyDescent="0.35">
      <c r="AE704" s="2"/>
      <c r="AF704" s="2"/>
      <c r="CP704" s="6"/>
    </row>
    <row r="705" spans="31:94" ht="14.25" customHeight="1" x14ac:dyDescent="0.35">
      <c r="AE705" s="2"/>
      <c r="AF705" s="2"/>
      <c r="CP705" s="6"/>
    </row>
    <row r="706" spans="31:94" ht="14.25" customHeight="1" x14ac:dyDescent="0.35">
      <c r="AE706" s="2"/>
      <c r="AF706" s="2"/>
      <c r="CP706" s="6"/>
    </row>
    <row r="707" spans="31:94" ht="14.25" customHeight="1" x14ac:dyDescent="0.35">
      <c r="AE707" s="2"/>
      <c r="AF707" s="2"/>
      <c r="CP707" s="6"/>
    </row>
    <row r="708" spans="31:94" ht="14.25" customHeight="1" x14ac:dyDescent="0.35">
      <c r="AE708" s="2"/>
      <c r="AF708" s="2"/>
      <c r="CP708" s="6"/>
    </row>
    <row r="709" spans="31:94" ht="14.25" customHeight="1" x14ac:dyDescent="0.35">
      <c r="AE709" s="2"/>
      <c r="AF709" s="2"/>
      <c r="CP709" s="6"/>
    </row>
    <row r="710" spans="31:94" ht="14.25" customHeight="1" x14ac:dyDescent="0.35">
      <c r="AE710" s="2"/>
      <c r="AF710" s="2"/>
      <c r="CP710" s="6"/>
    </row>
    <row r="711" spans="31:94" ht="14.25" customHeight="1" x14ac:dyDescent="0.35">
      <c r="AE711" s="2"/>
      <c r="AF711" s="2"/>
      <c r="CP711" s="6"/>
    </row>
    <row r="712" spans="31:94" ht="14.25" customHeight="1" x14ac:dyDescent="0.35">
      <c r="AE712" s="2"/>
      <c r="AF712" s="2"/>
      <c r="CP712" s="6"/>
    </row>
    <row r="713" spans="31:94" ht="14.25" customHeight="1" x14ac:dyDescent="0.35">
      <c r="AE713" s="2"/>
      <c r="AF713" s="2"/>
      <c r="CP713" s="6"/>
    </row>
    <row r="714" spans="31:94" ht="14.25" customHeight="1" x14ac:dyDescent="0.35">
      <c r="AE714" s="2"/>
      <c r="AF714" s="2"/>
      <c r="CP714" s="6"/>
    </row>
    <row r="715" spans="31:94" ht="14.25" customHeight="1" x14ac:dyDescent="0.35">
      <c r="AE715" s="2"/>
      <c r="AF715" s="2"/>
      <c r="CP715" s="6"/>
    </row>
    <row r="716" spans="31:94" ht="14.25" customHeight="1" x14ac:dyDescent="0.35">
      <c r="AE716" s="2"/>
      <c r="AF716" s="2"/>
      <c r="CP716" s="6"/>
    </row>
    <row r="717" spans="31:94" ht="14.25" customHeight="1" x14ac:dyDescent="0.35">
      <c r="AE717" s="2"/>
      <c r="AF717" s="2"/>
      <c r="CP717" s="6"/>
    </row>
    <row r="718" spans="31:94" ht="14.25" customHeight="1" x14ac:dyDescent="0.35">
      <c r="AE718" s="2"/>
      <c r="AF718" s="2"/>
      <c r="CP718" s="6"/>
    </row>
    <row r="719" spans="31:94" ht="14.25" customHeight="1" x14ac:dyDescent="0.35">
      <c r="AE719" s="2"/>
      <c r="AF719" s="2"/>
      <c r="CP719" s="6"/>
    </row>
    <row r="720" spans="31:94" ht="14.25" customHeight="1" x14ac:dyDescent="0.35">
      <c r="AE720" s="2"/>
      <c r="AF720" s="2"/>
      <c r="CP720" s="6"/>
    </row>
    <row r="721" spans="31:94" ht="14.25" customHeight="1" x14ac:dyDescent="0.35">
      <c r="AE721" s="2"/>
      <c r="AF721" s="2"/>
      <c r="CP721" s="6"/>
    </row>
    <row r="722" spans="31:94" ht="14.25" customHeight="1" x14ac:dyDescent="0.35">
      <c r="AE722" s="2"/>
      <c r="AF722" s="2"/>
      <c r="CP722" s="6"/>
    </row>
    <row r="723" spans="31:94" ht="14.25" customHeight="1" x14ac:dyDescent="0.35">
      <c r="AE723" s="2"/>
      <c r="AF723" s="2"/>
      <c r="CP723" s="6"/>
    </row>
    <row r="724" spans="31:94" ht="14.25" customHeight="1" x14ac:dyDescent="0.35">
      <c r="AE724" s="2"/>
      <c r="AF724" s="2"/>
      <c r="CP724" s="6"/>
    </row>
    <row r="725" spans="31:94" ht="14.25" customHeight="1" x14ac:dyDescent="0.35">
      <c r="AE725" s="2"/>
      <c r="AF725" s="2"/>
      <c r="CP725" s="6"/>
    </row>
    <row r="726" spans="31:94" ht="14.25" customHeight="1" x14ac:dyDescent="0.35">
      <c r="AE726" s="2"/>
      <c r="AF726" s="2"/>
      <c r="CP726" s="6"/>
    </row>
    <row r="727" spans="31:94" ht="14.25" customHeight="1" x14ac:dyDescent="0.35">
      <c r="AE727" s="2"/>
      <c r="AF727" s="2"/>
      <c r="CP727" s="6"/>
    </row>
    <row r="728" spans="31:94" ht="14.25" customHeight="1" x14ac:dyDescent="0.35">
      <c r="AE728" s="2"/>
      <c r="AF728" s="2"/>
      <c r="CP728" s="6"/>
    </row>
    <row r="729" spans="31:94" ht="14.25" customHeight="1" x14ac:dyDescent="0.35">
      <c r="AE729" s="2"/>
      <c r="AF729" s="2"/>
      <c r="CP729" s="6"/>
    </row>
    <row r="730" spans="31:94" ht="14.25" customHeight="1" x14ac:dyDescent="0.35">
      <c r="AE730" s="2"/>
      <c r="AF730" s="2"/>
      <c r="CP730" s="6"/>
    </row>
    <row r="731" spans="31:94" ht="14.25" customHeight="1" x14ac:dyDescent="0.35">
      <c r="AE731" s="2"/>
      <c r="AF731" s="2"/>
      <c r="CP731" s="6"/>
    </row>
    <row r="732" spans="31:94" ht="14.25" customHeight="1" x14ac:dyDescent="0.35">
      <c r="AE732" s="2"/>
      <c r="AF732" s="2"/>
      <c r="CP732" s="6"/>
    </row>
    <row r="733" spans="31:94" ht="14.25" customHeight="1" x14ac:dyDescent="0.35">
      <c r="AE733" s="2"/>
      <c r="AF733" s="2"/>
      <c r="CP733" s="6"/>
    </row>
    <row r="734" spans="31:94" ht="14.25" customHeight="1" x14ac:dyDescent="0.35">
      <c r="AE734" s="2"/>
      <c r="AF734" s="2"/>
      <c r="CP734" s="6"/>
    </row>
    <row r="735" spans="31:94" ht="14.25" customHeight="1" x14ac:dyDescent="0.35">
      <c r="AE735" s="2"/>
      <c r="AF735" s="2"/>
      <c r="CP735" s="6"/>
    </row>
    <row r="736" spans="31:94" ht="14.25" customHeight="1" x14ac:dyDescent="0.35">
      <c r="AE736" s="2"/>
      <c r="AF736" s="2"/>
      <c r="CP736" s="6"/>
    </row>
    <row r="737" spans="31:94" ht="14.25" customHeight="1" x14ac:dyDescent="0.35">
      <c r="AE737" s="2"/>
      <c r="AF737" s="2"/>
      <c r="CP737" s="6"/>
    </row>
    <row r="738" spans="31:94" ht="14.25" customHeight="1" x14ac:dyDescent="0.35">
      <c r="AE738" s="2"/>
      <c r="AF738" s="2"/>
      <c r="CP738" s="6"/>
    </row>
    <row r="739" spans="31:94" ht="14.25" customHeight="1" x14ac:dyDescent="0.35">
      <c r="AE739" s="2"/>
      <c r="AF739" s="2"/>
      <c r="CP739" s="6"/>
    </row>
    <row r="740" spans="31:94" ht="14.25" customHeight="1" x14ac:dyDescent="0.35">
      <c r="AE740" s="2"/>
      <c r="AF740" s="2"/>
      <c r="CP740" s="6"/>
    </row>
    <row r="741" spans="31:94" ht="14.25" customHeight="1" x14ac:dyDescent="0.35">
      <c r="AE741" s="2"/>
      <c r="AF741" s="2"/>
      <c r="CP741" s="6"/>
    </row>
    <row r="742" spans="31:94" ht="14.25" customHeight="1" x14ac:dyDescent="0.35">
      <c r="AE742" s="2"/>
      <c r="AF742" s="2"/>
      <c r="CP742" s="6"/>
    </row>
    <row r="743" spans="31:94" ht="14.25" customHeight="1" x14ac:dyDescent="0.35">
      <c r="AE743" s="2"/>
      <c r="AF743" s="2"/>
      <c r="CP743" s="6"/>
    </row>
    <row r="744" spans="31:94" ht="14.25" customHeight="1" x14ac:dyDescent="0.35">
      <c r="AE744" s="2"/>
      <c r="AF744" s="2"/>
      <c r="CP744" s="6"/>
    </row>
    <row r="745" spans="31:94" ht="14.25" customHeight="1" x14ac:dyDescent="0.35">
      <c r="AE745" s="2"/>
      <c r="AF745" s="2"/>
      <c r="CP745" s="6"/>
    </row>
    <row r="746" spans="31:94" ht="14.25" customHeight="1" x14ac:dyDescent="0.35">
      <c r="AE746" s="2"/>
      <c r="AF746" s="2"/>
      <c r="CP746" s="6"/>
    </row>
    <row r="747" spans="31:94" ht="14.25" customHeight="1" x14ac:dyDescent="0.35">
      <c r="AE747" s="2"/>
      <c r="AF747" s="2"/>
      <c r="CP747" s="6"/>
    </row>
    <row r="748" spans="31:94" ht="14.25" customHeight="1" x14ac:dyDescent="0.35">
      <c r="AE748" s="2"/>
      <c r="AF748" s="2"/>
      <c r="CP748" s="6"/>
    </row>
    <row r="749" spans="31:94" ht="14.25" customHeight="1" x14ac:dyDescent="0.35">
      <c r="AE749" s="2"/>
      <c r="AF749" s="2"/>
      <c r="CP749" s="6"/>
    </row>
    <row r="750" spans="31:94" ht="14.25" customHeight="1" x14ac:dyDescent="0.35">
      <c r="AE750" s="2"/>
      <c r="AF750" s="2"/>
      <c r="CP750" s="6"/>
    </row>
    <row r="751" spans="31:94" ht="14.25" customHeight="1" x14ac:dyDescent="0.35">
      <c r="AE751" s="2"/>
      <c r="AF751" s="2"/>
      <c r="CP751" s="6"/>
    </row>
    <row r="752" spans="31:94" ht="14.25" customHeight="1" x14ac:dyDescent="0.35">
      <c r="AE752" s="2"/>
      <c r="AF752" s="2"/>
      <c r="CP752" s="6"/>
    </row>
    <row r="753" spans="31:94" ht="14.25" customHeight="1" x14ac:dyDescent="0.35">
      <c r="AE753" s="2"/>
      <c r="AF753" s="2"/>
      <c r="CP753" s="6"/>
    </row>
    <row r="754" spans="31:94" ht="14.25" customHeight="1" x14ac:dyDescent="0.35">
      <c r="AE754" s="2"/>
      <c r="AF754" s="2"/>
      <c r="CP754" s="6"/>
    </row>
    <row r="755" spans="31:94" ht="14.25" customHeight="1" x14ac:dyDescent="0.35">
      <c r="AE755" s="2"/>
      <c r="AF755" s="2"/>
      <c r="CP755" s="6"/>
    </row>
    <row r="756" spans="31:94" ht="14.25" customHeight="1" x14ac:dyDescent="0.35">
      <c r="AE756" s="2"/>
      <c r="AF756" s="2"/>
      <c r="CP756" s="6"/>
    </row>
    <row r="757" spans="31:94" ht="14.25" customHeight="1" x14ac:dyDescent="0.35">
      <c r="AE757" s="2"/>
      <c r="AF757" s="2"/>
      <c r="CP757" s="6"/>
    </row>
    <row r="758" spans="31:94" ht="14.25" customHeight="1" x14ac:dyDescent="0.35">
      <c r="AE758" s="2"/>
      <c r="AF758" s="2"/>
      <c r="CP758" s="6"/>
    </row>
    <row r="759" spans="31:94" ht="14.25" customHeight="1" x14ac:dyDescent="0.35">
      <c r="AE759" s="2"/>
      <c r="AF759" s="2"/>
      <c r="CP759" s="6"/>
    </row>
    <row r="760" spans="31:94" ht="14.25" customHeight="1" x14ac:dyDescent="0.35">
      <c r="AE760" s="2"/>
      <c r="AF760" s="2"/>
      <c r="CP760" s="6"/>
    </row>
    <row r="761" spans="31:94" ht="14.25" customHeight="1" x14ac:dyDescent="0.35">
      <c r="AE761" s="2"/>
      <c r="AF761" s="2"/>
      <c r="CP761" s="6"/>
    </row>
    <row r="762" spans="31:94" ht="14.25" customHeight="1" x14ac:dyDescent="0.35">
      <c r="AE762" s="2"/>
      <c r="AF762" s="2"/>
      <c r="CP762" s="6"/>
    </row>
    <row r="763" spans="31:94" ht="14.25" customHeight="1" x14ac:dyDescent="0.35">
      <c r="AE763" s="2"/>
      <c r="AF763" s="2"/>
      <c r="CP763" s="6"/>
    </row>
    <row r="764" spans="31:94" ht="14.25" customHeight="1" x14ac:dyDescent="0.35">
      <c r="AE764" s="2"/>
      <c r="AF764" s="2"/>
      <c r="CP764" s="6"/>
    </row>
    <row r="765" spans="31:94" ht="14.25" customHeight="1" x14ac:dyDescent="0.35">
      <c r="AE765" s="2"/>
      <c r="AF765" s="2"/>
      <c r="CP765" s="6"/>
    </row>
    <row r="766" spans="31:94" ht="14.25" customHeight="1" x14ac:dyDescent="0.35">
      <c r="AE766" s="2"/>
      <c r="AF766" s="2"/>
      <c r="CP766" s="6"/>
    </row>
    <row r="767" spans="31:94" ht="14.25" customHeight="1" x14ac:dyDescent="0.35">
      <c r="AE767" s="2"/>
      <c r="AF767" s="2"/>
      <c r="CP767" s="6"/>
    </row>
    <row r="768" spans="31:94" ht="14.25" customHeight="1" x14ac:dyDescent="0.35">
      <c r="AE768" s="2"/>
      <c r="AF768" s="2"/>
      <c r="CP768" s="6"/>
    </row>
    <row r="769" spans="31:94" ht="14.25" customHeight="1" x14ac:dyDescent="0.35">
      <c r="AE769" s="2"/>
      <c r="AF769" s="2"/>
      <c r="CP769" s="6"/>
    </row>
    <row r="770" spans="31:94" ht="14.25" customHeight="1" x14ac:dyDescent="0.35">
      <c r="AE770" s="2"/>
      <c r="AF770" s="2"/>
      <c r="CP770" s="6"/>
    </row>
    <row r="771" spans="31:94" ht="14.25" customHeight="1" x14ac:dyDescent="0.35">
      <c r="AE771" s="2"/>
      <c r="AF771" s="2"/>
      <c r="CP771" s="6"/>
    </row>
    <row r="772" spans="31:94" ht="14.25" customHeight="1" x14ac:dyDescent="0.35">
      <c r="AE772" s="2"/>
      <c r="AF772" s="2"/>
      <c r="CP772" s="6"/>
    </row>
    <row r="773" spans="31:94" ht="14.25" customHeight="1" x14ac:dyDescent="0.35">
      <c r="AE773" s="2"/>
      <c r="AF773" s="2"/>
      <c r="CP773" s="6"/>
    </row>
    <row r="774" spans="31:94" ht="14.25" customHeight="1" x14ac:dyDescent="0.35">
      <c r="AE774" s="2"/>
      <c r="AF774" s="2"/>
      <c r="CP774" s="6"/>
    </row>
    <row r="775" spans="31:94" ht="14.25" customHeight="1" x14ac:dyDescent="0.35">
      <c r="AE775" s="2"/>
      <c r="AF775" s="2"/>
      <c r="CP775" s="6"/>
    </row>
    <row r="776" spans="31:94" ht="14.25" customHeight="1" x14ac:dyDescent="0.35">
      <c r="AE776" s="2"/>
      <c r="AF776" s="2"/>
      <c r="CP776" s="6"/>
    </row>
    <row r="777" spans="31:94" ht="14.25" customHeight="1" x14ac:dyDescent="0.35">
      <c r="AE777" s="2"/>
      <c r="AF777" s="2"/>
      <c r="CP777" s="6"/>
    </row>
    <row r="778" spans="31:94" ht="14.25" customHeight="1" x14ac:dyDescent="0.35">
      <c r="AE778" s="2"/>
      <c r="AF778" s="2"/>
      <c r="CP778" s="6"/>
    </row>
    <row r="779" spans="31:94" ht="14.25" customHeight="1" x14ac:dyDescent="0.35">
      <c r="AE779" s="2"/>
      <c r="AF779" s="2"/>
      <c r="CP779" s="6"/>
    </row>
    <row r="780" spans="31:94" ht="14.25" customHeight="1" x14ac:dyDescent="0.35">
      <c r="AE780" s="2"/>
      <c r="AF780" s="2"/>
      <c r="CP780" s="6"/>
    </row>
    <row r="781" spans="31:94" ht="14.25" customHeight="1" x14ac:dyDescent="0.35">
      <c r="AE781" s="2"/>
      <c r="AF781" s="2"/>
      <c r="CP781" s="6"/>
    </row>
    <row r="782" spans="31:94" ht="14.25" customHeight="1" x14ac:dyDescent="0.35">
      <c r="AE782" s="2"/>
      <c r="AF782" s="2"/>
      <c r="CP782" s="6"/>
    </row>
    <row r="783" spans="31:94" ht="14.25" customHeight="1" x14ac:dyDescent="0.35">
      <c r="AE783" s="2"/>
      <c r="AF783" s="2"/>
      <c r="CP783" s="6"/>
    </row>
    <row r="784" spans="31:94" ht="14.25" customHeight="1" x14ac:dyDescent="0.35">
      <c r="AE784" s="2"/>
      <c r="AF784" s="2"/>
      <c r="CP784" s="6"/>
    </row>
    <row r="785" spans="31:94" ht="14.25" customHeight="1" x14ac:dyDescent="0.35">
      <c r="AE785" s="2"/>
      <c r="AF785" s="2"/>
      <c r="CP785" s="6"/>
    </row>
    <row r="786" spans="31:94" ht="14.25" customHeight="1" x14ac:dyDescent="0.35">
      <c r="AE786" s="2"/>
      <c r="AF786" s="2"/>
      <c r="CP786" s="6"/>
    </row>
    <row r="787" spans="31:94" ht="14.25" customHeight="1" x14ac:dyDescent="0.35">
      <c r="AE787" s="2"/>
      <c r="AF787" s="2"/>
      <c r="CP787" s="6"/>
    </row>
    <row r="788" spans="31:94" ht="14.25" customHeight="1" x14ac:dyDescent="0.35">
      <c r="AE788" s="2"/>
      <c r="AF788" s="2"/>
      <c r="CP788" s="6"/>
    </row>
    <row r="789" spans="31:94" ht="14.25" customHeight="1" x14ac:dyDescent="0.35">
      <c r="AE789" s="2"/>
      <c r="AF789" s="2"/>
      <c r="CP789" s="6"/>
    </row>
    <row r="790" spans="31:94" ht="14.25" customHeight="1" x14ac:dyDescent="0.35">
      <c r="AE790" s="2"/>
      <c r="AF790" s="2"/>
      <c r="CP790" s="6"/>
    </row>
    <row r="791" spans="31:94" ht="14.25" customHeight="1" x14ac:dyDescent="0.35">
      <c r="AE791" s="2"/>
      <c r="AF791" s="2"/>
      <c r="CP791" s="6"/>
    </row>
    <row r="792" spans="31:94" ht="14.25" customHeight="1" x14ac:dyDescent="0.35">
      <c r="AE792" s="2"/>
      <c r="AF792" s="2"/>
      <c r="CP792" s="6"/>
    </row>
    <row r="793" spans="31:94" ht="14.25" customHeight="1" x14ac:dyDescent="0.35">
      <c r="AE793" s="2"/>
      <c r="AF793" s="2"/>
      <c r="CP793" s="6"/>
    </row>
    <row r="794" spans="31:94" ht="14.25" customHeight="1" x14ac:dyDescent="0.35">
      <c r="AE794" s="2"/>
      <c r="AF794" s="2"/>
      <c r="CP794" s="6"/>
    </row>
    <row r="795" spans="31:94" ht="14.25" customHeight="1" x14ac:dyDescent="0.35">
      <c r="AE795" s="2"/>
      <c r="AF795" s="2"/>
      <c r="CP795" s="6"/>
    </row>
    <row r="796" spans="31:94" ht="14.25" customHeight="1" x14ac:dyDescent="0.35">
      <c r="AE796" s="2"/>
      <c r="AF796" s="2"/>
      <c r="CP796" s="6"/>
    </row>
    <row r="797" spans="31:94" ht="14.25" customHeight="1" x14ac:dyDescent="0.35">
      <c r="AE797" s="2"/>
      <c r="AF797" s="2"/>
      <c r="CP797" s="6"/>
    </row>
    <row r="798" spans="31:94" ht="14.25" customHeight="1" x14ac:dyDescent="0.35">
      <c r="AE798" s="2"/>
      <c r="AF798" s="2"/>
      <c r="CP798" s="6"/>
    </row>
    <row r="799" spans="31:94" ht="14.25" customHeight="1" x14ac:dyDescent="0.35">
      <c r="AE799" s="2"/>
      <c r="AF799" s="2"/>
      <c r="CP799" s="6"/>
    </row>
    <row r="800" spans="31:94" ht="14.25" customHeight="1" x14ac:dyDescent="0.35">
      <c r="AE800" s="2"/>
      <c r="AF800" s="2"/>
      <c r="CP800" s="6"/>
    </row>
    <row r="801" spans="31:94" ht="14.25" customHeight="1" x14ac:dyDescent="0.35">
      <c r="AE801" s="2"/>
      <c r="AF801" s="2"/>
      <c r="CP801" s="6"/>
    </row>
    <row r="802" spans="31:94" ht="14.25" customHeight="1" x14ac:dyDescent="0.35">
      <c r="AE802" s="2"/>
      <c r="AF802" s="2"/>
      <c r="CP802" s="6"/>
    </row>
    <row r="803" spans="31:94" ht="14.25" customHeight="1" x14ac:dyDescent="0.35">
      <c r="AE803" s="2"/>
      <c r="AF803" s="2"/>
      <c r="CP803" s="6"/>
    </row>
    <row r="804" spans="31:94" ht="14.25" customHeight="1" x14ac:dyDescent="0.35">
      <c r="AE804" s="2"/>
      <c r="AF804" s="2"/>
      <c r="CP804" s="6"/>
    </row>
    <row r="805" spans="31:94" ht="14.25" customHeight="1" x14ac:dyDescent="0.35">
      <c r="AE805" s="2"/>
      <c r="AF805" s="2"/>
      <c r="CP805" s="6"/>
    </row>
    <row r="806" spans="31:94" ht="14.25" customHeight="1" x14ac:dyDescent="0.35">
      <c r="AE806" s="2"/>
      <c r="AF806" s="2"/>
      <c r="CP806" s="6"/>
    </row>
    <row r="807" spans="31:94" ht="14.25" customHeight="1" x14ac:dyDescent="0.35">
      <c r="AE807" s="2"/>
      <c r="AF807" s="2"/>
      <c r="CP807" s="6"/>
    </row>
    <row r="808" spans="31:94" ht="14.25" customHeight="1" x14ac:dyDescent="0.35">
      <c r="AE808" s="2"/>
      <c r="AF808" s="2"/>
      <c r="CP808" s="6"/>
    </row>
    <row r="809" spans="31:94" ht="14.25" customHeight="1" x14ac:dyDescent="0.35">
      <c r="AE809" s="2"/>
      <c r="AF809" s="2"/>
      <c r="CP809" s="6"/>
    </row>
    <row r="810" spans="31:94" ht="14.25" customHeight="1" x14ac:dyDescent="0.35">
      <c r="AE810" s="2"/>
      <c r="AF810" s="2"/>
      <c r="CP810" s="6"/>
    </row>
    <row r="811" spans="31:94" ht="14.25" customHeight="1" x14ac:dyDescent="0.35">
      <c r="AE811" s="2"/>
      <c r="AF811" s="2"/>
      <c r="CP811" s="6"/>
    </row>
    <row r="812" spans="31:94" ht="14.25" customHeight="1" x14ac:dyDescent="0.35">
      <c r="AE812" s="2"/>
      <c r="AF812" s="2"/>
      <c r="CP812" s="6"/>
    </row>
    <row r="813" spans="31:94" ht="14.25" customHeight="1" x14ac:dyDescent="0.35">
      <c r="AE813" s="2"/>
      <c r="AF813" s="2"/>
      <c r="CP813" s="6"/>
    </row>
    <row r="814" spans="31:94" ht="14.25" customHeight="1" x14ac:dyDescent="0.35">
      <c r="AE814" s="2"/>
      <c r="AF814" s="2"/>
      <c r="CP814" s="6"/>
    </row>
    <row r="815" spans="31:94" ht="14.25" customHeight="1" x14ac:dyDescent="0.35">
      <c r="AE815" s="2"/>
      <c r="AF815" s="2"/>
      <c r="CP815" s="6"/>
    </row>
    <row r="816" spans="31:94" ht="14.25" customHeight="1" x14ac:dyDescent="0.35">
      <c r="AE816" s="2"/>
      <c r="AF816" s="2"/>
      <c r="CP816" s="6"/>
    </row>
    <row r="817" spans="31:94" ht="14.25" customHeight="1" x14ac:dyDescent="0.35">
      <c r="AE817" s="2"/>
      <c r="AF817" s="2"/>
      <c r="CP817" s="6"/>
    </row>
    <row r="818" spans="31:94" ht="14.25" customHeight="1" x14ac:dyDescent="0.35">
      <c r="AE818" s="2"/>
      <c r="AF818" s="2"/>
      <c r="CP818" s="6"/>
    </row>
    <row r="819" spans="31:94" ht="14.25" customHeight="1" x14ac:dyDescent="0.35">
      <c r="AE819" s="2"/>
      <c r="AF819" s="2"/>
      <c r="CP819" s="6"/>
    </row>
    <row r="820" spans="31:94" ht="14.25" customHeight="1" x14ac:dyDescent="0.35">
      <c r="AE820" s="2"/>
      <c r="AF820" s="2"/>
      <c r="CP820" s="6"/>
    </row>
    <row r="821" spans="31:94" ht="14.25" customHeight="1" x14ac:dyDescent="0.35">
      <c r="AE821" s="2"/>
      <c r="AF821" s="2"/>
      <c r="CP821" s="6"/>
    </row>
    <row r="822" spans="31:94" ht="14.25" customHeight="1" x14ac:dyDescent="0.35">
      <c r="AE822" s="2"/>
      <c r="AF822" s="2"/>
      <c r="CP822" s="6"/>
    </row>
    <row r="823" spans="31:94" ht="14.25" customHeight="1" x14ac:dyDescent="0.35">
      <c r="AE823" s="2"/>
      <c r="AF823" s="2"/>
      <c r="CP823" s="6"/>
    </row>
    <row r="824" spans="31:94" ht="14.25" customHeight="1" x14ac:dyDescent="0.35">
      <c r="AE824" s="2"/>
      <c r="AF824" s="2"/>
      <c r="CP824" s="6"/>
    </row>
    <row r="825" spans="31:94" ht="14.25" customHeight="1" x14ac:dyDescent="0.35">
      <c r="AE825" s="2"/>
      <c r="AF825" s="2"/>
      <c r="CP825" s="6"/>
    </row>
    <row r="826" spans="31:94" ht="14.25" customHeight="1" x14ac:dyDescent="0.35">
      <c r="AE826" s="2"/>
      <c r="AF826" s="2"/>
      <c r="CP826" s="6"/>
    </row>
    <row r="827" spans="31:94" ht="14.25" customHeight="1" x14ac:dyDescent="0.35">
      <c r="AE827" s="2"/>
      <c r="AF827" s="2"/>
      <c r="CP827" s="6"/>
    </row>
    <row r="828" spans="31:94" ht="14.25" customHeight="1" x14ac:dyDescent="0.35">
      <c r="AE828" s="2"/>
      <c r="AF828" s="2"/>
      <c r="CP828" s="6"/>
    </row>
    <row r="829" spans="31:94" ht="14.25" customHeight="1" x14ac:dyDescent="0.35">
      <c r="AE829" s="2"/>
      <c r="AF829" s="2"/>
      <c r="CP829" s="6"/>
    </row>
    <row r="830" spans="31:94" ht="14.25" customHeight="1" x14ac:dyDescent="0.35">
      <c r="AE830" s="2"/>
      <c r="AF830" s="2"/>
      <c r="CP830" s="6"/>
    </row>
    <row r="831" spans="31:94" ht="14.25" customHeight="1" x14ac:dyDescent="0.35">
      <c r="AE831" s="2"/>
      <c r="AF831" s="2"/>
      <c r="CP831" s="6"/>
    </row>
    <row r="832" spans="31:94" ht="14.25" customHeight="1" x14ac:dyDescent="0.35">
      <c r="AE832" s="2"/>
      <c r="AF832" s="2"/>
      <c r="CP832" s="6"/>
    </row>
    <row r="833" spans="31:94" ht="14.25" customHeight="1" x14ac:dyDescent="0.35">
      <c r="AE833" s="2"/>
      <c r="AF833" s="2"/>
      <c r="CP833" s="6"/>
    </row>
    <row r="834" spans="31:94" ht="14.25" customHeight="1" x14ac:dyDescent="0.35">
      <c r="AE834" s="2"/>
      <c r="AF834" s="2"/>
      <c r="CP834" s="6"/>
    </row>
    <row r="835" spans="31:94" ht="14.25" customHeight="1" x14ac:dyDescent="0.35">
      <c r="AE835" s="2"/>
      <c r="AF835" s="2"/>
      <c r="CP835" s="6"/>
    </row>
    <row r="836" spans="31:94" ht="14.25" customHeight="1" x14ac:dyDescent="0.35">
      <c r="AE836" s="2"/>
      <c r="AF836" s="2"/>
      <c r="CP836" s="6"/>
    </row>
    <row r="837" spans="31:94" ht="14.25" customHeight="1" x14ac:dyDescent="0.35">
      <c r="AE837" s="2"/>
      <c r="AF837" s="2"/>
      <c r="CP837" s="6"/>
    </row>
    <row r="838" spans="31:94" ht="14.25" customHeight="1" x14ac:dyDescent="0.35">
      <c r="AE838" s="2"/>
      <c r="AF838" s="2"/>
      <c r="CP838" s="6"/>
    </row>
    <row r="839" spans="31:94" ht="14.25" customHeight="1" x14ac:dyDescent="0.35">
      <c r="AE839" s="2"/>
      <c r="AF839" s="2"/>
      <c r="CP839" s="6"/>
    </row>
    <row r="840" spans="31:94" ht="14.25" customHeight="1" x14ac:dyDescent="0.35">
      <c r="AE840" s="2"/>
      <c r="AF840" s="2"/>
      <c r="CP840" s="6"/>
    </row>
    <row r="841" spans="31:94" ht="14.25" customHeight="1" x14ac:dyDescent="0.35">
      <c r="AE841" s="2"/>
      <c r="AF841" s="2"/>
      <c r="CP841" s="6"/>
    </row>
    <row r="842" spans="31:94" ht="14.25" customHeight="1" x14ac:dyDescent="0.35">
      <c r="AE842" s="2"/>
      <c r="AF842" s="2"/>
      <c r="CP842" s="6"/>
    </row>
    <row r="843" spans="31:94" ht="14.25" customHeight="1" x14ac:dyDescent="0.35">
      <c r="AE843" s="2"/>
      <c r="AF843" s="2"/>
      <c r="CP843" s="6"/>
    </row>
    <row r="844" spans="31:94" ht="14.25" customHeight="1" x14ac:dyDescent="0.35">
      <c r="AE844" s="2"/>
      <c r="AF844" s="2"/>
      <c r="CP844" s="6"/>
    </row>
    <row r="845" spans="31:94" ht="14.25" customHeight="1" x14ac:dyDescent="0.35">
      <c r="AE845" s="2"/>
      <c r="AF845" s="2"/>
      <c r="CP845" s="6"/>
    </row>
    <row r="846" spans="31:94" ht="14.25" customHeight="1" x14ac:dyDescent="0.35">
      <c r="AE846" s="2"/>
      <c r="AF846" s="2"/>
      <c r="CP846" s="6"/>
    </row>
    <row r="847" spans="31:94" ht="14.25" customHeight="1" x14ac:dyDescent="0.35">
      <c r="AE847" s="2"/>
      <c r="AF847" s="2"/>
      <c r="CP847" s="6"/>
    </row>
    <row r="848" spans="31:94" ht="14.25" customHeight="1" x14ac:dyDescent="0.35">
      <c r="AE848" s="2"/>
      <c r="AF848" s="2"/>
      <c r="CP848" s="6"/>
    </row>
    <row r="849" spans="31:94" ht="14.25" customHeight="1" x14ac:dyDescent="0.35">
      <c r="AE849" s="2"/>
      <c r="AF849" s="2"/>
      <c r="CP849" s="6"/>
    </row>
    <row r="850" spans="31:94" ht="14.25" customHeight="1" x14ac:dyDescent="0.35">
      <c r="AE850" s="2"/>
      <c r="AF850" s="2"/>
      <c r="CP850" s="6"/>
    </row>
    <row r="851" spans="31:94" ht="14.25" customHeight="1" x14ac:dyDescent="0.35">
      <c r="AE851" s="2"/>
      <c r="AF851" s="2"/>
      <c r="CP851" s="6"/>
    </row>
    <row r="852" spans="31:94" ht="14.25" customHeight="1" x14ac:dyDescent="0.35">
      <c r="AE852" s="2"/>
      <c r="AF852" s="2"/>
      <c r="CP852" s="6"/>
    </row>
    <row r="853" spans="31:94" ht="14.25" customHeight="1" x14ac:dyDescent="0.35">
      <c r="AE853" s="2"/>
      <c r="AF853" s="2"/>
      <c r="CP853" s="6"/>
    </row>
    <row r="854" spans="31:94" ht="14.25" customHeight="1" x14ac:dyDescent="0.35">
      <c r="AE854" s="2"/>
      <c r="AF854" s="2"/>
      <c r="CP854" s="6"/>
    </row>
    <row r="855" spans="31:94" ht="14.25" customHeight="1" x14ac:dyDescent="0.35">
      <c r="AE855" s="2"/>
      <c r="AF855" s="2"/>
      <c r="CP855" s="6"/>
    </row>
    <row r="856" spans="31:94" ht="14.25" customHeight="1" x14ac:dyDescent="0.35">
      <c r="AE856" s="2"/>
      <c r="AF856" s="2"/>
      <c r="CP856" s="6"/>
    </row>
    <row r="857" spans="31:94" ht="14.25" customHeight="1" x14ac:dyDescent="0.35">
      <c r="AE857" s="2"/>
      <c r="AF857" s="2"/>
      <c r="CP857" s="6"/>
    </row>
    <row r="858" spans="31:94" ht="14.25" customHeight="1" x14ac:dyDescent="0.35">
      <c r="AE858" s="2"/>
      <c r="AF858" s="2"/>
      <c r="CP858" s="6"/>
    </row>
    <row r="859" spans="31:94" ht="14.25" customHeight="1" x14ac:dyDescent="0.35">
      <c r="AE859" s="2"/>
      <c r="AF859" s="2"/>
      <c r="CP859" s="6"/>
    </row>
    <row r="860" spans="31:94" ht="14.25" customHeight="1" x14ac:dyDescent="0.35">
      <c r="AE860" s="2"/>
      <c r="AF860" s="2"/>
      <c r="CP860" s="6"/>
    </row>
    <row r="861" spans="31:94" ht="14.25" customHeight="1" x14ac:dyDescent="0.35">
      <c r="AE861" s="2"/>
      <c r="AF861" s="2"/>
      <c r="CP861" s="6"/>
    </row>
    <row r="862" spans="31:94" ht="14.25" customHeight="1" x14ac:dyDescent="0.35">
      <c r="AE862" s="2"/>
      <c r="AF862" s="2"/>
      <c r="CP862" s="6"/>
    </row>
    <row r="863" spans="31:94" ht="14.25" customHeight="1" x14ac:dyDescent="0.35">
      <c r="AE863" s="2"/>
      <c r="AF863" s="2"/>
      <c r="CP863" s="6"/>
    </row>
    <row r="864" spans="31:94" ht="14.25" customHeight="1" x14ac:dyDescent="0.35">
      <c r="AE864" s="2"/>
      <c r="AF864" s="2"/>
      <c r="CP864" s="6"/>
    </row>
    <row r="865" spans="31:94" ht="14.25" customHeight="1" x14ac:dyDescent="0.35">
      <c r="AE865" s="2"/>
      <c r="AF865" s="2"/>
      <c r="CP865" s="6"/>
    </row>
    <row r="866" spans="31:94" ht="14.25" customHeight="1" x14ac:dyDescent="0.35">
      <c r="AE866" s="2"/>
      <c r="AF866" s="2"/>
      <c r="CP866" s="6"/>
    </row>
    <row r="867" spans="31:94" ht="14.25" customHeight="1" x14ac:dyDescent="0.35">
      <c r="AE867" s="2"/>
      <c r="AF867" s="2"/>
      <c r="CP867" s="6"/>
    </row>
    <row r="868" spans="31:94" ht="14.25" customHeight="1" x14ac:dyDescent="0.35">
      <c r="AE868" s="2"/>
      <c r="AF868" s="2"/>
      <c r="CP868" s="6"/>
    </row>
    <row r="869" spans="31:94" ht="14.25" customHeight="1" x14ac:dyDescent="0.35">
      <c r="AE869" s="2"/>
      <c r="AF869" s="2"/>
      <c r="CP869" s="6"/>
    </row>
    <row r="870" spans="31:94" ht="14.25" customHeight="1" x14ac:dyDescent="0.35">
      <c r="AE870" s="2"/>
      <c r="AF870" s="2"/>
      <c r="CP870" s="6"/>
    </row>
    <row r="871" spans="31:94" ht="14.25" customHeight="1" x14ac:dyDescent="0.35">
      <c r="AE871" s="2"/>
      <c r="AF871" s="2"/>
      <c r="CP871" s="6"/>
    </row>
    <row r="872" spans="31:94" ht="14.25" customHeight="1" x14ac:dyDescent="0.35">
      <c r="AE872" s="2"/>
      <c r="AF872" s="2"/>
      <c r="CP872" s="6"/>
    </row>
    <row r="873" spans="31:94" ht="14.25" customHeight="1" x14ac:dyDescent="0.35">
      <c r="AE873" s="2"/>
      <c r="AF873" s="2"/>
      <c r="CP873" s="6"/>
    </row>
    <row r="874" spans="31:94" ht="14.25" customHeight="1" x14ac:dyDescent="0.35">
      <c r="AE874" s="2"/>
      <c r="AF874" s="2"/>
      <c r="CP874" s="6"/>
    </row>
    <row r="875" spans="31:94" ht="14.25" customHeight="1" x14ac:dyDescent="0.35">
      <c r="AE875" s="2"/>
      <c r="AF875" s="2"/>
      <c r="CP875" s="6"/>
    </row>
    <row r="876" spans="31:94" ht="14.25" customHeight="1" x14ac:dyDescent="0.35">
      <c r="AE876" s="2"/>
      <c r="AF876" s="2"/>
      <c r="CP876" s="6"/>
    </row>
    <row r="877" spans="31:94" ht="14.25" customHeight="1" x14ac:dyDescent="0.35">
      <c r="AE877" s="2"/>
      <c r="AF877" s="2"/>
      <c r="CP877" s="6"/>
    </row>
    <row r="878" spans="31:94" ht="14.25" customHeight="1" x14ac:dyDescent="0.35">
      <c r="AE878" s="2"/>
      <c r="AF878" s="2"/>
      <c r="CP878" s="6"/>
    </row>
    <row r="879" spans="31:94" ht="14.25" customHeight="1" x14ac:dyDescent="0.35">
      <c r="AE879" s="2"/>
      <c r="AF879" s="2"/>
      <c r="CP879" s="6"/>
    </row>
    <row r="880" spans="31:94" ht="14.25" customHeight="1" x14ac:dyDescent="0.35">
      <c r="AE880" s="2"/>
      <c r="AF880" s="2"/>
      <c r="CP880" s="6"/>
    </row>
    <row r="881" spans="31:94" ht="14.25" customHeight="1" x14ac:dyDescent="0.35">
      <c r="AE881" s="2"/>
      <c r="AF881" s="2"/>
      <c r="CP881" s="6"/>
    </row>
    <row r="882" spans="31:94" ht="14.25" customHeight="1" x14ac:dyDescent="0.35">
      <c r="AE882" s="2"/>
      <c r="AF882" s="2"/>
      <c r="CP882" s="6"/>
    </row>
    <row r="883" spans="31:94" ht="14.25" customHeight="1" x14ac:dyDescent="0.35">
      <c r="AE883" s="2"/>
      <c r="AF883" s="2"/>
      <c r="CP883" s="6"/>
    </row>
    <row r="884" spans="31:94" ht="14.25" customHeight="1" x14ac:dyDescent="0.35">
      <c r="AE884" s="2"/>
      <c r="AF884" s="2"/>
      <c r="CP884" s="6"/>
    </row>
    <row r="885" spans="31:94" ht="14.25" customHeight="1" x14ac:dyDescent="0.35">
      <c r="AE885" s="2"/>
      <c r="AF885" s="2"/>
      <c r="CP885" s="6"/>
    </row>
    <row r="886" spans="31:94" ht="14.25" customHeight="1" x14ac:dyDescent="0.35">
      <c r="AE886" s="2"/>
      <c r="AF886" s="2"/>
      <c r="CP886" s="6"/>
    </row>
    <row r="887" spans="31:94" ht="14.25" customHeight="1" x14ac:dyDescent="0.35">
      <c r="AE887" s="2"/>
      <c r="AF887" s="2"/>
      <c r="CP887" s="6"/>
    </row>
    <row r="888" spans="31:94" ht="14.25" customHeight="1" x14ac:dyDescent="0.35">
      <c r="AE888" s="2"/>
      <c r="AF888" s="2"/>
      <c r="CP888" s="6"/>
    </row>
    <row r="889" spans="31:94" ht="14.25" customHeight="1" x14ac:dyDescent="0.35">
      <c r="AE889" s="2"/>
      <c r="AF889" s="2"/>
      <c r="CP889" s="6"/>
    </row>
    <row r="890" spans="31:94" ht="14.25" customHeight="1" x14ac:dyDescent="0.35">
      <c r="AE890" s="2"/>
      <c r="AF890" s="2"/>
      <c r="CP890" s="6"/>
    </row>
    <row r="891" spans="31:94" ht="14.25" customHeight="1" x14ac:dyDescent="0.35">
      <c r="AE891" s="2"/>
      <c r="AF891" s="2"/>
      <c r="CP891" s="6"/>
    </row>
    <row r="892" spans="31:94" ht="14.25" customHeight="1" x14ac:dyDescent="0.35">
      <c r="AE892" s="2"/>
      <c r="AF892" s="2"/>
      <c r="CP892" s="6"/>
    </row>
    <row r="893" spans="31:94" ht="14.25" customHeight="1" x14ac:dyDescent="0.35">
      <c r="AE893" s="2"/>
      <c r="AF893" s="2"/>
      <c r="CP893" s="6"/>
    </row>
    <row r="894" spans="31:94" ht="14.25" customHeight="1" x14ac:dyDescent="0.35">
      <c r="AE894" s="2"/>
      <c r="AF894" s="2"/>
      <c r="CP894" s="6"/>
    </row>
    <row r="895" spans="31:94" ht="14.25" customHeight="1" x14ac:dyDescent="0.35">
      <c r="AE895" s="2"/>
      <c r="AF895" s="2"/>
      <c r="CP895" s="6"/>
    </row>
    <row r="896" spans="31:94" ht="14.25" customHeight="1" x14ac:dyDescent="0.35">
      <c r="AE896" s="2"/>
      <c r="AF896" s="2"/>
      <c r="CP896" s="6"/>
    </row>
    <row r="897" spans="31:94" ht="14.25" customHeight="1" x14ac:dyDescent="0.35">
      <c r="AE897" s="2"/>
      <c r="AF897" s="2"/>
      <c r="CP897" s="6"/>
    </row>
    <row r="898" spans="31:94" ht="14.25" customHeight="1" x14ac:dyDescent="0.35">
      <c r="AE898" s="2"/>
      <c r="AF898" s="2"/>
      <c r="CP898" s="6"/>
    </row>
    <row r="899" spans="31:94" ht="14.25" customHeight="1" x14ac:dyDescent="0.35">
      <c r="AE899" s="2"/>
      <c r="AF899" s="2"/>
      <c r="CP899" s="6"/>
    </row>
    <row r="900" spans="31:94" ht="14.25" customHeight="1" x14ac:dyDescent="0.35">
      <c r="AE900" s="2"/>
      <c r="AF900" s="2"/>
      <c r="CP900" s="6"/>
    </row>
    <row r="901" spans="31:94" ht="14.25" customHeight="1" x14ac:dyDescent="0.35">
      <c r="AE901" s="2"/>
      <c r="AF901" s="2"/>
      <c r="CP901" s="6"/>
    </row>
    <row r="902" spans="31:94" ht="14.25" customHeight="1" x14ac:dyDescent="0.35">
      <c r="AE902" s="2"/>
      <c r="AF902" s="2"/>
      <c r="CP902" s="6"/>
    </row>
    <row r="903" spans="31:94" ht="14.25" customHeight="1" x14ac:dyDescent="0.35">
      <c r="AE903" s="2"/>
      <c r="AF903" s="2"/>
      <c r="CP903" s="6"/>
    </row>
    <row r="904" spans="31:94" ht="14.25" customHeight="1" x14ac:dyDescent="0.35">
      <c r="AE904" s="2"/>
      <c r="AF904" s="2"/>
      <c r="CP904" s="6"/>
    </row>
    <row r="905" spans="31:94" ht="14.25" customHeight="1" x14ac:dyDescent="0.35">
      <c r="AE905" s="2"/>
      <c r="AF905" s="2"/>
      <c r="CP905" s="6"/>
    </row>
    <row r="906" spans="31:94" ht="14.25" customHeight="1" x14ac:dyDescent="0.35">
      <c r="AE906" s="2"/>
      <c r="AF906" s="2"/>
      <c r="CP906" s="6"/>
    </row>
    <row r="907" spans="31:94" ht="14.25" customHeight="1" x14ac:dyDescent="0.35">
      <c r="AE907" s="2"/>
      <c r="AF907" s="2"/>
      <c r="CP907" s="6"/>
    </row>
    <row r="908" spans="31:94" ht="14.25" customHeight="1" x14ac:dyDescent="0.35">
      <c r="AE908" s="2"/>
      <c r="AF908" s="2"/>
      <c r="CP908" s="6"/>
    </row>
    <row r="909" spans="31:94" ht="14.25" customHeight="1" x14ac:dyDescent="0.35">
      <c r="AE909" s="2"/>
      <c r="AF909" s="2"/>
      <c r="CP909" s="6"/>
    </row>
    <row r="910" spans="31:94" ht="14.25" customHeight="1" x14ac:dyDescent="0.35">
      <c r="AE910" s="2"/>
      <c r="AF910" s="2"/>
      <c r="CP910" s="6"/>
    </row>
    <row r="911" spans="31:94" ht="14.25" customHeight="1" x14ac:dyDescent="0.35">
      <c r="AE911" s="2"/>
      <c r="AF911" s="2"/>
      <c r="CP911" s="6"/>
    </row>
    <row r="912" spans="31:94" ht="14.25" customHeight="1" x14ac:dyDescent="0.35">
      <c r="AE912" s="2"/>
      <c r="AF912" s="2"/>
      <c r="CP912" s="6"/>
    </row>
    <row r="913" spans="31:94" ht="14.25" customHeight="1" x14ac:dyDescent="0.35">
      <c r="AE913" s="2"/>
      <c r="AF913" s="2"/>
      <c r="CP913" s="6"/>
    </row>
    <row r="914" spans="31:94" ht="14.25" customHeight="1" x14ac:dyDescent="0.35">
      <c r="AE914" s="2"/>
      <c r="AF914" s="2"/>
      <c r="CP914" s="6"/>
    </row>
    <row r="915" spans="31:94" ht="14.25" customHeight="1" x14ac:dyDescent="0.35">
      <c r="AE915" s="2"/>
      <c r="AF915" s="2"/>
      <c r="CP915" s="6"/>
    </row>
    <row r="916" spans="31:94" ht="14.25" customHeight="1" x14ac:dyDescent="0.35">
      <c r="AE916" s="2"/>
      <c r="AF916" s="2"/>
      <c r="CP916" s="6"/>
    </row>
    <row r="917" spans="31:94" ht="14.25" customHeight="1" x14ac:dyDescent="0.35">
      <c r="AE917" s="2"/>
      <c r="AF917" s="2"/>
      <c r="CP917" s="6"/>
    </row>
    <row r="918" spans="31:94" ht="14.25" customHeight="1" x14ac:dyDescent="0.35">
      <c r="AE918" s="2"/>
      <c r="AF918" s="2"/>
      <c r="CP918" s="6"/>
    </row>
    <row r="919" spans="31:94" ht="14.25" customHeight="1" x14ac:dyDescent="0.35">
      <c r="AE919" s="2"/>
      <c r="AF919" s="2"/>
      <c r="CP919" s="6"/>
    </row>
    <row r="920" spans="31:94" ht="14.25" customHeight="1" x14ac:dyDescent="0.35">
      <c r="AE920" s="2"/>
      <c r="AF920" s="2"/>
      <c r="CP920" s="6"/>
    </row>
    <row r="921" spans="31:94" ht="14.25" customHeight="1" x14ac:dyDescent="0.35">
      <c r="AE921" s="2"/>
      <c r="AF921" s="2"/>
      <c r="CP921" s="6"/>
    </row>
    <row r="922" spans="31:94" ht="14.25" customHeight="1" x14ac:dyDescent="0.35">
      <c r="AE922" s="2"/>
      <c r="AF922" s="2"/>
      <c r="CP922" s="6"/>
    </row>
    <row r="923" spans="31:94" ht="14.25" customHeight="1" x14ac:dyDescent="0.35">
      <c r="AE923" s="2"/>
      <c r="AF923" s="2"/>
      <c r="CP923" s="6"/>
    </row>
    <row r="924" spans="31:94" ht="14.25" customHeight="1" x14ac:dyDescent="0.35">
      <c r="AE924" s="2"/>
      <c r="AF924" s="2"/>
      <c r="CP924" s="6"/>
    </row>
    <row r="925" spans="31:94" ht="14.25" customHeight="1" x14ac:dyDescent="0.35">
      <c r="AE925" s="2"/>
      <c r="AF925" s="2"/>
      <c r="CP925" s="6"/>
    </row>
    <row r="926" spans="31:94" ht="14.25" customHeight="1" x14ac:dyDescent="0.35">
      <c r="AE926" s="2"/>
      <c r="AF926" s="2"/>
      <c r="CP926" s="6"/>
    </row>
    <row r="927" spans="31:94" ht="14.25" customHeight="1" x14ac:dyDescent="0.35">
      <c r="AE927" s="2"/>
      <c r="AF927" s="2"/>
      <c r="CP927" s="6"/>
    </row>
    <row r="928" spans="31:94" ht="14.25" customHeight="1" x14ac:dyDescent="0.35">
      <c r="AE928" s="2"/>
      <c r="AF928" s="2"/>
      <c r="CP928" s="6"/>
    </row>
    <row r="929" spans="31:94" ht="14.25" customHeight="1" x14ac:dyDescent="0.35">
      <c r="AE929" s="2"/>
      <c r="AF929" s="2"/>
      <c r="CP929" s="6"/>
    </row>
    <row r="930" spans="31:94" ht="14.25" customHeight="1" x14ac:dyDescent="0.35">
      <c r="AE930" s="2"/>
      <c r="AF930" s="2"/>
      <c r="CP930" s="6"/>
    </row>
    <row r="931" spans="31:94" ht="14.25" customHeight="1" x14ac:dyDescent="0.35">
      <c r="AE931" s="2"/>
      <c r="AF931" s="2"/>
      <c r="CP931" s="6"/>
    </row>
    <row r="932" spans="31:94" ht="14.25" customHeight="1" x14ac:dyDescent="0.35">
      <c r="AE932" s="2"/>
      <c r="AF932" s="2"/>
      <c r="CP932" s="6"/>
    </row>
    <row r="933" spans="31:94" ht="14.25" customHeight="1" x14ac:dyDescent="0.35">
      <c r="AE933" s="2"/>
      <c r="AF933" s="2"/>
      <c r="CP933" s="6"/>
    </row>
    <row r="934" spans="31:94" ht="14.25" customHeight="1" x14ac:dyDescent="0.35">
      <c r="AE934" s="2"/>
      <c r="AF934" s="2"/>
      <c r="CP934" s="6"/>
    </row>
    <row r="935" spans="31:94" ht="14.25" customHeight="1" x14ac:dyDescent="0.35">
      <c r="AE935" s="2"/>
      <c r="AF935" s="2"/>
      <c r="CP935" s="6"/>
    </row>
    <row r="936" spans="31:94" ht="14.25" customHeight="1" x14ac:dyDescent="0.35">
      <c r="AE936" s="2"/>
      <c r="AF936" s="2"/>
      <c r="CP936" s="6"/>
    </row>
    <row r="937" spans="31:94" ht="14.25" customHeight="1" x14ac:dyDescent="0.35">
      <c r="AE937" s="2"/>
      <c r="AF937" s="2"/>
      <c r="CP937" s="6"/>
    </row>
    <row r="938" spans="31:94" ht="14.25" customHeight="1" x14ac:dyDescent="0.35">
      <c r="AE938" s="2"/>
      <c r="AF938" s="2"/>
      <c r="CP938" s="6"/>
    </row>
    <row r="939" spans="31:94" ht="14.25" customHeight="1" x14ac:dyDescent="0.35">
      <c r="AE939" s="2"/>
      <c r="AF939" s="2"/>
      <c r="CP939" s="6"/>
    </row>
    <row r="940" spans="31:94" ht="14.25" customHeight="1" x14ac:dyDescent="0.35">
      <c r="AE940" s="2"/>
      <c r="AF940" s="2"/>
      <c r="CP940" s="6"/>
    </row>
    <row r="941" spans="31:94" ht="14.25" customHeight="1" x14ac:dyDescent="0.35">
      <c r="AE941" s="2"/>
      <c r="AF941" s="2"/>
      <c r="CP941" s="6"/>
    </row>
    <row r="942" spans="31:94" ht="14.25" customHeight="1" x14ac:dyDescent="0.35">
      <c r="AE942" s="2"/>
      <c r="AF942" s="2"/>
      <c r="CP942" s="6"/>
    </row>
    <row r="943" spans="31:94" ht="14.25" customHeight="1" x14ac:dyDescent="0.35">
      <c r="AE943" s="2"/>
      <c r="AF943" s="2"/>
      <c r="CP943" s="6"/>
    </row>
    <row r="944" spans="31:94" ht="14.25" customHeight="1" x14ac:dyDescent="0.35">
      <c r="AE944" s="2"/>
      <c r="AF944" s="2"/>
      <c r="CP944" s="6"/>
    </row>
    <row r="945" spans="31:94" ht="14.25" customHeight="1" x14ac:dyDescent="0.35">
      <c r="AE945" s="2"/>
      <c r="AF945" s="2"/>
      <c r="CP945" s="6"/>
    </row>
    <row r="946" spans="31:94" ht="14.25" customHeight="1" x14ac:dyDescent="0.35">
      <c r="AE946" s="2"/>
      <c r="AF946" s="2"/>
      <c r="CP946" s="6"/>
    </row>
    <row r="947" spans="31:94" ht="14.25" customHeight="1" x14ac:dyDescent="0.35">
      <c r="AE947" s="2"/>
      <c r="AF947" s="2"/>
      <c r="CP947" s="6"/>
    </row>
    <row r="948" spans="31:94" ht="14.25" customHeight="1" x14ac:dyDescent="0.35">
      <c r="AE948" s="2"/>
      <c r="AF948" s="2"/>
      <c r="CP948" s="6"/>
    </row>
    <row r="949" spans="31:94" ht="14.25" customHeight="1" x14ac:dyDescent="0.35">
      <c r="AE949" s="2"/>
      <c r="AF949" s="2"/>
      <c r="CP949" s="6"/>
    </row>
    <row r="950" spans="31:94" ht="14.25" customHeight="1" x14ac:dyDescent="0.35">
      <c r="AE950" s="2"/>
      <c r="AF950" s="2"/>
      <c r="CP950" s="6"/>
    </row>
    <row r="951" spans="31:94" ht="14.25" customHeight="1" x14ac:dyDescent="0.35">
      <c r="AE951" s="2"/>
      <c r="AF951" s="2"/>
      <c r="CP951" s="6"/>
    </row>
    <row r="952" spans="31:94" ht="14.25" customHeight="1" x14ac:dyDescent="0.35">
      <c r="AE952" s="2"/>
      <c r="AF952" s="2"/>
      <c r="CP952" s="6"/>
    </row>
    <row r="953" spans="31:94" ht="14.25" customHeight="1" x14ac:dyDescent="0.35">
      <c r="AE953" s="2"/>
      <c r="AF953" s="2"/>
      <c r="CP953" s="6"/>
    </row>
    <row r="954" spans="31:94" ht="14.25" customHeight="1" x14ac:dyDescent="0.35">
      <c r="AE954" s="2"/>
      <c r="AF954" s="2"/>
      <c r="CP954" s="6"/>
    </row>
    <row r="955" spans="31:94" ht="14.25" customHeight="1" x14ac:dyDescent="0.35">
      <c r="AE955" s="2"/>
      <c r="AF955" s="2"/>
      <c r="CP955" s="6"/>
    </row>
    <row r="956" spans="31:94" ht="14.25" customHeight="1" x14ac:dyDescent="0.35">
      <c r="AE956" s="2"/>
      <c r="AF956" s="2"/>
      <c r="CP956" s="6"/>
    </row>
    <row r="957" spans="31:94" ht="14.25" customHeight="1" x14ac:dyDescent="0.35">
      <c r="AE957" s="2"/>
      <c r="AF957" s="2"/>
      <c r="CP957" s="6"/>
    </row>
    <row r="958" spans="31:94" ht="14.25" customHeight="1" x14ac:dyDescent="0.35">
      <c r="AE958" s="2"/>
      <c r="AF958" s="2"/>
      <c r="CP958" s="6"/>
    </row>
    <row r="959" spans="31:94" ht="14.25" customHeight="1" x14ac:dyDescent="0.35">
      <c r="AE959" s="2"/>
      <c r="AF959" s="2"/>
      <c r="CP959" s="6"/>
    </row>
    <row r="960" spans="31:94" ht="14.25" customHeight="1" x14ac:dyDescent="0.35">
      <c r="AE960" s="2"/>
      <c r="AF960" s="2"/>
      <c r="CP960" s="6"/>
    </row>
    <row r="961" spans="31:94" ht="14.25" customHeight="1" x14ac:dyDescent="0.35">
      <c r="AE961" s="2"/>
      <c r="AF961" s="2"/>
      <c r="CP961" s="6"/>
    </row>
    <row r="962" spans="31:94" ht="14.25" customHeight="1" x14ac:dyDescent="0.35">
      <c r="AE962" s="2"/>
      <c r="AF962" s="2"/>
      <c r="CP962" s="6"/>
    </row>
    <row r="963" spans="31:94" ht="14.25" customHeight="1" x14ac:dyDescent="0.35">
      <c r="AE963" s="2"/>
      <c r="AF963" s="2"/>
      <c r="CP963" s="6"/>
    </row>
    <row r="964" spans="31:94" ht="14.25" customHeight="1" x14ac:dyDescent="0.35">
      <c r="AE964" s="2"/>
      <c r="AF964" s="2"/>
      <c r="CP964" s="6"/>
    </row>
    <row r="965" spans="31:94" ht="14.25" customHeight="1" x14ac:dyDescent="0.35">
      <c r="AE965" s="2"/>
      <c r="AF965" s="2"/>
      <c r="CP965" s="6"/>
    </row>
    <row r="966" spans="31:94" ht="14.25" customHeight="1" x14ac:dyDescent="0.35">
      <c r="AE966" s="2"/>
      <c r="AF966" s="2"/>
      <c r="CP966" s="6"/>
    </row>
    <row r="967" spans="31:94" ht="14.25" customHeight="1" x14ac:dyDescent="0.35">
      <c r="AE967" s="2"/>
      <c r="AF967" s="2"/>
      <c r="CP967" s="6"/>
    </row>
    <row r="968" spans="31:94" ht="14.25" customHeight="1" x14ac:dyDescent="0.35">
      <c r="AE968" s="2"/>
      <c r="AF968" s="2"/>
      <c r="CP968" s="6"/>
    </row>
    <row r="969" spans="31:94" ht="14.25" customHeight="1" x14ac:dyDescent="0.35">
      <c r="AE969" s="2"/>
      <c r="AF969" s="2"/>
      <c r="CP969" s="6"/>
    </row>
    <row r="970" spans="31:94" ht="14.25" customHeight="1" x14ac:dyDescent="0.35">
      <c r="AE970" s="2"/>
      <c r="AF970" s="2"/>
      <c r="CP970" s="6"/>
    </row>
    <row r="971" spans="31:94" ht="14.25" customHeight="1" x14ac:dyDescent="0.35">
      <c r="AE971" s="2"/>
      <c r="AF971" s="2"/>
      <c r="CP971" s="6"/>
    </row>
    <row r="972" spans="31:94" ht="14.25" customHeight="1" x14ac:dyDescent="0.35">
      <c r="AE972" s="2"/>
      <c r="AF972" s="2"/>
      <c r="CP972" s="6"/>
    </row>
    <row r="973" spans="31:94" ht="14.25" customHeight="1" x14ac:dyDescent="0.35">
      <c r="AE973" s="2"/>
      <c r="AF973" s="2"/>
      <c r="CP973" s="6"/>
    </row>
    <row r="974" spans="31:94" ht="14.25" customHeight="1" x14ac:dyDescent="0.35">
      <c r="AE974" s="2"/>
      <c r="AF974" s="2"/>
      <c r="CP974" s="6"/>
    </row>
    <row r="975" spans="31:94" ht="14.25" customHeight="1" x14ac:dyDescent="0.35">
      <c r="AE975" s="2"/>
      <c r="AF975" s="2"/>
      <c r="CP975" s="6"/>
    </row>
    <row r="976" spans="31:94" ht="14.25" customHeight="1" x14ac:dyDescent="0.35">
      <c r="AE976" s="2"/>
      <c r="AF976" s="2"/>
      <c r="CP976" s="6"/>
    </row>
    <row r="977" spans="31:94" ht="14.25" customHeight="1" x14ac:dyDescent="0.35">
      <c r="AE977" s="2"/>
      <c r="AF977" s="2"/>
      <c r="CP977" s="6"/>
    </row>
    <row r="978" spans="31:94" ht="14.25" customHeight="1" x14ac:dyDescent="0.35">
      <c r="AE978" s="2"/>
      <c r="AF978" s="2"/>
      <c r="CP978" s="6"/>
    </row>
    <row r="979" spans="31:94" ht="14.25" customHeight="1" x14ac:dyDescent="0.35">
      <c r="AE979" s="2"/>
      <c r="AF979" s="2"/>
      <c r="CP979" s="6"/>
    </row>
    <row r="980" spans="31:94" ht="14.25" customHeight="1" x14ac:dyDescent="0.35">
      <c r="AE980" s="2"/>
      <c r="AF980" s="2"/>
      <c r="CP980" s="6"/>
    </row>
    <row r="981" spans="31:94" ht="14.25" customHeight="1" x14ac:dyDescent="0.35">
      <c r="AE981" s="2"/>
      <c r="AF981" s="2"/>
      <c r="CP981" s="6"/>
    </row>
    <row r="982" spans="31:94" ht="14.25" customHeight="1" x14ac:dyDescent="0.35">
      <c r="AE982" s="2"/>
      <c r="AF982" s="2"/>
      <c r="CP982" s="6"/>
    </row>
    <row r="983" spans="31:94" ht="14.25" customHeight="1" x14ac:dyDescent="0.35">
      <c r="AE983" s="2"/>
      <c r="AF983" s="2"/>
      <c r="CP983" s="6"/>
    </row>
    <row r="984" spans="31:94" ht="14.25" customHeight="1" x14ac:dyDescent="0.35">
      <c r="AE984" s="2"/>
      <c r="AF984" s="2"/>
      <c r="CP984" s="6"/>
    </row>
    <row r="985" spans="31:94" ht="14.25" customHeight="1" x14ac:dyDescent="0.35">
      <c r="AE985" s="2"/>
      <c r="AF985" s="2"/>
      <c r="CP985" s="6"/>
    </row>
    <row r="986" spans="31:94" ht="14.25" customHeight="1" x14ac:dyDescent="0.35">
      <c r="AE986" s="2"/>
      <c r="AF986" s="2"/>
      <c r="CP986" s="6"/>
    </row>
    <row r="987" spans="31:94" ht="14.25" customHeight="1" x14ac:dyDescent="0.35">
      <c r="AE987" s="2"/>
      <c r="AF987" s="2"/>
      <c r="CP987" s="6"/>
    </row>
    <row r="988" spans="31:94" ht="14.25" customHeight="1" x14ac:dyDescent="0.35">
      <c r="AE988" s="2"/>
      <c r="AF988" s="2"/>
      <c r="CP988" s="6"/>
    </row>
    <row r="989" spans="31:94" ht="14.25" customHeight="1" x14ac:dyDescent="0.35">
      <c r="AE989" s="2"/>
      <c r="AF989" s="2"/>
      <c r="CP989" s="6"/>
    </row>
    <row r="990" spans="31:94" ht="14.25" customHeight="1" x14ac:dyDescent="0.35">
      <c r="AE990" s="2"/>
      <c r="AF990" s="2"/>
      <c r="CP990" s="6"/>
    </row>
    <row r="991" spans="31:94" ht="14.25" customHeight="1" x14ac:dyDescent="0.35">
      <c r="AE991" s="2"/>
      <c r="AF991" s="2"/>
      <c r="CP991" s="6"/>
    </row>
    <row r="992" spans="31:94" ht="14.25" customHeight="1" x14ac:dyDescent="0.35">
      <c r="AE992" s="2"/>
      <c r="AF992" s="2"/>
      <c r="CP992" s="6"/>
    </row>
    <row r="993" spans="31:94" ht="14.25" customHeight="1" x14ac:dyDescent="0.35">
      <c r="AE993" s="2"/>
      <c r="AF993" s="2"/>
      <c r="CP993" s="6"/>
    </row>
    <row r="994" spans="31:94" ht="14.25" customHeight="1" x14ac:dyDescent="0.35">
      <c r="AE994" s="2"/>
      <c r="AF994" s="2"/>
      <c r="CP994" s="6"/>
    </row>
    <row r="995" spans="31:94" ht="14.25" customHeight="1" x14ac:dyDescent="0.35">
      <c r="AE995" s="2"/>
      <c r="AF995" s="2"/>
      <c r="CP995" s="6"/>
    </row>
  </sheetData>
  <sortState xmlns:xlrd2="http://schemas.microsoft.com/office/spreadsheetml/2017/richdata2" ref="AI57:AJ97">
    <sortCondition ref="AJ57:AJ97"/>
  </sortState>
  <mergeCells count="4">
    <mergeCell ref="I1:N1"/>
    <mergeCell ref="U1:V1"/>
    <mergeCell ref="AQ1:AR1"/>
    <mergeCell ref="BG1:BG46"/>
  </mergeCells>
  <phoneticPr fontId="20" type="noConversion"/>
  <dataValidations count="9">
    <dataValidation type="list" allowBlank="1" showErrorMessage="1" sqref="I3:O43 I48:O55" xr:uid="{00000000-0002-0000-0000-000000000000}">
      <formula1>"Y,N"</formula1>
    </dataValidation>
    <dataValidation type="list" allowBlank="1" showErrorMessage="1" sqref="BO3:BO43 BO52:BO55" xr:uid="{00000000-0002-0000-0000-000001000000}">
      <formula1>"Fossorial,Active,Sit and wait,Unknown,Mixed"</formula1>
    </dataValidation>
    <dataValidation type="list" allowBlank="1" showErrorMessage="1" sqref="AW48:AW55 AW5:AW43 AW3:AX4" xr:uid="{00000000-0002-0000-0000-000002000000}">
      <formula1>"Iteroparous,Semelparous,Unknown"</formula1>
    </dataValidation>
    <dataValidation type="list" allowBlank="1" showErrorMessage="1" sqref="BM3:BM43 AQ3:AQ43 BJ2:BJ43 CU2:CU43 BM52:BM55 AQ52:AQ55 BJ48:BJ55 CU48:CU55" xr:uid="{00000000-0002-0000-0000-000003000000}">
      <formula1>"Yes,No,Unknown"</formula1>
    </dataValidation>
    <dataValidation type="list" allowBlank="1" showErrorMessage="1" sqref="CW3:CW44 CW47:CW55" xr:uid="{00000000-0002-0000-0000-000004000000}">
      <formula1>"Viviparous,Oviparous,Unknown,Bimodal"</formula1>
    </dataValidation>
    <dataValidation type="list" allowBlank="1" showErrorMessage="1" sqref="BN3:BN43 BM48:BO51 BN52:BN55" xr:uid="{00000000-0002-0000-0000-000005000000}">
      <formula1>"Nocturnal,Diurnal,Cathemeral,Unknown"</formula1>
    </dataValidation>
    <dataValidation type="list" allowBlank="1" showErrorMessage="1" sqref="AA3:AA43 AA52:AA55" xr:uid="{00000000-0002-0000-0000-000006000000}">
      <formula1>"High,Medium,Low,Unknown"</formula1>
    </dataValidation>
    <dataValidation type="list" allowBlank="1" showErrorMessage="1" sqref="AU48:AV55 AU3:AU43" xr:uid="{00000000-0002-0000-0000-000007000000}">
      <formula1>"Endemic to TMNP,Endemic to CFK,Endemic to SA,Multinational"</formula1>
    </dataValidation>
    <dataValidation allowBlank="1" showErrorMessage="1" sqref="AV3:AV43 AY3:AY43" xr:uid="{BD2DB4D1-6843-4D5A-8726-C2C7D7DED662}"/>
  </dataValidations>
  <pageMargins left="0.7" right="0.7" top="0.75" bottom="0.75"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284B0-BE76-4088-B0A0-F6F82FD08CE7}">
  <dimension ref="A1:A114"/>
  <sheetViews>
    <sheetView workbookViewId="0">
      <selection activeCell="F9" sqref="F9"/>
    </sheetView>
  </sheetViews>
  <sheetFormatPr defaultRowHeight="14.5" x14ac:dyDescent="0.35"/>
  <cols>
    <col min="1" max="16384" width="8.6640625" style="149"/>
  </cols>
  <sheetData>
    <row r="1" spans="1:1" x14ac:dyDescent="0.35">
      <c r="A1" s="149" t="s">
        <v>757</v>
      </c>
    </row>
    <row r="2" spans="1:1" x14ac:dyDescent="0.35">
      <c r="A2" s="150" t="s">
        <v>758</v>
      </c>
    </row>
    <row r="3" spans="1:1" x14ac:dyDescent="0.35">
      <c r="A3" s="151" t="s">
        <v>724</v>
      </c>
    </row>
    <row r="4" spans="1:1" x14ac:dyDescent="0.35">
      <c r="A4" s="151" t="s">
        <v>759</v>
      </c>
    </row>
    <row r="5" spans="1:1" x14ac:dyDescent="0.35">
      <c r="A5" s="152" t="s">
        <v>725</v>
      </c>
    </row>
    <row r="6" spans="1:1" x14ac:dyDescent="0.35">
      <c r="A6" s="151" t="s">
        <v>726</v>
      </c>
    </row>
    <row r="7" spans="1:1" x14ac:dyDescent="0.35">
      <c r="A7" s="151" t="s">
        <v>760</v>
      </c>
    </row>
    <row r="8" spans="1:1" x14ac:dyDescent="0.35">
      <c r="A8" s="151" t="s">
        <v>761</v>
      </c>
    </row>
    <row r="9" spans="1:1" x14ac:dyDescent="0.35">
      <c r="A9" s="151" t="s">
        <v>762</v>
      </c>
    </row>
    <row r="10" spans="1:1" x14ac:dyDescent="0.35">
      <c r="A10" s="151" t="s">
        <v>763</v>
      </c>
    </row>
    <row r="11" spans="1:1" x14ac:dyDescent="0.35">
      <c r="A11" s="151" t="s">
        <v>764</v>
      </c>
    </row>
    <row r="12" spans="1:1" x14ac:dyDescent="0.35">
      <c r="A12" s="151" t="s">
        <v>765</v>
      </c>
    </row>
    <row r="13" spans="1:1" x14ac:dyDescent="0.35">
      <c r="A13" s="152" t="s">
        <v>727</v>
      </c>
    </row>
    <row r="14" spans="1:1" x14ac:dyDescent="0.35">
      <c r="A14" s="152" t="s">
        <v>728</v>
      </c>
    </row>
    <row r="15" spans="1:1" x14ac:dyDescent="0.35">
      <c r="A15" s="152" t="s">
        <v>729</v>
      </c>
    </row>
    <row r="16" spans="1:1" x14ac:dyDescent="0.35">
      <c r="A16" s="151" t="s">
        <v>766</v>
      </c>
    </row>
    <row r="17" spans="1:1" x14ac:dyDescent="0.35">
      <c r="A17" s="151" t="s">
        <v>767</v>
      </c>
    </row>
    <row r="18" spans="1:1" x14ac:dyDescent="0.35">
      <c r="A18" s="152" t="s">
        <v>730</v>
      </c>
    </row>
    <row r="19" spans="1:1" x14ac:dyDescent="0.35">
      <c r="A19" s="152" t="s">
        <v>731</v>
      </c>
    </row>
    <row r="20" spans="1:1" x14ac:dyDescent="0.35">
      <c r="A20" s="151" t="s">
        <v>768</v>
      </c>
    </row>
    <row r="21" spans="1:1" x14ac:dyDescent="0.35">
      <c r="A21" s="151" t="s">
        <v>769</v>
      </c>
    </row>
    <row r="22" spans="1:1" x14ac:dyDescent="0.35">
      <c r="A22" s="151" t="s">
        <v>770</v>
      </c>
    </row>
    <row r="23" spans="1:1" x14ac:dyDescent="0.35">
      <c r="A23" s="152" t="s">
        <v>732</v>
      </c>
    </row>
    <row r="24" spans="1:1" x14ac:dyDescent="0.35">
      <c r="A24" s="152" t="s">
        <v>733</v>
      </c>
    </row>
    <row r="25" spans="1:1" x14ac:dyDescent="0.35">
      <c r="A25" s="151" t="s">
        <v>771</v>
      </c>
    </row>
    <row r="26" spans="1:1" x14ac:dyDescent="0.35">
      <c r="A26" s="152" t="s">
        <v>734</v>
      </c>
    </row>
    <row r="27" spans="1:1" x14ac:dyDescent="0.35">
      <c r="A27" s="151" t="s">
        <v>735</v>
      </c>
    </row>
    <row r="28" spans="1:1" x14ac:dyDescent="0.35">
      <c r="A28" s="151" t="s">
        <v>736</v>
      </c>
    </row>
    <row r="29" spans="1:1" x14ac:dyDescent="0.35">
      <c r="A29" s="151" t="s">
        <v>772</v>
      </c>
    </row>
    <row r="30" spans="1:1" x14ac:dyDescent="0.35">
      <c r="A30" s="151" t="s">
        <v>773</v>
      </c>
    </row>
    <row r="31" spans="1:1" x14ac:dyDescent="0.35">
      <c r="A31" s="151" t="s">
        <v>737</v>
      </c>
    </row>
    <row r="32" spans="1:1" x14ac:dyDescent="0.35">
      <c r="A32" s="151" t="s">
        <v>774</v>
      </c>
    </row>
    <row r="33" spans="1:1" x14ac:dyDescent="0.35">
      <c r="A33" s="151" t="s">
        <v>775</v>
      </c>
    </row>
    <row r="34" spans="1:1" x14ac:dyDescent="0.35">
      <c r="A34" s="151" t="s">
        <v>776</v>
      </c>
    </row>
    <row r="35" spans="1:1" x14ac:dyDescent="0.35">
      <c r="A35" s="152" t="s">
        <v>738</v>
      </c>
    </row>
    <row r="36" spans="1:1" x14ac:dyDescent="0.35">
      <c r="A36" s="151" t="s">
        <v>777</v>
      </c>
    </row>
    <row r="37" spans="1:1" x14ac:dyDescent="0.35">
      <c r="A37" s="151" t="s">
        <v>778</v>
      </c>
    </row>
    <row r="38" spans="1:1" x14ac:dyDescent="0.35">
      <c r="A38" s="151" t="s">
        <v>779</v>
      </c>
    </row>
    <row r="39" spans="1:1" x14ac:dyDescent="0.35">
      <c r="A39" s="151" t="s">
        <v>780</v>
      </c>
    </row>
    <row r="40" spans="1:1" x14ac:dyDescent="0.35">
      <c r="A40" s="152" t="s">
        <v>739</v>
      </c>
    </row>
    <row r="41" spans="1:1" x14ac:dyDescent="0.35">
      <c r="A41" s="151" t="s">
        <v>781</v>
      </c>
    </row>
    <row r="42" spans="1:1" x14ac:dyDescent="0.35">
      <c r="A42" s="151" t="s">
        <v>740</v>
      </c>
    </row>
    <row r="43" spans="1:1" ht="15" x14ac:dyDescent="0.35">
      <c r="A43" s="151" t="s">
        <v>782</v>
      </c>
    </row>
    <row r="44" spans="1:1" x14ac:dyDescent="0.35">
      <c r="A44" s="151" t="s">
        <v>783</v>
      </c>
    </row>
    <row r="45" spans="1:1" x14ac:dyDescent="0.35">
      <c r="A45" s="151" t="s">
        <v>784</v>
      </c>
    </row>
    <row r="46" spans="1:1" x14ac:dyDescent="0.35">
      <c r="A46" s="151" t="s">
        <v>785</v>
      </c>
    </row>
    <row r="47" spans="1:1" x14ac:dyDescent="0.35">
      <c r="A47" s="151" t="s">
        <v>786</v>
      </c>
    </row>
    <row r="48" spans="1:1" x14ac:dyDescent="0.35">
      <c r="A48" s="152" t="s">
        <v>741</v>
      </c>
    </row>
    <row r="49" spans="1:1" x14ac:dyDescent="0.35">
      <c r="A49" s="151" t="s">
        <v>787</v>
      </c>
    </row>
    <row r="50" spans="1:1" x14ac:dyDescent="0.35">
      <c r="A50" s="152" t="s">
        <v>742</v>
      </c>
    </row>
    <row r="51" spans="1:1" x14ac:dyDescent="0.35">
      <c r="A51" s="151" t="s">
        <v>743</v>
      </c>
    </row>
    <row r="52" spans="1:1" x14ac:dyDescent="0.35">
      <c r="A52" s="151" t="s">
        <v>788</v>
      </c>
    </row>
    <row r="53" spans="1:1" x14ac:dyDescent="0.35">
      <c r="A53" s="151" t="s">
        <v>789</v>
      </c>
    </row>
    <row r="54" spans="1:1" x14ac:dyDescent="0.35">
      <c r="A54" s="151" t="s">
        <v>790</v>
      </c>
    </row>
    <row r="55" spans="1:1" x14ac:dyDescent="0.35">
      <c r="A55" s="151" t="s">
        <v>791</v>
      </c>
    </row>
    <row r="56" spans="1:1" x14ac:dyDescent="0.35">
      <c r="A56" s="151" t="s">
        <v>792</v>
      </c>
    </row>
    <row r="57" spans="1:1" x14ac:dyDescent="0.35">
      <c r="A57" s="151" t="s">
        <v>793</v>
      </c>
    </row>
    <row r="58" spans="1:1" x14ac:dyDescent="0.35">
      <c r="A58" s="151" t="s">
        <v>744</v>
      </c>
    </row>
    <row r="59" spans="1:1" x14ac:dyDescent="0.35">
      <c r="A59" s="151" t="s">
        <v>794</v>
      </c>
    </row>
    <row r="60" spans="1:1" x14ac:dyDescent="0.35">
      <c r="A60" s="151" t="s">
        <v>795</v>
      </c>
    </row>
    <row r="61" spans="1:1" x14ac:dyDescent="0.35">
      <c r="A61" s="151" t="s">
        <v>796</v>
      </c>
    </row>
    <row r="62" spans="1:1" x14ac:dyDescent="0.35">
      <c r="A62" s="151" t="s">
        <v>797</v>
      </c>
    </row>
    <row r="63" spans="1:1" x14ac:dyDescent="0.35">
      <c r="A63" s="151" t="s">
        <v>798</v>
      </c>
    </row>
    <row r="64" spans="1:1" x14ac:dyDescent="0.35">
      <c r="A64" s="151" t="s">
        <v>799</v>
      </c>
    </row>
    <row r="65" spans="1:1" x14ac:dyDescent="0.35">
      <c r="A65" s="151" t="s">
        <v>800</v>
      </c>
    </row>
    <row r="66" spans="1:1" x14ac:dyDescent="0.35">
      <c r="A66" s="151" t="s">
        <v>801</v>
      </c>
    </row>
    <row r="67" spans="1:1" x14ac:dyDescent="0.35">
      <c r="A67" s="151" t="s">
        <v>802</v>
      </c>
    </row>
    <row r="68" spans="1:1" x14ac:dyDescent="0.35">
      <c r="A68" s="151" t="s">
        <v>803</v>
      </c>
    </row>
    <row r="69" spans="1:1" x14ac:dyDescent="0.35">
      <c r="A69" s="152" t="s">
        <v>745</v>
      </c>
    </row>
    <row r="70" spans="1:1" x14ac:dyDescent="0.35">
      <c r="A70" s="152" t="s">
        <v>746</v>
      </c>
    </row>
    <row r="71" spans="1:1" x14ac:dyDescent="0.35">
      <c r="A71" s="151" t="s">
        <v>804</v>
      </c>
    </row>
    <row r="72" spans="1:1" x14ac:dyDescent="0.35">
      <c r="A72" s="151" t="s">
        <v>805</v>
      </c>
    </row>
    <row r="73" spans="1:1" x14ac:dyDescent="0.35">
      <c r="A73" s="152" t="s">
        <v>747</v>
      </c>
    </row>
    <row r="74" spans="1:1" x14ac:dyDescent="0.35">
      <c r="A74" s="152" t="s">
        <v>748</v>
      </c>
    </row>
    <row r="75" spans="1:1" x14ac:dyDescent="0.35">
      <c r="A75" s="151" t="s">
        <v>806</v>
      </c>
    </row>
    <row r="76" spans="1:1" x14ac:dyDescent="0.35">
      <c r="A76" s="151" t="s">
        <v>807</v>
      </c>
    </row>
    <row r="77" spans="1:1" x14ac:dyDescent="0.35">
      <c r="A77" s="151" t="s">
        <v>808</v>
      </c>
    </row>
    <row r="78" spans="1:1" x14ac:dyDescent="0.35">
      <c r="A78" s="151" t="s">
        <v>809</v>
      </c>
    </row>
    <row r="79" spans="1:1" x14ac:dyDescent="0.35">
      <c r="A79" s="151" t="s">
        <v>810</v>
      </c>
    </row>
    <row r="80" spans="1:1" x14ac:dyDescent="0.35">
      <c r="A80" s="151" t="s">
        <v>811</v>
      </c>
    </row>
    <row r="81" spans="1:1" x14ac:dyDescent="0.35">
      <c r="A81" s="151" t="s">
        <v>812</v>
      </c>
    </row>
    <row r="82" spans="1:1" x14ac:dyDescent="0.35">
      <c r="A82" s="152" t="s">
        <v>749</v>
      </c>
    </row>
    <row r="83" spans="1:1" x14ac:dyDescent="0.35">
      <c r="A83" s="152" t="s">
        <v>750</v>
      </c>
    </row>
    <row r="84" spans="1:1" x14ac:dyDescent="0.35">
      <c r="A84" s="152" t="s">
        <v>751</v>
      </c>
    </row>
    <row r="85" spans="1:1" x14ac:dyDescent="0.35">
      <c r="A85" s="152" t="s">
        <v>752</v>
      </c>
    </row>
    <row r="86" spans="1:1" x14ac:dyDescent="0.35">
      <c r="A86" s="151" t="s">
        <v>813</v>
      </c>
    </row>
    <row r="87" spans="1:1" x14ac:dyDescent="0.35">
      <c r="A87" s="151" t="s">
        <v>814</v>
      </c>
    </row>
    <row r="88" spans="1:1" x14ac:dyDescent="0.35">
      <c r="A88" s="151" t="s">
        <v>815</v>
      </c>
    </row>
    <row r="89" spans="1:1" x14ac:dyDescent="0.35">
      <c r="A89" s="151" t="s">
        <v>816</v>
      </c>
    </row>
    <row r="90" spans="1:1" x14ac:dyDescent="0.35">
      <c r="A90" s="151" t="s">
        <v>817</v>
      </c>
    </row>
    <row r="91" spans="1:1" x14ac:dyDescent="0.35">
      <c r="A91" s="151" t="s">
        <v>818</v>
      </c>
    </row>
    <row r="92" spans="1:1" x14ac:dyDescent="0.35">
      <c r="A92" s="151" t="s">
        <v>819</v>
      </c>
    </row>
    <row r="93" spans="1:1" x14ac:dyDescent="0.35">
      <c r="A93" s="151" t="s">
        <v>820</v>
      </c>
    </row>
    <row r="94" spans="1:1" x14ac:dyDescent="0.35">
      <c r="A94" s="151" t="s">
        <v>821</v>
      </c>
    </row>
    <row r="95" spans="1:1" x14ac:dyDescent="0.35">
      <c r="A95" s="151" t="s">
        <v>822</v>
      </c>
    </row>
    <row r="96" spans="1:1" x14ac:dyDescent="0.35">
      <c r="A96" s="151" t="s">
        <v>823</v>
      </c>
    </row>
    <row r="97" spans="1:1" x14ac:dyDescent="0.35">
      <c r="A97" s="151" t="s">
        <v>824</v>
      </c>
    </row>
    <row r="98" spans="1:1" ht="15" x14ac:dyDescent="0.35">
      <c r="A98" s="151" t="s">
        <v>825</v>
      </c>
    </row>
    <row r="99" spans="1:1" x14ac:dyDescent="0.35">
      <c r="A99" s="151" t="s">
        <v>826</v>
      </c>
    </row>
    <row r="100" spans="1:1" x14ac:dyDescent="0.35">
      <c r="A100" s="151" t="s">
        <v>753</v>
      </c>
    </row>
    <row r="101" spans="1:1" x14ac:dyDescent="0.35">
      <c r="A101" s="151" t="s">
        <v>827</v>
      </c>
    </row>
    <row r="102" spans="1:1" x14ac:dyDescent="0.35">
      <c r="A102" s="152" t="s">
        <v>754</v>
      </c>
    </row>
    <row r="103" spans="1:1" x14ac:dyDescent="0.35">
      <c r="A103" s="152" t="s">
        <v>755</v>
      </c>
    </row>
    <row r="104" spans="1:1" x14ac:dyDescent="0.35">
      <c r="A104" s="151" t="s">
        <v>828</v>
      </c>
    </row>
    <row r="105" spans="1:1" x14ac:dyDescent="0.35">
      <c r="A105" s="152" t="s">
        <v>756</v>
      </c>
    </row>
    <row r="106" spans="1:1" x14ac:dyDescent="0.35">
      <c r="A106" s="151" t="s">
        <v>829</v>
      </c>
    </row>
    <row r="107" spans="1:1" x14ac:dyDescent="0.35">
      <c r="A107" s="151" t="s">
        <v>830</v>
      </c>
    </row>
    <row r="108" spans="1:1" x14ac:dyDescent="0.35">
      <c r="A108" s="151" t="s">
        <v>831</v>
      </c>
    </row>
    <row r="109" spans="1:1" x14ac:dyDescent="0.35">
      <c r="A109" s="151" t="s">
        <v>832</v>
      </c>
    </row>
    <row r="110" spans="1:1" x14ac:dyDescent="0.35">
      <c r="A110" s="151" t="s">
        <v>833</v>
      </c>
    </row>
    <row r="111" spans="1:1" x14ac:dyDescent="0.35">
      <c r="A111" s="151" t="s">
        <v>834</v>
      </c>
    </row>
    <row r="112" spans="1:1" x14ac:dyDescent="0.35">
      <c r="A112" s="151" t="s">
        <v>835</v>
      </c>
    </row>
    <row r="113" spans="1:1" x14ac:dyDescent="0.35">
      <c r="A113" s="151" t="s">
        <v>836</v>
      </c>
    </row>
    <row r="114" spans="1:1" x14ac:dyDescent="0.35">
      <c r="A114" s="151" t="s">
        <v>837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Trait Criteria</vt:lpstr>
      <vt:lpstr>Data</vt:lpstr>
      <vt:lpstr>References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 Harper</dc:creator>
  <cp:lastModifiedBy>Jack Harper</cp:lastModifiedBy>
  <dcterms:created xsi:type="dcterms:W3CDTF">2019-10-11T09:14:30Z</dcterms:created>
  <dcterms:modified xsi:type="dcterms:W3CDTF">2022-03-13T16:36:09Z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0x0101000D353E83C6A6DD4A9093067B7F474B59</vt:lpwstr>
  </property>
  <property fmtid="{D5CDD505-2E9C-101B-9397-08002B2CF9AE}" pid="3" name="WorkbookGuid">
    <vt:lpwstr>5d5a0267-13c8-4b76-946b-b78b5f832761</vt:lpwstr>
  </property>
</Properties>
</file>