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showInkAnnotation="0" codeName="ThisWorkbook" autoCompressPictures="0"/>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B429F8E6-3970-5343-9450-04996C478760}" xr6:coauthVersionLast="47" xr6:coauthVersionMax="47" xr10:uidLastSave="{00000000-0000-0000-0000-000000000000}"/>
  <bookViews>
    <workbookView xWindow="33680" yWindow="-2480" windowWidth="23240" windowHeight="17040" tabRatio="500" xr2:uid="{00000000-000D-0000-FFFF-FFFF00000000}"/>
  </bookViews>
  <sheets>
    <sheet name="Aim&amp;Method" sheetId="83" r:id="rId1"/>
    <sheet name="Blank design chart (Fig 22)" sheetId="80" r:id="rId2"/>
    <sheet name="Summary design chart (Fig 34)" sheetId="82" r:id="rId3"/>
  </sheets>
  <calcPr calcId="191029"/>
  <webPublishing allowPng="1" targetScreenSize="1024x768" codePage="1000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92" i="82" l="1"/>
  <c r="H92" i="82"/>
  <c r="I91" i="82"/>
  <c r="H91" i="82"/>
  <c r="I90" i="82"/>
  <c r="H90" i="82"/>
  <c r="I89" i="82"/>
  <c r="H89" i="82"/>
  <c r="I88" i="82"/>
  <c r="H88" i="82"/>
  <c r="I87" i="82"/>
  <c r="H87" i="82"/>
  <c r="I86" i="82"/>
  <c r="H86" i="82"/>
  <c r="I85" i="82"/>
  <c r="H85" i="82"/>
  <c r="I84" i="82"/>
  <c r="H84" i="82"/>
  <c r="I83" i="82"/>
  <c r="H83" i="82"/>
  <c r="I82" i="82"/>
  <c r="H82" i="82"/>
  <c r="I81" i="82"/>
  <c r="H81" i="82"/>
  <c r="I80" i="82"/>
  <c r="H80" i="82"/>
  <c r="I79" i="82"/>
  <c r="H79" i="82"/>
  <c r="I78" i="82"/>
  <c r="H78" i="82"/>
  <c r="I77" i="82"/>
  <c r="H77" i="82"/>
  <c r="I76" i="82"/>
  <c r="H76" i="82"/>
  <c r="I75" i="82"/>
  <c r="H75" i="82"/>
  <c r="I74" i="82"/>
  <c r="H74" i="82"/>
  <c r="I73" i="82"/>
  <c r="H73" i="82"/>
  <c r="I72" i="82"/>
  <c r="H72" i="82"/>
  <c r="I71" i="82"/>
  <c r="H71" i="82"/>
  <c r="I70" i="82"/>
  <c r="H70" i="82"/>
  <c r="I69" i="82"/>
  <c r="H69" i="82"/>
  <c r="I68" i="82"/>
  <c r="H68" i="82"/>
  <c r="I67" i="82"/>
  <c r="H67" i="82"/>
  <c r="I66" i="82"/>
  <c r="H66" i="82"/>
  <c r="I65" i="82"/>
  <c r="H65" i="82"/>
  <c r="I64" i="82"/>
  <c r="H64" i="82"/>
  <c r="I63" i="82"/>
  <c r="H63" i="82"/>
  <c r="I62" i="82"/>
  <c r="H62" i="82"/>
  <c r="I61" i="82"/>
  <c r="H61" i="82"/>
  <c r="I60" i="82"/>
  <c r="H60" i="82"/>
  <c r="I59" i="82"/>
  <c r="H59" i="82"/>
  <c r="I58" i="82"/>
  <c r="H58" i="82"/>
  <c r="I57" i="82"/>
  <c r="H57" i="82"/>
  <c r="I56" i="82"/>
  <c r="H56" i="82"/>
  <c r="I55" i="82"/>
  <c r="H55" i="82"/>
  <c r="I54" i="82"/>
  <c r="H54" i="82"/>
  <c r="I53" i="82"/>
  <c r="H53" i="82"/>
  <c r="I52" i="82"/>
  <c r="H52" i="82"/>
  <c r="I51" i="82"/>
  <c r="H51" i="82"/>
  <c r="I50" i="82"/>
  <c r="H50" i="82"/>
  <c r="I49" i="82"/>
  <c r="H49" i="82"/>
  <c r="I48" i="82"/>
  <c r="H48" i="82"/>
  <c r="I47" i="82"/>
  <c r="H47" i="82"/>
  <c r="I46" i="82"/>
  <c r="H46" i="82"/>
  <c r="I45" i="82"/>
  <c r="H45" i="82"/>
  <c r="I44" i="82"/>
  <c r="H44" i="82"/>
  <c r="I43" i="82"/>
  <c r="H43" i="82"/>
  <c r="I42" i="82"/>
  <c r="H42" i="82"/>
  <c r="I41" i="82"/>
  <c r="H41" i="82"/>
  <c r="I40" i="82"/>
  <c r="H40" i="82"/>
  <c r="I39" i="82"/>
  <c r="H39" i="82"/>
  <c r="I38" i="82"/>
  <c r="H38" i="82"/>
  <c r="I37" i="82"/>
  <c r="H37" i="82"/>
  <c r="I36" i="82"/>
  <c r="H36" i="82"/>
  <c r="I35" i="82"/>
  <c r="H35" i="82"/>
  <c r="I34" i="82"/>
  <c r="H34" i="82"/>
  <c r="I33" i="82"/>
  <c r="H33" i="82"/>
  <c r="I32" i="82"/>
  <c r="H32" i="82"/>
  <c r="I31" i="82"/>
  <c r="H31" i="82"/>
  <c r="I30" i="82"/>
  <c r="H30" i="82"/>
  <c r="I29" i="82"/>
  <c r="H29" i="82"/>
  <c r="I28" i="82"/>
  <c r="H28" i="82"/>
  <c r="I27" i="82"/>
  <c r="H27" i="82"/>
  <c r="I26" i="82"/>
  <c r="H26" i="82"/>
  <c r="I25" i="82"/>
  <c r="H25" i="82"/>
  <c r="I24" i="82"/>
  <c r="H24" i="82"/>
  <c r="I23" i="82"/>
  <c r="H23" i="82"/>
  <c r="I22" i="82"/>
  <c r="H22" i="82"/>
  <c r="I21" i="82"/>
  <c r="H21" i="82"/>
  <c r="I20" i="82"/>
  <c r="H20" i="82"/>
  <c r="I19" i="82"/>
  <c r="H19" i="82"/>
  <c r="I18" i="82"/>
  <c r="H18" i="82"/>
  <c r="I17" i="82"/>
  <c r="H17" i="82"/>
  <c r="I16" i="82"/>
  <c r="H16" i="82"/>
  <c r="I15" i="82"/>
  <c r="H15" i="82"/>
  <c r="I14" i="82"/>
  <c r="H14" i="82"/>
  <c r="I13" i="82"/>
  <c r="H13" i="82"/>
  <c r="I12" i="82"/>
  <c r="H12" i="82"/>
  <c r="I11" i="82"/>
  <c r="H11" i="82"/>
  <c r="I10" i="82"/>
  <c r="H10" i="82"/>
  <c r="I9" i="82"/>
  <c r="H9" i="82"/>
  <c r="I8" i="82"/>
  <c r="H8" i="82"/>
  <c r="I7" i="82"/>
  <c r="H7" i="82"/>
  <c r="I6" i="82"/>
  <c r="H6" i="82"/>
  <c r="AE26" i="82"/>
  <c r="AF26" i="82" s="1"/>
  <c r="AE24" i="82"/>
  <c r="AF24" i="82" s="1"/>
  <c r="AE22" i="82"/>
  <c r="AF22" i="82" s="1"/>
  <c r="AE20" i="82"/>
  <c r="AF20" i="82" s="1"/>
  <c r="AF25" i="82"/>
  <c r="AF23" i="82"/>
  <c r="AF21" i="82"/>
  <c r="AF19" i="82"/>
  <c r="N40" i="82" l="1"/>
  <c r="X82" i="82"/>
  <c r="V73" i="82"/>
  <c r="W37" i="82"/>
  <c r="O19" i="82"/>
  <c r="Y82" i="82"/>
  <c r="O55" i="82"/>
  <c r="O82" i="82"/>
  <c r="O73" i="82"/>
  <c r="N82" i="82"/>
  <c r="K24" i="82"/>
  <c r="W22" i="82"/>
  <c r="W34" i="82"/>
  <c r="O80" i="82"/>
  <c r="X31" i="82"/>
  <c r="V40" i="82"/>
  <c r="V43" i="82"/>
  <c r="W46" i="82"/>
  <c r="V50" i="82"/>
  <c r="V55" i="82"/>
  <c r="V59" i="82"/>
  <c r="V64" i="82"/>
  <c r="V68" i="82"/>
  <c r="W77" i="82"/>
  <c r="N34" i="82"/>
  <c r="Y50" i="82"/>
  <c r="W82" i="82"/>
  <c r="V31" i="82"/>
  <c r="N43" i="82"/>
  <c r="N46" i="82"/>
  <c r="W55" i="82"/>
  <c r="W59" i="82"/>
  <c r="X10" i="82"/>
  <c r="X43" i="82"/>
  <c r="O53" i="82"/>
  <c r="X55" i="82"/>
  <c r="K66" i="82"/>
  <c r="V19" i="82"/>
  <c r="V34" i="82"/>
  <c r="W68" i="82"/>
  <c r="N64" i="82"/>
  <c r="K81" i="82"/>
  <c r="Y22" i="82"/>
  <c r="O71" i="82"/>
  <c r="X68" i="82"/>
  <c r="V77" i="82"/>
  <c r="L21" i="82"/>
  <c r="W31" i="82"/>
  <c r="V37" i="82"/>
  <c r="L81" i="82"/>
  <c r="M82" i="82" s="1"/>
  <c r="T81" i="82" s="1"/>
  <c r="Z82" i="82" s="1"/>
  <c r="V10" i="82"/>
  <c r="V22" i="82"/>
  <c r="N37" i="82"/>
  <c r="Y16" i="82"/>
  <c r="N31" i="82"/>
  <c r="X37" i="82"/>
  <c r="L48" i="82"/>
  <c r="V82" i="82"/>
  <c r="Y88" i="82"/>
  <c r="W43" i="82"/>
  <c r="W50" i="82"/>
  <c r="W73" i="82"/>
  <c r="L6" i="82"/>
  <c r="N19" i="82"/>
  <c r="N29" i="82"/>
  <c r="L24" i="82"/>
  <c r="O29" i="82"/>
  <c r="T48" i="82"/>
  <c r="Z50" i="82" s="1"/>
  <c r="X59" i="82"/>
  <c r="T57" i="82"/>
  <c r="Z59" i="82" s="1"/>
  <c r="Y59" i="82"/>
  <c r="W88" i="82"/>
  <c r="X19" i="82"/>
  <c r="Y26" i="82"/>
  <c r="Y19" i="82"/>
  <c r="L18" i="82"/>
  <c r="O13" i="82"/>
  <c r="K18" i="82"/>
  <c r="V26" i="82"/>
  <c r="W26" i="82"/>
  <c r="V46" i="82"/>
  <c r="L60" i="82"/>
  <c r="W64" i="82"/>
  <c r="X77" i="82"/>
  <c r="T6" i="82"/>
  <c r="Z10" i="82" s="1"/>
  <c r="Y34" i="82"/>
  <c r="L33" i="82"/>
  <c r="O34" i="82"/>
  <c r="K33" i="82"/>
  <c r="X34" i="82"/>
  <c r="N53" i="82"/>
  <c r="W40" i="82"/>
  <c r="L45" i="82"/>
  <c r="Y46" i="82"/>
  <c r="X46" i="82"/>
  <c r="O46" i="82"/>
  <c r="K45" i="82"/>
  <c r="O62" i="82"/>
  <c r="L75" i="82"/>
  <c r="W16" i="82"/>
  <c r="V16" i="82"/>
  <c r="X40" i="82"/>
  <c r="L39" i="82"/>
  <c r="Y40" i="82"/>
  <c r="O40" i="82"/>
  <c r="K39" i="82"/>
  <c r="K78" i="82"/>
  <c r="N80" i="82"/>
  <c r="Y77" i="82"/>
  <c r="K75" i="82"/>
  <c r="N13" i="82"/>
  <c r="K12" i="82"/>
  <c r="K57" i="82"/>
  <c r="O64" i="82"/>
  <c r="W10" i="82"/>
  <c r="W19" i="82"/>
  <c r="L30" i="82"/>
  <c r="Y31" i="82"/>
  <c r="L36" i="82"/>
  <c r="Y37" i="82"/>
  <c r="L42" i="82"/>
  <c r="Y43" i="82"/>
  <c r="L54" i="82"/>
  <c r="Y55" i="82"/>
  <c r="K60" i="82"/>
  <c r="L66" i="82"/>
  <c r="T84" i="82"/>
  <c r="Z88" i="82" s="1"/>
  <c r="Y10" i="82"/>
  <c r="K63" i="82"/>
  <c r="X64" i="82"/>
  <c r="N73" i="82"/>
  <c r="V88" i="82"/>
  <c r="L12" i="82"/>
  <c r="K51" i="82"/>
  <c r="Y64" i="82"/>
  <c r="Y68" i="82"/>
  <c r="N71" i="82"/>
  <c r="X73" i="82"/>
  <c r="K84" i="82"/>
  <c r="K6" i="82"/>
  <c r="N16" i="82"/>
  <c r="N22" i="82"/>
  <c r="L51" i="82"/>
  <c r="L72" i="82"/>
  <c r="Y73" i="82"/>
  <c r="L84" i="82"/>
  <c r="N91" i="82"/>
  <c r="L57" i="82"/>
  <c r="L63" i="82"/>
  <c r="K72" i="82"/>
  <c r="K15" i="82"/>
  <c r="O16" i="82"/>
  <c r="X16" i="82"/>
  <c r="K21" i="82"/>
  <c r="O22" i="82"/>
  <c r="X22" i="82"/>
  <c r="T24" i="82"/>
  <c r="Z26" i="82" s="1"/>
  <c r="X26" i="82"/>
  <c r="X50" i="82"/>
  <c r="N55" i="82"/>
  <c r="N62" i="82"/>
  <c r="L78" i="82"/>
  <c r="O91" i="82"/>
  <c r="X88" i="82"/>
  <c r="L15" i="82"/>
  <c r="K30" i="82"/>
  <c r="O31" i="82"/>
  <c r="K36" i="82"/>
  <c r="O37" i="82"/>
  <c r="K42" i="82"/>
  <c r="O43" i="82"/>
  <c r="K48" i="82"/>
  <c r="K54" i="82"/>
  <c r="M73" i="82" l="1"/>
  <c r="T72" i="82" s="1"/>
  <c r="Z73" i="82" s="1"/>
  <c r="P82" i="82"/>
  <c r="Q82" i="82" s="1"/>
  <c r="P80" i="82"/>
  <c r="Q80" i="82" s="1"/>
  <c r="M24" i="82"/>
  <c r="M68" i="82"/>
  <c r="T66" i="82" s="1"/>
  <c r="Z68" i="82" s="1"/>
  <c r="P53" i="82"/>
  <c r="Q53" i="82" s="1"/>
  <c r="M22" i="82"/>
  <c r="T21" i="82" s="1"/>
  <c r="Z22" i="82" s="1"/>
  <c r="M19" i="82"/>
  <c r="T18" i="82" s="1"/>
  <c r="Z19" i="82" s="1"/>
  <c r="M16" i="82"/>
  <c r="T15" i="82" s="1"/>
  <c r="Z16" i="82" s="1"/>
  <c r="M13" i="82"/>
  <c r="M48" i="82"/>
  <c r="P71" i="82"/>
  <c r="Q71" i="82" s="1"/>
  <c r="M51" i="82"/>
  <c r="M60" i="82"/>
  <c r="M84" i="82"/>
  <c r="M40" i="82"/>
  <c r="T39" i="82" s="1"/>
  <c r="Z40" i="82" s="1"/>
  <c r="M55" i="82"/>
  <c r="T54" i="82" s="1"/>
  <c r="Z55" i="82" s="1"/>
  <c r="M43" i="82"/>
  <c r="T42" i="82" s="1"/>
  <c r="Z43" i="82" s="1"/>
  <c r="P22" i="82"/>
  <c r="R22" i="82" s="1"/>
  <c r="M31" i="82"/>
  <c r="T30" i="82" s="1"/>
  <c r="Z31" i="82" s="1"/>
  <c r="P62" i="82"/>
  <c r="R62" i="82" s="1"/>
  <c r="P31" i="82"/>
  <c r="R31" i="82" s="1"/>
  <c r="P34" i="82"/>
  <c r="R34" i="82" s="1"/>
  <c r="P91" i="82"/>
  <c r="R91" i="82" s="1"/>
  <c r="P40" i="82"/>
  <c r="R40" i="82" s="1"/>
  <c r="P29" i="82"/>
  <c r="R29" i="82" s="1"/>
  <c r="M6" i="82"/>
  <c r="P13" i="82"/>
  <c r="R13" i="82" s="1"/>
  <c r="Q13" i="82"/>
  <c r="P46" i="82"/>
  <c r="R46" i="82" s="1"/>
  <c r="P55" i="82"/>
  <c r="Q55" i="82" s="1"/>
  <c r="P19" i="82"/>
  <c r="Q19" i="82" s="1"/>
  <c r="M79" i="82"/>
  <c r="T75" i="82" s="1"/>
  <c r="Z77" i="82" s="1"/>
  <c r="M64" i="82"/>
  <c r="T63" i="82" s="1"/>
  <c r="Z64" i="82" s="1"/>
  <c r="M37" i="82"/>
  <c r="T36" i="82" s="1"/>
  <c r="Z37" i="82" s="1"/>
  <c r="M46" i="82"/>
  <c r="T45" i="82" s="1"/>
  <c r="Z46" i="82" s="1"/>
  <c r="P73" i="82"/>
  <c r="Q73" i="82" s="1"/>
  <c r="P16" i="82"/>
  <c r="Q16" i="82" s="1"/>
  <c r="M34" i="82"/>
  <c r="T33" i="82" s="1"/>
  <c r="Z34" i="82" s="1"/>
  <c r="P64" i="82"/>
  <c r="R64" i="82" s="1"/>
  <c r="P43" i="82"/>
  <c r="R43" i="82" s="1"/>
  <c r="P37" i="82"/>
  <c r="R37" i="82" s="1"/>
  <c r="M57" i="82"/>
  <c r="M75" i="82"/>
  <c r="R82" i="82"/>
  <c r="S82" i="82" s="1"/>
  <c r="Q31" i="82" l="1"/>
  <c r="Q43" i="82"/>
  <c r="S42" i="82" s="1"/>
  <c r="R80" i="82"/>
  <c r="S78" i="82" s="1"/>
  <c r="Q91" i="82"/>
  <c r="S85" i="82" s="1"/>
  <c r="Q62" i="82"/>
  <c r="S57" i="82" s="1"/>
  <c r="R53" i="82"/>
  <c r="S52" i="82" s="1"/>
  <c r="R71" i="82"/>
  <c r="S68" i="82" s="1"/>
  <c r="Q64" i="82"/>
  <c r="S64" i="82" s="1"/>
  <c r="Q46" i="82"/>
  <c r="S45" i="82" s="1"/>
  <c r="Q40" i="82"/>
  <c r="S39" i="82" s="1"/>
  <c r="R55" i="82"/>
  <c r="S56" i="82" s="1"/>
  <c r="Q22" i="82"/>
  <c r="S23" i="82" s="1"/>
  <c r="S41" i="82"/>
  <c r="S72" i="82"/>
  <c r="S73" i="82"/>
  <c r="S74" i="82"/>
  <c r="Q29" i="82"/>
  <c r="S31" i="82"/>
  <c r="S32" i="82"/>
  <c r="S30" i="82"/>
  <c r="S83" i="82"/>
  <c r="S43" i="82"/>
  <c r="S44" i="82"/>
  <c r="R19" i="82"/>
  <c r="S20" i="82" s="1"/>
  <c r="R16" i="82"/>
  <c r="S17" i="82" s="1"/>
  <c r="S8" i="82"/>
  <c r="S11" i="82"/>
  <c r="S9" i="82"/>
  <c r="S10" i="82"/>
  <c r="S7" i="82"/>
  <c r="S12" i="82"/>
  <c r="S13" i="82"/>
  <c r="S6" i="82"/>
  <c r="S14" i="82"/>
  <c r="Q34" i="82"/>
  <c r="S81" i="82"/>
  <c r="Q37" i="82"/>
  <c r="R73" i="82"/>
  <c r="S90" i="82" l="1"/>
  <c r="S91" i="82"/>
  <c r="S92" i="82"/>
  <c r="S87" i="82"/>
  <c r="S61" i="82"/>
  <c r="S86" i="82"/>
  <c r="S84" i="82"/>
  <c r="S88" i="82"/>
  <c r="S49" i="82"/>
  <c r="S89" i="82"/>
  <c r="S67" i="82"/>
  <c r="S62" i="82"/>
  <c r="S69" i="82"/>
  <c r="S59" i="82"/>
  <c r="S58" i="82"/>
  <c r="S60" i="82"/>
  <c r="S80" i="82"/>
  <c r="S79" i="82"/>
  <c r="S75" i="82"/>
  <c r="S77" i="82"/>
  <c r="S76" i="82"/>
  <c r="S48" i="82"/>
  <c r="S50" i="82"/>
  <c r="S71" i="82"/>
  <c r="S66" i="82"/>
  <c r="S70" i="82"/>
  <c r="S51" i="82"/>
  <c r="S53" i="82"/>
  <c r="S65" i="82"/>
  <c r="S40" i="82"/>
  <c r="S54" i="82"/>
  <c r="S63" i="82"/>
  <c r="S47" i="82"/>
  <c r="S46" i="82"/>
  <c r="S22" i="82"/>
  <c r="S55" i="82"/>
  <c r="S21" i="82"/>
  <c r="S19" i="82"/>
  <c r="S18" i="82"/>
  <c r="S16" i="82"/>
  <c r="S27" i="82"/>
  <c r="S29" i="82"/>
  <c r="S25" i="82"/>
  <c r="S24" i="82"/>
  <c r="S28" i="82"/>
  <c r="S26" i="82"/>
  <c r="S15" i="82"/>
  <c r="S37" i="82"/>
  <c r="S38" i="82"/>
  <c r="S36" i="82"/>
  <c r="S35" i="82"/>
  <c r="S34" i="82"/>
  <c r="S33" i="82"/>
  <c r="E23" i="80" l="1"/>
  <c r="F23" i="80" s="1"/>
  <c r="E21" i="80"/>
  <c r="F21" i="80" s="1"/>
  <c r="E19" i="80"/>
  <c r="F19" i="80" s="1"/>
  <c r="E17" i="80"/>
  <c r="F17" i="80" s="1"/>
  <c r="F22" i="80"/>
  <c r="F20" i="80"/>
  <c r="F18" i="80"/>
  <c r="F16" i="80"/>
</calcChain>
</file>

<file path=xl/sharedStrings.xml><?xml version="1.0" encoding="utf-8"?>
<sst xmlns="http://schemas.openxmlformats.org/spreadsheetml/2006/main" count="312" uniqueCount="207">
  <si>
    <t>d [mm]</t>
  </si>
  <si>
    <t>Batch</t>
  </si>
  <si>
    <t>Thickness, d [mm]</t>
  </si>
  <si>
    <t>Spec. name on chart</t>
  </si>
  <si>
    <t>Forming pressure [MPa]</t>
  </si>
  <si>
    <t>%age error</t>
  </si>
  <si>
    <t>SANS/ISO Target</t>
  </si>
  <si>
    <t>ISO Target</t>
  </si>
  <si>
    <t>31A</t>
  </si>
  <si>
    <t>31B</t>
  </si>
  <si>
    <t>31C</t>
  </si>
  <si>
    <t>31D</t>
  </si>
  <si>
    <t>31E</t>
  </si>
  <si>
    <t>31F</t>
  </si>
  <si>
    <t>33D</t>
  </si>
  <si>
    <t>33E</t>
  </si>
  <si>
    <t>33F</t>
  </si>
  <si>
    <t>29D</t>
  </si>
  <si>
    <t>29E</t>
  </si>
  <si>
    <t>29F</t>
  </si>
  <si>
    <t>34A</t>
  </si>
  <si>
    <t>PSD [µm]</t>
  </si>
  <si>
    <t>150 µm (0.4 MPa)</t>
  </si>
  <si>
    <t>600 µm (0.4 MPa)</t>
  </si>
  <si>
    <t>34D</t>
  </si>
  <si>
    <t>34E</t>
  </si>
  <si>
    <t>35D</t>
  </si>
  <si>
    <t>35E</t>
  </si>
  <si>
    <t>35F</t>
  </si>
  <si>
    <t>150 µm (0.2 MPa)</t>
  </si>
  <si>
    <t>600 µm (0.2 MPa)</t>
  </si>
  <si>
    <t>425 µm (0.2 MPa)</t>
  </si>
  <si>
    <t>36A</t>
  </si>
  <si>
    <t>36B</t>
  </si>
  <si>
    <t>36C</t>
  </si>
  <si>
    <t>425 µm (0.3 MPa)</t>
  </si>
  <si>
    <t>150 µm (0.3 MPa)</t>
  </si>
  <si>
    <t>212 µm (0.1 MPa)</t>
  </si>
  <si>
    <t>600 µm (0.1 MPa)</t>
  </si>
  <si>
    <t>150 µm (0.1 MPa)</t>
  </si>
  <si>
    <t>300 µm (0.3 MPa)</t>
  </si>
  <si>
    <t>43A</t>
  </si>
  <si>
    <t>43B</t>
  </si>
  <si>
    <t>43C</t>
  </si>
  <si>
    <t>43D</t>
  </si>
  <si>
    <t>43E</t>
  </si>
  <si>
    <t>43F</t>
  </si>
  <si>
    <t>46F</t>
  </si>
  <si>
    <t>46E</t>
  </si>
  <si>
    <t>46D</t>
  </si>
  <si>
    <t>46A</t>
  </si>
  <si>
    <t>46B</t>
  </si>
  <si>
    <t>46C</t>
  </si>
  <si>
    <t>425 µm (0.1 MPa)</t>
  </si>
  <si>
    <t>47A</t>
  </si>
  <si>
    <t>47B</t>
  </si>
  <si>
    <t>47C</t>
  </si>
  <si>
    <t>47D</t>
  </si>
  <si>
    <t>47E</t>
  </si>
  <si>
    <t>47F</t>
  </si>
  <si>
    <t>212 µm (0.3 MPa)</t>
  </si>
  <si>
    <t>212 µm (0.2 MPa)</t>
  </si>
  <si>
    <t>300 µm (0.2 MPa)</t>
  </si>
  <si>
    <t>48A</t>
  </si>
  <si>
    <t>48B</t>
  </si>
  <si>
    <t>48C</t>
  </si>
  <si>
    <t>48D</t>
  </si>
  <si>
    <t>48E</t>
  </si>
  <si>
    <t>48F</t>
  </si>
  <si>
    <t>300 µm (0.1 MPa)</t>
  </si>
  <si>
    <t>212 µm (0.4 MPa)</t>
  </si>
  <si>
    <t>300 µm (0.4 MPa)</t>
  </si>
  <si>
    <t>600 µm (0.3 MPa)</t>
  </si>
  <si>
    <t>425 µm (0.4 MPa)</t>
  </si>
  <si>
    <t>49A</t>
  </si>
  <si>
    <t>49B</t>
  </si>
  <si>
    <t>49C</t>
  </si>
  <si>
    <t>49D</t>
  </si>
  <si>
    <t>49E</t>
  </si>
  <si>
    <t>49F</t>
  </si>
  <si>
    <t>50D</t>
  </si>
  <si>
    <t>50E</t>
  </si>
  <si>
    <t>50F</t>
  </si>
  <si>
    <t>50A</t>
  </si>
  <si>
    <t>50B</t>
  </si>
  <si>
    <t>50C</t>
  </si>
  <si>
    <t>IQR</t>
  </si>
  <si>
    <t>Upper</t>
  </si>
  <si>
    <t>Lower</t>
  </si>
  <si>
    <t>MOR outlier?</t>
  </si>
  <si>
    <t>51D</t>
  </si>
  <si>
    <t>51E</t>
  </si>
  <si>
    <t>51F</t>
  </si>
  <si>
    <t>53D</t>
  </si>
  <si>
    <t>53E</t>
  </si>
  <si>
    <t>53F</t>
  </si>
  <si>
    <t>51A</t>
  </si>
  <si>
    <t>51B</t>
  </si>
  <si>
    <t>51C</t>
  </si>
  <si>
    <t>52A</t>
  </si>
  <si>
    <t>52B</t>
  </si>
  <si>
    <t>52C</t>
  </si>
  <si>
    <t>52D</t>
  </si>
  <si>
    <t>52E</t>
  </si>
  <si>
    <t>52F</t>
  </si>
  <si>
    <t>54D</t>
  </si>
  <si>
    <t>54E</t>
  </si>
  <si>
    <t>54F</t>
  </si>
  <si>
    <t>53A</t>
  </si>
  <si>
    <t>53B</t>
  </si>
  <si>
    <t>53C</t>
  </si>
  <si>
    <t>54A</t>
  </si>
  <si>
    <t>54B</t>
  </si>
  <si>
    <t>54C</t>
  </si>
  <si>
    <t>55A</t>
  </si>
  <si>
    <t>55B</t>
  </si>
  <si>
    <t>55C</t>
  </si>
  <si>
    <t>55D</t>
  </si>
  <si>
    <t>55E</t>
  </si>
  <si>
    <t>55F</t>
  </si>
  <si>
    <t>Breaking strength, S [N]</t>
  </si>
  <si>
    <t>Breaking force, F [N]</t>
  </si>
  <si>
    <t>MOR [MPa]</t>
  </si>
  <si>
    <t>Breaking Strength, S [N]</t>
  </si>
  <si>
    <t>Specimen width, b [mm]</t>
  </si>
  <si>
    <t>First point</t>
  </si>
  <si>
    <t>Second point</t>
  </si>
  <si>
    <t>Arbitrary breaking force, F [N]</t>
  </si>
  <si>
    <t>Points used to plot theoretical thickness lines</t>
  </si>
  <si>
    <t>Points used to plot breaking strength target</t>
  </si>
  <si>
    <t>Points used to plot MOR target</t>
  </si>
  <si>
    <t>Constants used to calculate thickness line values</t>
  </si>
  <si>
    <r>
      <t>Span between lower cylindrical support rods, L</t>
    </r>
    <r>
      <rPr>
        <b/>
        <vertAlign val="subscript"/>
        <sz val="10"/>
        <color theme="1"/>
        <rFont val="Calibri (Body)"/>
      </rPr>
      <t>1</t>
    </r>
    <r>
      <rPr>
        <b/>
        <sz val="10"/>
        <color theme="1"/>
        <rFont val="Calibri"/>
        <family val="2"/>
        <scheme val="minor"/>
      </rPr>
      <t xml:space="preserve"> [mm]</t>
    </r>
  </si>
  <si>
    <t>Average MOR</t>
  </si>
  <si>
    <t>MOR σ</t>
  </si>
  <si>
    <t>RSM F-test replicate</t>
  </si>
  <si>
    <t>1st run</t>
  </si>
  <si>
    <t>Replicate justification</t>
  </si>
  <si>
    <t>MOR σ [MPa]</t>
  </si>
  <si>
    <t>MOR initial %age error</t>
  </si>
  <si>
    <t>IQR (interquartile range)</t>
  </si>
  <si>
    <t>Upper fence</t>
  </si>
  <si>
    <t>Lower fence</t>
  </si>
  <si>
    <t>S σ [N]</t>
  </si>
  <si>
    <t>Final breaking strength, S [N]</t>
  </si>
  <si>
    <t>Final S σ [N]</t>
  </si>
  <si>
    <t xml:space="preserve">Final MOR </t>
  </si>
  <si>
    <t>MOR %age error</t>
  </si>
  <si>
    <t>Final MOR σ [MPa]</t>
  </si>
  <si>
    <t>Specimen ID</t>
  </si>
  <si>
    <t xml:space="preserve"> </t>
  </si>
  <si>
    <t>An alphanumeric identifier unique to each geo-tile made. The number signifies the batch number the geo-tile was cured with. The letter after the number is used to identify the specific specimen in the batch. The letter ranges from A through F, since a maximum of 6 geo-tiles could be cured in a given batch</t>
  </si>
  <si>
    <t>fence</t>
  </si>
  <si>
    <r>
      <t>Span between lower cylindrical support rods, L</t>
    </r>
    <r>
      <rPr>
        <b/>
        <vertAlign val="subscript"/>
        <sz val="12"/>
        <color theme="1"/>
        <rFont val="Calibri (Body)"/>
      </rPr>
      <t>1</t>
    </r>
    <r>
      <rPr>
        <b/>
        <sz val="12"/>
        <color theme="1"/>
        <rFont val="Calibri"/>
        <family val="2"/>
        <scheme val="minor"/>
      </rPr>
      <t xml:space="preserve"> [mm]</t>
    </r>
  </si>
  <si>
    <t>The particle size distribution (PSD) classification was the 2nd predictor factor investigated. The variable PSD was used to classify the Cu tailings used to form geo-tiles and corresponded to the sieve aperture size the tailings were passed through before use.</t>
  </si>
  <si>
    <t>Specimens with MOR values greater than the upper fence or less than the lower fence were considered outliers, thus were statistically excluded.</t>
  </si>
  <si>
    <t>The MOR error calculated from the average of specimens that remained after outliers were statistically excluded. Where: MOR final %age error = ((Final MOR σ) ÷ (Final MOR)) × 100</t>
  </si>
  <si>
    <t>The pressure applied to geo-tiles when forming them prior to curing. This was the 1st predictor factor investigated. Pressure was applied whilst moist geo-tiles were in the stainless steel mould by the Universal Testing Machine (Proline Z20, Zwick Roell, Ulm, Germany)</t>
  </si>
  <si>
    <t>The minimum geo-tile specimen thickness along the broken edge after the three point bending test. This was needed to calculate the geo-tile's breaking strength, S and its modulus of rupture (MOR)</t>
  </si>
  <si>
    <t>Calculated values</t>
  </si>
  <si>
    <t>Typically a given combination of predictor factors was run in triplicate at minimum. When the initial MOR error of a triplicate set was ≥ 15%, the experiment under those forming conditions was replicated. The RSM model also required replicates to satisfy F-test conditions, these are also identified.</t>
  </si>
  <si>
    <t>Initial</t>
  </si>
  <si>
    <t>initial MOR</t>
  </si>
  <si>
    <t>Initial average MOR [MPa]</t>
  </si>
  <si>
    <t>Average MOR of geo-tiles under a given set of forming parameters without the removal of outliers</t>
  </si>
  <si>
    <t>Initial MOR σ [MPa]</t>
  </si>
  <si>
    <t>Error in the average MOR value expressed as a percentage for geo-tiles under a given set of forming parameters without the removal of outliers. It was calculated as follows: Initial MOR error = (Initial MOR σ ÷ Initial average MOR) × 100</t>
  </si>
  <si>
    <t>The MOR value representing the point at which 25% of the MOR values in a given set of forming parameters are greater than it.</t>
  </si>
  <si>
    <t>The MOR value representing the point at which 25% of the MOR values in a given set of forming parameters are less than it.</t>
  </si>
  <si>
    <t>1st Quartile MOR</t>
  </si>
  <si>
    <t>3rd Quartile MOR</t>
  </si>
  <si>
    <t>Interquartile range, or the difference between the 3rd quartile MOR and 1st quartile MOR. It is found as follows: IQR = 3rd Quartile MOR - 1st Quartile MOR</t>
  </si>
  <si>
    <t xml:space="preserve">Higher boundary that determines the MOR value above which results are deemed to be outliers as per Tukey's method. The value is found as follows: Upper fence = 3rd Quartile MOR + (1.5 × IQR) </t>
  </si>
  <si>
    <t xml:space="preserve">Lower boundary that determines the MOR value below which results are deemed to be outliers as per Tukey's method. The value is found as follows: Lower fence = 1st Quartile MOR - (1.5 × IQR) </t>
  </si>
  <si>
    <t>Final</t>
  </si>
  <si>
    <t>Final MOR</t>
  </si>
  <si>
    <t>Final MOR %age error</t>
  </si>
  <si>
    <t>Name given to data points on the design chart. The first part of the name is the data point's PSD classification, whilst the forming pressure is in parentheses.</t>
  </si>
  <si>
    <t>Standard deviation of geo-tile MOR values under a given set of forming parameters without the removal of outliers</t>
  </si>
  <si>
    <t>Standard deviation of breaking strength values from the specimens remaining after statistical outliers were removed</t>
  </si>
  <si>
    <t>error ≥ 15% replicate</t>
  </si>
  <si>
    <t>Average breaking strength from the specimens remaining after statistical outliers were removed from geo-tiles formed under a given set of conditions. These values were used to plot the x-coordinates of data points on the design chart in Figure 34.</t>
  </si>
  <si>
    <t>Average MOR of the geo-tiles remaining after statistical outliers were removed from a group of specimens formed under a given set of conditions. These values were used to plot the y-coordinates of data points on the design chart in Figure 34</t>
  </si>
  <si>
    <t>Standard deviation of the geo-tile MOR values from specimens that remained after statistical outliers were removed. This value was used for the magnitude of error bars plotted on the design chart in Figure 34.</t>
  </si>
  <si>
    <t>Geo-tile forming parameters</t>
  </si>
  <si>
    <t>Statistical considerations and exclusions</t>
  </si>
  <si>
    <t>Inputs and initial response variable calculations</t>
  </si>
  <si>
    <t>Final values used to plot the design chart which met error criteria after exclusion of outliers</t>
  </si>
  <si>
    <t>Specimen name</t>
  </si>
  <si>
    <t>on design chart</t>
  </si>
  <si>
    <t xml:space="preserve"> strength, S [N]</t>
  </si>
  <si>
    <t>Final breaking</t>
  </si>
  <si>
    <t>Inputs from experimental results</t>
  </si>
  <si>
    <t>Equation 3:</t>
  </si>
  <si>
    <t>Equation 4:</t>
  </si>
  <si>
    <t>Aim:</t>
  </si>
  <si>
    <t>Blank design chart (Figure 22) used to evaluate geo-tile performance against breaking strength and MOR targets.</t>
  </si>
  <si>
    <t>Figure 21:</t>
  </si>
  <si>
    <t>There was enough room in the curing oven for geo-tiles to cure in batches of 6. The batch numbers increased numerically.</t>
  </si>
  <si>
    <r>
      <t>Calculated based on the breaking force F, in accordance with equation 3 from ISO10545-4. Where: F is the breaking force, L</t>
    </r>
    <r>
      <rPr>
        <vertAlign val="subscript"/>
        <sz val="12"/>
        <color theme="1"/>
        <rFont val="Aptos"/>
      </rPr>
      <t>1</t>
    </r>
    <r>
      <rPr>
        <sz val="12"/>
        <color theme="1"/>
        <rFont val="Aptos"/>
      </rPr>
      <t xml:space="preserve"> is the spacing between the lower cylinders of the three point bending device (62 mm), and b is the geo-tile thickness.</t>
    </r>
  </si>
  <si>
    <r>
      <t>Calculated modulus of rupture, the primary response variable, for a given specimen using equation 4 from ISO10545-4. Where: F is the breaking force, L</t>
    </r>
    <r>
      <rPr>
        <vertAlign val="subscript"/>
        <sz val="12"/>
        <color theme="1"/>
        <rFont val="Aptos"/>
      </rPr>
      <t>1</t>
    </r>
    <r>
      <rPr>
        <sz val="12"/>
        <color theme="1"/>
        <rFont val="Aptos"/>
      </rPr>
      <t xml:space="preserve"> is the spacing between the support cylinders on the three point bending device (62 mm), b is the tile width of the geo-tile and d is the minimum thickness along the broken edge of the geo-tile after the three point bending test.</t>
    </r>
  </si>
  <si>
    <t>The force at which geo-tile specimens failed when subject to a three point bending test complying with ISO 10545-4 (2019), depicted in Figure 21</t>
  </si>
  <si>
    <t>Description of table headers and main equations used for calculations in the "Summary design chart" sheet</t>
  </si>
  <si>
    <t>Input Points used to plot the geo-tile design chart which was populated by final breaking strength &amp; MOR results after removal of outliers</t>
  </si>
  <si>
    <t>Input Points used to plot blank geo-tile design chart in Figure 22</t>
  </si>
  <si>
    <t>Method and experimental Procedure:</t>
  </si>
  <si>
    <t>Design chart show in Figure 34 summarizing all geo-tile results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</si>
</sst>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0"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b/>
      <sz val="12"/>
      <color rgb="FF000000"/>
      <name val="Calibri"/>
      <family val="2"/>
      <scheme val="minor"/>
    </font>
    <font>
      <sz val="12"/>
      <color rgb="FF3F3F76"/>
      <name val="Calibri"/>
      <family val="2"/>
      <scheme val="minor"/>
    </font>
    <font>
      <sz val="12"/>
      <color theme="0"/>
      <name val="Calibri"/>
      <family val="2"/>
      <scheme val="minor"/>
    </font>
    <font>
      <sz val="12"/>
      <color theme="1"/>
      <name val="Calibri"/>
      <family val="2"/>
      <scheme val="minor"/>
    </font>
    <font>
      <sz val="12"/>
      <color rgb="FF006100"/>
      <name val="Calibri"/>
      <family val="2"/>
      <scheme val="minor"/>
    </font>
    <font>
      <sz val="12"/>
      <color rgb="FF9C0006"/>
      <name val="Calibri"/>
      <family val="2"/>
      <scheme val="minor"/>
    </font>
    <font>
      <b/>
      <vertAlign val="subscript"/>
      <sz val="12"/>
      <color theme="1"/>
      <name val="Calibri (Body)"/>
    </font>
    <font>
      <sz val="9"/>
      <color theme="1"/>
      <name val="Calibri"/>
      <family val="2"/>
      <scheme val="minor"/>
    </font>
    <font>
      <b/>
      <sz val="9"/>
      <color theme="1"/>
      <name val="Calibri"/>
      <family val="2"/>
      <scheme val="minor"/>
    </font>
    <font>
      <b/>
      <sz val="9"/>
      <color rgb="FF000000"/>
      <name val="Calibri"/>
      <family val="2"/>
      <scheme val="minor"/>
    </font>
    <font>
      <b/>
      <sz val="10"/>
      <color theme="1"/>
      <name val="Calibri"/>
      <family val="2"/>
      <scheme val="minor"/>
    </font>
    <font>
      <b/>
      <sz val="10"/>
      <color rgb="FF000000"/>
      <name val="Calibri"/>
      <family val="2"/>
      <scheme val="minor"/>
    </font>
    <font>
      <b/>
      <vertAlign val="subscript"/>
      <sz val="10"/>
      <color theme="1"/>
      <name val="Calibri (Body)"/>
    </font>
    <font>
      <sz val="12"/>
      <color theme="1"/>
      <name val="Aptos"/>
    </font>
    <font>
      <sz val="12"/>
      <color rgb="FF3F3F76"/>
      <name val="Aptos"/>
    </font>
    <font>
      <sz val="12"/>
      <color rgb="FF9C0006"/>
      <name val="Aptos"/>
    </font>
    <font>
      <sz val="12"/>
      <color rgb="FF006100"/>
      <name val="Aptos"/>
    </font>
    <font>
      <sz val="12"/>
      <color theme="0"/>
      <name val="Aptos"/>
    </font>
    <font>
      <sz val="12"/>
      <color rgb="FFFFFFFF"/>
      <name val="Aptos"/>
    </font>
    <font>
      <sz val="12"/>
      <color rgb="FF000000"/>
      <name val="Aptos"/>
    </font>
    <font>
      <b/>
      <sz val="12"/>
      <color theme="1"/>
      <name val="Aptos"/>
    </font>
    <font>
      <sz val="11"/>
      <color theme="1"/>
      <name val="Calibri"/>
      <family val="2"/>
      <scheme val="minor"/>
    </font>
    <font>
      <sz val="11"/>
      <color theme="1"/>
      <name val="Aptos"/>
    </font>
    <font>
      <b/>
      <u/>
      <sz val="12"/>
      <color theme="1"/>
      <name val="Aptos"/>
    </font>
    <font>
      <b/>
      <sz val="11"/>
      <color theme="1"/>
      <name val="Aptos"/>
    </font>
    <font>
      <vertAlign val="subscript"/>
      <sz val="12"/>
      <color theme="1"/>
      <name val="Aptos"/>
    </font>
  </fonts>
  <fills count="7">
    <fill>
      <patternFill patternType="none"/>
    </fill>
    <fill>
      <patternFill patternType="gray125"/>
    </fill>
    <fill>
      <patternFill patternType="solid">
        <fgColor rgb="FFFFCC99"/>
      </patternFill>
    </fill>
    <fill>
      <patternFill patternType="solid">
        <fgColor theme="7"/>
      </patternFill>
    </fill>
    <fill>
      <patternFill patternType="solid">
        <fgColor rgb="FF8064A2"/>
        <bgColor rgb="FF000000"/>
      </patternFill>
    </fill>
    <fill>
      <patternFill patternType="solid">
        <fgColor rgb="FFC6EFCE"/>
      </patternFill>
    </fill>
    <fill>
      <patternFill patternType="solid">
        <fgColor rgb="FFFFC7CE"/>
      </patternFill>
    </fill>
  </fills>
  <borders count="6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7F7F7F"/>
      </left>
      <right style="thin">
        <color rgb="FF7F7F7F"/>
      </right>
      <top style="thin">
        <color rgb="FF7F7F7F"/>
      </top>
      <bottom style="thin">
        <color rgb="FF7F7F7F"/>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style="thin">
        <color auto="1"/>
      </right>
      <top style="medium">
        <color auto="1"/>
      </top>
      <bottom/>
      <diagonal/>
    </border>
    <border>
      <left style="thin">
        <color auto="1"/>
      </left>
      <right/>
      <top style="medium">
        <color auto="1"/>
      </top>
      <bottom/>
      <diagonal/>
    </border>
    <border>
      <left style="thin">
        <color rgb="FF7F7F7F"/>
      </left>
      <right style="thin">
        <color rgb="FF7F7F7F"/>
      </right>
      <top style="thin">
        <color rgb="FF7F7F7F"/>
      </top>
      <bottom/>
      <diagonal/>
    </border>
    <border>
      <left/>
      <right/>
      <top style="thin">
        <color auto="1"/>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Dashed">
        <color auto="1"/>
      </top>
      <bottom/>
      <diagonal/>
    </border>
    <border>
      <left style="thin">
        <color auto="1"/>
      </left>
      <right/>
      <top style="mediumDashed">
        <color auto="1"/>
      </top>
      <bottom/>
      <diagonal/>
    </border>
    <border>
      <left/>
      <right style="thin">
        <color auto="1"/>
      </right>
      <top style="mediumDashed">
        <color auto="1"/>
      </top>
      <bottom/>
      <diagonal/>
    </border>
    <border>
      <left style="thin">
        <color auto="1"/>
      </left>
      <right/>
      <top/>
      <bottom style="mediumDashed">
        <color auto="1"/>
      </bottom>
      <diagonal/>
    </border>
    <border>
      <left/>
      <right style="thin">
        <color auto="1"/>
      </right>
      <top/>
      <bottom style="mediumDashed">
        <color auto="1"/>
      </bottom>
      <diagonal/>
    </border>
    <border>
      <left style="thin">
        <color auto="1"/>
      </left>
      <right style="thin">
        <color auto="1"/>
      </right>
      <top/>
      <bottom style="mediumDashed">
        <color auto="1"/>
      </bottom>
      <diagonal/>
    </border>
    <border>
      <left style="thin">
        <color rgb="FF7F7F7F"/>
      </left>
      <right style="thin">
        <color rgb="FF7F7F7F"/>
      </right>
      <top style="thin">
        <color rgb="FF7F7F7F"/>
      </top>
      <bottom style="thin">
        <color auto="1"/>
      </bottom>
      <diagonal/>
    </border>
    <border>
      <left/>
      <right style="medium">
        <color auto="1"/>
      </right>
      <top/>
      <bottom style="thin">
        <color auto="1"/>
      </bottom>
      <diagonal/>
    </border>
    <border>
      <left style="thin">
        <color rgb="FF7F7F7F"/>
      </left>
      <right style="thin">
        <color rgb="FF7F7F7F"/>
      </right>
      <top style="thin">
        <color auto="1"/>
      </top>
      <bottom style="thin">
        <color rgb="FF7F7F7F"/>
      </bottom>
      <diagonal/>
    </border>
    <border>
      <left/>
      <right style="medium">
        <color auto="1"/>
      </right>
      <top style="thin">
        <color auto="1"/>
      </top>
      <bottom/>
      <diagonal/>
    </border>
    <border>
      <left style="thin">
        <color rgb="FF7F7F7F"/>
      </left>
      <right style="thin">
        <color rgb="FF7F7F7F"/>
      </right>
      <top style="thin">
        <color rgb="FF7F7F7F"/>
      </top>
      <bottom style="medium">
        <color auto="1"/>
      </bottom>
      <diagonal/>
    </border>
    <border>
      <left style="medium">
        <color auto="1"/>
      </left>
      <right style="thin">
        <color auto="1"/>
      </right>
      <top/>
      <bottom style="medium">
        <color auto="1"/>
      </bottom>
      <diagonal/>
    </border>
    <border>
      <left style="medium">
        <color auto="1"/>
      </left>
      <right style="thin">
        <color auto="1"/>
      </right>
      <top/>
      <bottom style="thin">
        <color indexed="64"/>
      </bottom>
      <diagonal/>
    </border>
    <border>
      <left style="medium">
        <color auto="1"/>
      </left>
      <right style="thin">
        <color auto="1"/>
      </right>
      <top/>
      <bottom/>
      <diagonal/>
    </border>
    <border>
      <left style="medium">
        <color auto="1"/>
      </left>
      <right style="thin">
        <color auto="1"/>
      </right>
      <top style="thin">
        <color indexed="64"/>
      </top>
      <bottom/>
      <diagonal/>
    </border>
    <border>
      <left/>
      <right/>
      <top style="medium">
        <color auto="1"/>
      </top>
      <bottom style="thin">
        <color auto="1"/>
      </bottom>
      <diagonal/>
    </border>
    <border>
      <left style="thin">
        <color rgb="FF7F7F7F"/>
      </left>
      <right style="thin">
        <color auto="1"/>
      </right>
      <top style="thin">
        <color rgb="FF7F7F7F"/>
      </top>
      <bottom style="thin">
        <color rgb="FF7F7F7F"/>
      </bottom>
      <diagonal/>
    </border>
    <border>
      <left style="thin">
        <color rgb="FF7F7F7F"/>
      </left>
      <right style="thin">
        <color auto="1"/>
      </right>
      <top style="thin">
        <color rgb="FF7F7F7F"/>
      </top>
      <bottom/>
      <diagonal/>
    </border>
    <border>
      <left style="thin">
        <color rgb="FF7F7F7F"/>
      </left>
      <right style="thin">
        <color auto="1"/>
      </right>
      <top style="thin">
        <color rgb="FF7F7F7F"/>
      </top>
      <bottom style="thin">
        <color auto="1"/>
      </bottom>
      <diagonal/>
    </border>
    <border>
      <left style="thin">
        <color rgb="FF7F7F7F"/>
      </left>
      <right style="thin">
        <color auto="1"/>
      </right>
      <top style="thin">
        <color auto="1"/>
      </top>
      <bottom style="thin">
        <color rgb="FF7F7F7F"/>
      </bottom>
      <diagonal/>
    </border>
    <border>
      <left style="thin">
        <color rgb="FF7F7F7F"/>
      </left>
      <right style="thin">
        <color auto="1"/>
      </right>
      <top style="thin">
        <color rgb="FF7F7F7F"/>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rgb="FF7F7F7F"/>
      </left>
      <right style="thin">
        <color rgb="FF7F7F7F"/>
      </right>
      <top/>
      <bottom style="thin">
        <color rgb="FF7F7F7F"/>
      </bottom>
      <diagonal/>
    </border>
    <border>
      <left style="thin">
        <color rgb="FF7F7F7F"/>
      </left>
      <right style="thin">
        <color auto="1"/>
      </right>
      <top/>
      <bottom style="thin">
        <color rgb="FF7F7F7F"/>
      </bottom>
      <diagonal/>
    </border>
    <border>
      <left/>
      <right style="medium">
        <color auto="1"/>
      </right>
      <top style="thin">
        <color auto="1"/>
      </top>
      <bottom style="thin">
        <color auto="1"/>
      </bottom>
      <diagonal/>
    </border>
  </borders>
  <cellStyleXfs count="31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2" borderId="9" applyNumberFormat="0" applyAlignment="0" applyProtection="0"/>
    <xf numFmtId="0" fontId="6" fillId="3" borderId="0" applyNumberFormat="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7" fillId="0" borderId="0"/>
    <xf numFmtId="0" fontId="8" fillId="5" borderId="0" applyNumberFormat="0" applyBorder="0" applyAlignment="0" applyProtection="0"/>
    <xf numFmtId="0" fontId="9" fillId="6" borderId="0" applyNumberFormat="0" applyBorder="0" applyAlignment="0" applyProtection="0"/>
    <xf numFmtId="0" fontId="25" fillId="0" borderId="0"/>
  </cellStyleXfs>
  <cellXfs count="273">
    <xf numFmtId="0" fontId="0" fillId="0" borderId="0" xfId="0"/>
    <xf numFmtId="164" fontId="0" fillId="0" borderId="0" xfId="0" applyNumberFormat="1"/>
    <xf numFmtId="1" fontId="0" fillId="0" borderId="0" xfId="0" applyNumberFormat="1"/>
    <xf numFmtId="2" fontId="0" fillId="0" borderId="0" xfId="0" applyNumberFormat="1"/>
    <xf numFmtId="0" fontId="3" fillId="0" borderId="0" xfId="0" applyFont="1"/>
    <xf numFmtId="0" fontId="4" fillId="0" borderId="0" xfId="0" applyFont="1"/>
    <xf numFmtId="0" fontId="0" fillId="0" borderId="2" xfId="0" applyBorder="1"/>
    <xf numFmtId="0" fontId="0" fillId="0" borderId="7" xfId="0" applyBorder="1"/>
    <xf numFmtId="0" fontId="3" fillId="0" borderId="0" xfId="0" applyFont="1" applyAlignment="1">
      <alignment horizontal="center"/>
    </xf>
    <xf numFmtId="0" fontId="0" fillId="0" borderId="0" xfId="0" applyAlignment="1">
      <alignment horizontal="left"/>
    </xf>
    <xf numFmtId="0" fontId="0" fillId="0" borderId="11" xfId="0" applyBorder="1"/>
    <xf numFmtId="0" fontId="3" fillId="0" borderId="2" xfId="0" applyFont="1" applyBorder="1"/>
    <xf numFmtId="164" fontId="3" fillId="0" borderId="0" xfId="0" applyNumberFormat="1" applyFont="1"/>
    <xf numFmtId="164" fontId="4" fillId="0" borderId="0" xfId="0" applyNumberFormat="1" applyFont="1"/>
    <xf numFmtId="0" fontId="3" fillId="0" borderId="1" xfId="0" applyFont="1" applyBorder="1"/>
    <xf numFmtId="0" fontId="3" fillId="0" borderId="3" xfId="0" applyFont="1" applyBorder="1"/>
    <xf numFmtId="165" fontId="0" fillId="0" borderId="0" xfId="0" applyNumberFormat="1"/>
    <xf numFmtId="0" fontId="3" fillId="0" borderId="19" xfId="0" applyFont="1" applyBorder="1"/>
    <xf numFmtId="0" fontId="0" fillId="0" borderId="16" xfId="0" applyBorder="1"/>
    <xf numFmtId="0" fontId="0" fillId="0" borderId="18" xfId="0" applyBorder="1"/>
    <xf numFmtId="0" fontId="0" fillId="0" borderId="17" xfId="0" applyBorder="1"/>
    <xf numFmtId="0" fontId="3" fillId="0" borderId="10" xfId="0" applyFont="1" applyBorder="1"/>
    <xf numFmtId="164" fontId="8" fillId="5" borderId="21" xfId="312" applyNumberFormat="1" applyBorder="1" applyAlignment="1">
      <alignment horizontal="center"/>
    </xf>
    <xf numFmtId="0" fontId="0" fillId="0" borderId="31" xfId="0" applyBorder="1"/>
    <xf numFmtId="0" fontId="3" fillId="0" borderId="16" xfId="0" applyFont="1" applyBorder="1"/>
    <xf numFmtId="0" fontId="3" fillId="0" borderId="7" xfId="0" applyFont="1" applyBorder="1"/>
    <xf numFmtId="0" fontId="3" fillId="0" borderId="30" xfId="0" applyFont="1" applyBorder="1"/>
    <xf numFmtId="0" fontId="4" fillId="0" borderId="12" xfId="0" applyFont="1" applyBorder="1"/>
    <xf numFmtId="0" fontId="17" fillId="0" borderId="4" xfId="0" applyFont="1" applyBorder="1"/>
    <xf numFmtId="0" fontId="17" fillId="0" borderId="0" xfId="0" applyFont="1"/>
    <xf numFmtId="164" fontId="17" fillId="0" borderId="0" xfId="0" applyNumberFormat="1" applyFont="1"/>
    <xf numFmtId="1" fontId="17" fillId="0" borderId="11" xfId="0" applyNumberFormat="1" applyFont="1" applyBorder="1"/>
    <xf numFmtId="2" fontId="18" fillId="2" borderId="9" xfId="227" applyNumberFormat="1" applyFont="1"/>
    <xf numFmtId="164" fontId="17" fillId="0" borderId="5" xfId="0" applyNumberFormat="1" applyFont="1" applyBorder="1"/>
    <xf numFmtId="2" fontId="18" fillId="2" borderId="15" xfId="227" applyNumberFormat="1" applyFont="1" applyBorder="1"/>
    <xf numFmtId="0" fontId="17" fillId="0" borderId="25" xfId="0" applyFont="1" applyBorder="1"/>
    <xf numFmtId="0" fontId="17" fillId="0" borderId="17" xfId="0" applyFont="1" applyBorder="1"/>
    <xf numFmtId="164" fontId="17" fillId="0" borderId="17" xfId="0" applyNumberFormat="1" applyFont="1" applyBorder="1"/>
    <xf numFmtId="1" fontId="17" fillId="0" borderId="12" xfId="0" applyNumberFormat="1" applyFont="1" applyBorder="1"/>
    <xf numFmtId="2" fontId="18" fillId="2" borderId="40" xfId="227" applyNumberFormat="1" applyFont="1" applyBorder="1"/>
    <xf numFmtId="164" fontId="17" fillId="0" borderId="41" xfId="0" applyNumberFormat="1" applyFont="1" applyBorder="1"/>
    <xf numFmtId="0" fontId="17" fillId="0" borderId="24" xfId="0" applyFont="1" applyBorder="1"/>
    <xf numFmtId="0" fontId="17" fillId="0" borderId="16" xfId="0" applyFont="1" applyBorder="1"/>
    <xf numFmtId="164" fontId="17" fillId="0" borderId="16" xfId="0" applyNumberFormat="1" applyFont="1" applyBorder="1"/>
    <xf numFmtId="1" fontId="17" fillId="0" borderId="18" xfId="0" applyNumberFormat="1" applyFont="1" applyBorder="1"/>
    <xf numFmtId="2" fontId="18" fillId="2" borderId="42" xfId="227" applyNumberFormat="1" applyFont="1" applyBorder="1"/>
    <xf numFmtId="164" fontId="17" fillId="0" borderId="43" xfId="0" applyNumberFormat="1" applyFont="1" applyBorder="1"/>
    <xf numFmtId="0" fontId="17" fillId="0" borderId="48" xfId="0" applyFont="1" applyBorder="1"/>
    <xf numFmtId="0" fontId="17" fillId="0" borderId="47" xfId="0" applyFont="1" applyBorder="1"/>
    <xf numFmtId="0" fontId="17" fillId="0" borderId="46" xfId="0" applyFont="1" applyBorder="1"/>
    <xf numFmtId="0" fontId="17" fillId="0" borderId="6" xfId="0" applyFont="1" applyBorder="1"/>
    <xf numFmtId="0" fontId="17" fillId="0" borderId="7" xfId="0" applyFont="1" applyBorder="1"/>
    <xf numFmtId="164" fontId="17" fillId="0" borderId="7" xfId="0" applyNumberFormat="1" applyFont="1" applyBorder="1"/>
    <xf numFmtId="1" fontId="17" fillId="0" borderId="31" xfId="0" applyNumberFormat="1" applyFont="1" applyBorder="1"/>
    <xf numFmtId="2" fontId="18" fillId="2" borderId="44" xfId="227" applyNumberFormat="1" applyFont="1" applyBorder="1"/>
    <xf numFmtId="164" fontId="17" fillId="0" borderId="8" xfId="0" applyNumberFormat="1" applyFont="1" applyBorder="1"/>
    <xf numFmtId="0" fontId="17" fillId="0" borderId="45" xfId="0" applyFont="1" applyBorder="1"/>
    <xf numFmtId="0" fontId="17" fillId="0" borderId="34" xfId="0" applyFont="1" applyBorder="1"/>
    <xf numFmtId="1" fontId="20" fillId="5" borderId="21" xfId="312" applyNumberFormat="1" applyFont="1" applyBorder="1" applyAlignment="1">
      <alignment horizontal="center"/>
    </xf>
    <xf numFmtId="0" fontId="17" fillId="0" borderId="20" xfId="0" applyFont="1" applyBorder="1"/>
    <xf numFmtId="0" fontId="17" fillId="0" borderId="28" xfId="0" applyFont="1" applyBorder="1" applyAlignment="1">
      <alignment horizontal="center"/>
    </xf>
    <xf numFmtId="164" fontId="20" fillId="5" borderId="21" xfId="312" applyNumberFormat="1" applyFont="1" applyBorder="1" applyAlignment="1">
      <alignment horizontal="center" vertical="center"/>
    </xf>
    <xf numFmtId="0" fontId="17" fillId="0" borderId="20" xfId="0" applyFont="1" applyBorder="1" applyAlignment="1">
      <alignment horizontal="center"/>
    </xf>
    <xf numFmtId="164" fontId="20" fillId="5" borderId="21" xfId="312" applyNumberFormat="1" applyFont="1" applyBorder="1" applyAlignment="1">
      <alignment horizontal="center"/>
    </xf>
    <xf numFmtId="2" fontId="17" fillId="0" borderId="21" xfId="0" applyNumberFormat="1" applyFont="1" applyBorder="1" applyAlignment="1">
      <alignment horizontal="center"/>
    </xf>
    <xf numFmtId="0" fontId="17" fillId="0" borderId="21" xfId="0" applyFont="1" applyBorder="1" applyAlignment="1">
      <alignment horizontal="center"/>
    </xf>
    <xf numFmtId="0" fontId="17" fillId="0" borderId="28" xfId="0" applyFont="1" applyBorder="1"/>
    <xf numFmtId="0" fontId="17" fillId="0" borderId="34" xfId="0" applyFont="1" applyBorder="1" applyAlignment="1">
      <alignment horizontal="center"/>
    </xf>
    <xf numFmtId="0" fontId="17" fillId="0" borderId="18" xfId="0" applyFont="1" applyBorder="1"/>
    <xf numFmtId="0" fontId="17" fillId="0" borderId="11" xfId="0" applyFont="1" applyBorder="1"/>
    <xf numFmtId="0" fontId="19" fillId="6" borderId="11" xfId="313" applyFont="1" applyBorder="1"/>
    <xf numFmtId="2" fontId="17" fillId="0" borderId="0" xfId="0" applyNumberFormat="1" applyFont="1"/>
    <xf numFmtId="2" fontId="17" fillId="0" borderId="17" xfId="0" applyNumberFormat="1" applyFont="1" applyBorder="1"/>
    <xf numFmtId="0" fontId="17" fillId="0" borderId="12" xfId="0" applyFont="1" applyBorder="1"/>
    <xf numFmtId="2" fontId="17" fillId="0" borderId="16" xfId="0" applyNumberFormat="1" applyFont="1" applyBorder="1"/>
    <xf numFmtId="0" fontId="19" fillId="6" borderId="18" xfId="313" applyFont="1" applyBorder="1"/>
    <xf numFmtId="0" fontId="19" fillId="6" borderId="12" xfId="313" applyFont="1" applyBorder="1"/>
    <xf numFmtId="0" fontId="17" fillId="0" borderId="31" xfId="0" applyFont="1" applyBorder="1"/>
    <xf numFmtId="0" fontId="17" fillId="0" borderId="43" xfId="0" applyFont="1" applyBorder="1"/>
    <xf numFmtId="0" fontId="17" fillId="0" borderId="5" xfId="0" applyFont="1" applyBorder="1"/>
    <xf numFmtId="2" fontId="21" fillId="3" borderId="0" xfId="228" applyNumberFormat="1" applyFont="1" applyBorder="1"/>
    <xf numFmtId="165" fontId="21" fillId="3" borderId="0" xfId="228" applyNumberFormat="1" applyFont="1" applyBorder="1"/>
    <xf numFmtId="164" fontId="21" fillId="3" borderId="5" xfId="228" applyNumberFormat="1" applyFont="1" applyBorder="1"/>
    <xf numFmtId="2" fontId="17" fillId="0" borderId="41" xfId="0" applyNumberFormat="1" applyFont="1" applyBorder="1"/>
    <xf numFmtId="2" fontId="17" fillId="0" borderId="5" xfId="0" applyNumberFormat="1" applyFont="1" applyBorder="1"/>
    <xf numFmtId="1" fontId="21" fillId="3" borderId="0" xfId="228" applyNumberFormat="1" applyFont="1" applyBorder="1"/>
    <xf numFmtId="2" fontId="17" fillId="0" borderId="43" xfId="0" applyNumberFormat="1" applyFont="1" applyBorder="1"/>
    <xf numFmtId="1" fontId="21" fillId="3" borderId="5" xfId="228" applyNumberFormat="1" applyFont="1" applyBorder="1"/>
    <xf numFmtId="1" fontId="17" fillId="0" borderId="0" xfId="0" applyNumberFormat="1" applyFont="1"/>
    <xf numFmtId="165" fontId="17" fillId="0" borderId="0" xfId="0" applyNumberFormat="1" applyFont="1"/>
    <xf numFmtId="2" fontId="17" fillId="0" borderId="7" xfId="0" applyNumberFormat="1" applyFont="1" applyBorder="1"/>
    <xf numFmtId="0" fontId="17" fillId="0" borderId="8" xfId="0" applyFont="1" applyBorder="1"/>
    <xf numFmtId="0" fontId="17" fillId="0" borderId="21" xfId="0" applyFont="1" applyBorder="1"/>
    <xf numFmtId="164" fontId="18" fillId="2" borderId="50" xfId="227" applyNumberFormat="1" applyFont="1" applyBorder="1"/>
    <xf numFmtId="164" fontId="18" fillId="2" borderId="51" xfId="227" applyNumberFormat="1" applyFont="1" applyBorder="1"/>
    <xf numFmtId="2" fontId="18" fillId="2" borderId="50" xfId="227" applyNumberFormat="1" applyFont="1" applyBorder="1"/>
    <xf numFmtId="2" fontId="18" fillId="2" borderId="51" xfId="227" applyNumberFormat="1" applyFont="1" applyBorder="1"/>
    <xf numFmtId="2" fontId="18" fillId="2" borderId="52" xfId="227" applyNumberFormat="1" applyFont="1" applyBorder="1"/>
    <xf numFmtId="2" fontId="18" fillId="2" borderId="53" xfId="227" applyNumberFormat="1" applyFont="1" applyBorder="1"/>
    <xf numFmtId="164" fontId="18" fillId="2" borderId="53" xfId="227" applyNumberFormat="1" applyFont="1" applyBorder="1"/>
    <xf numFmtId="164" fontId="18" fillId="2" borderId="52" xfId="227" applyNumberFormat="1" applyFont="1" applyBorder="1"/>
    <xf numFmtId="2" fontId="18" fillId="2" borderId="54" xfId="227" applyNumberFormat="1" applyFont="1" applyBorder="1"/>
    <xf numFmtId="0" fontId="0" fillId="0" borderId="1" xfId="0" applyBorder="1"/>
    <xf numFmtId="0" fontId="0" fillId="0" borderId="3" xfId="0" applyBorder="1"/>
    <xf numFmtId="164" fontId="0" fillId="0" borderId="4" xfId="0" applyNumberFormat="1" applyBorder="1"/>
    <xf numFmtId="0" fontId="0" fillId="0" borderId="5" xfId="0" applyBorder="1"/>
    <xf numFmtId="164" fontId="0" fillId="0" borderId="6" xfId="0" applyNumberFormat="1" applyBorder="1"/>
    <xf numFmtId="164" fontId="0" fillId="0" borderId="7" xfId="0" applyNumberFormat="1" applyBorder="1"/>
    <xf numFmtId="0" fontId="0" fillId="0" borderId="8" xfId="0" applyBorder="1"/>
    <xf numFmtId="0" fontId="17" fillId="0" borderId="1" xfId="0" applyFont="1" applyBorder="1"/>
    <xf numFmtId="0" fontId="17" fillId="0" borderId="2" xfId="0" applyFont="1" applyBorder="1"/>
    <xf numFmtId="0" fontId="0" fillId="0" borderId="4" xfId="0" applyBorder="1"/>
    <xf numFmtId="0" fontId="0" fillId="0" borderId="0" xfId="0" applyAlignment="1">
      <alignment horizontal="right"/>
    </xf>
    <xf numFmtId="0" fontId="0" fillId="0" borderId="6" xfId="0" applyBorder="1"/>
    <xf numFmtId="0" fontId="0" fillId="0" borderId="56" xfId="0" applyBorder="1"/>
    <xf numFmtId="0" fontId="0" fillId="0" borderId="57" xfId="0" applyBorder="1"/>
    <xf numFmtId="0" fontId="3" fillId="0" borderId="55" xfId="0" applyFont="1" applyBorder="1"/>
    <xf numFmtId="164" fontId="0" fillId="0" borderId="2" xfId="0" applyNumberFormat="1" applyBorder="1"/>
    <xf numFmtId="0" fontId="0" fillId="0" borderId="10" xfId="0" applyBorder="1"/>
    <xf numFmtId="0" fontId="0" fillId="0" borderId="27" xfId="0" applyBorder="1"/>
    <xf numFmtId="0" fontId="0" fillId="0" borderId="12" xfId="0" applyBorder="1"/>
    <xf numFmtId="0" fontId="3" fillId="0" borderId="58" xfId="0" applyFont="1" applyBorder="1"/>
    <xf numFmtId="0" fontId="21" fillId="3" borderId="47" xfId="228" applyFont="1" applyBorder="1"/>
    <xf numFmtId="0" fontId="22" fillId="4" borderId="47" xfId="0" applyFont="1" applyFill="1" applyBorder="1"/>
    <xf numFmtId="0" fontId="23" fillId="0" borderId="46" xfId="0" applyFont="1" applyBorder="1"/>
    <xf numFmtId="0" fontId="23" fillId="0" borderId="47" xfId="0" applyFont="1" applyBorder="1"/>
    <xf numFmtId="2" fontId="18" fillId="2" borderId="61" xfId="227" applyNumberFormat="1" applyFont="1" applyBorder="1"/>
    <xf numFmtId="164" fontId="18" fillId="2" borderId="62" xfId="227" applyNumberFormat="1" applyFont="1" applyBorder="1"/>
    <xf numFmtId="0" fontId="3" fillId="0" borderId="25" xfId="0" applyFont="1" applyBorder="1"/>
    <xf numFmtId="0" fontId="3" fillId="0" borderId="17" xfId="0" applyFont="1" applyBorder="1"/>
    <xf numFmtId="0" fontId="3" fillId="0" borderId="12" xfId="0" applyFont="1" applyBorder="1"/>
    <xf numFmtId="0" fontId="3" fillId="0" borderId="41" xfId="0" applyFont="1" applyBorder="1"/>
    <xf numFmtId="0" fontId="4" fillId="0" borderId="46" xfId="0" applyFont="1" applyBorder="1"/>
    <xf numFmtId="0" fontId="0" fillId="0" borderId="43" xfId="0" applyBorder="1"/>
    <xf numFmtId="164" fontId="0" fillId="0" borderId="17" xfId="0" applyNumberFormat="1" applyBorder="1"/>
    <xf numFmtId="0" fontId="0" fillId="0" borderId="41" xfId="0" applyBorder="1"/>
    <xf numFmtId="0" fontId="24" fillId="0" borderId="28" xfId="0" applyFont="1" applyBorder="1"/>
    <xf numFmtId="0" fontId="24" fillId="0" borderId="21" xfId="0" applyFont="1" applyBorder="1"/>
    <xf numFmtId="0" fontId="24" fillId="0" borderId="20" xfId="0" applyFont="1" applyBorder="1"/>
    <xf numFmtId="0" fontId="26" fillId="0" borderId="0" xfId="314" applyFont="1"/>
    <xf numFmtId="0" fontId="27" fillId="0" borderId="0" xfId="314" applyFont="1"/>
    <xf numFmtId="0" fontId="26" fillId="0" borderId="10" xfId="314" applyFont="1" applyBorder="1"/>
    <xf numFmtId="0" fontId="24" fillId="0" borderId="55" xfId="0" applyFont="1" applyBorder="1" applyAlignment="1">
      <alignment horizontal="left"/>
    </xf>
    <xf numFmtId="0" fontId="24" fillId="0" borderId="56" xfId="0" applyFont="1" applyBorder="1" applyAlignment="1">
      <alignment horizontal="left"/>
    </xf>
    <xf numFmtId="0" fontId="24" fillId="0" borderId="57" xfId="0" applyFont="1" applyBorder="1" applyAlignment="1">
      <alignment horizontal="left"/>
    </xf>
    <xf numFmtId="0" fontId="15" fillId="0" borderId="17" xfId="0" applyFont="1" applyBorder="1" applyAlignment="1">
      <alignment horizontal="center" vertical="center"/>
    </xf>
    <xf numFmtId="0" fontId="15" fillId="0" borderId="41" xfId="0" applyFont="1" applyBorder="1" applyAlignment="1">
      <alignment horizontal="center" vertical="center"/>
    </xf>
    <xf numFmtId="0" fontId="11" fillId="0" borderId="16" xfId="0" applyFont="1" applyBorder="1" applyAlignment="1">
      <alignment horizontal="center" vertical="center"/>
    </xf>
    <xf numFmtId="0" fontId="11" fillId="0" borderId="43"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4" fillId="0" borderId="41" xfId="0" applyFont="1" applyBorder="1" applyAlignment="1">
      <alignment horizontal="center" vertical="center"/>
    </xf>
    <xf numFmtId="164" fontId="11" fillId="0" borderId="43" xfId="0" applyNumberFormat="1" applyFont="1" applyBorder="1" applyAlignment="1">
      <alignment horizontal="center" vertical="center"/>
    </xf>
    <xf numFmtId="164" fontId="11" fillId="0" borderId="8" xfId="0" applyNumberFormat="1" applyFont="1" applyBorder="1" applyAlignment="1">
      <alignment horizontal="center" vertical="center"/>
    </xf>
    <xf numFmtId="0" fontId="14" fillId="0" borderId="46" xfId="0" applyFont="1" applyBorder="1" applyAlignment="1">
      <alignment horizontal="center"/>
    </xf>
    <xf numFmtId="0" fontId="14" fillId="0" borderId="17" xfId="0" applyFont="1" applyBorder="1" applyAlignment="1">
      <alignment horizontal="center" vertical="center"/>
    </xf>
    <xf numFmtId="0" fontId="11" fillId="0" borderId="17" xfId="0" applyFont="1" applyBorder="1" applyAlignment="1">
      <alignment horizontal="center" vertical="center"/>
    </xf>
    <xf numFmtId="164" fontId="11" fillId="0" borderId="41" xfId="0" applyNumberFormat="1" applyFont="1" applyBorder="1" applyAlignment="1">
      <alignment horizontal="center" vertical="center"/>
    </xf>
    <xf numFmtId="0" fontId="11" fillId="0" borderId="19" xfId="0" applyFont="1" applyBorder="1" applyAlignment="1">
      <alignment horizontal="left" vertical="center"/>
    </xf>
    <xf numFmtId="0" fontId="11" fillId="0" borderId="27" xfId="0" applyFont="1" applyBorder="1" applyAlignment="1">
      <alignment horizontal="left" vertical="center"/>
    </xf>
    <xf numFmtId="0" fontId="11" fillId="0" borderId="30" xfId="0" applyFont="1" applyBorder="1" applyAlignment="1">
      <alignment horizontal="left" vertical="center"/>
    </xf>
    <xf numFmtId="0" fontId="14" fillId="0" borderId="27" xfId="0" applyFont="1" applyBorder="1" applyAlignment="1">
      <alignment horizontal="left" vertical="center"/>
    </xf>
    <xf numFmtId="0" fontId="11" fillId="0" borderId="5" xfId="0" applyFont="1" applyBorder="1" applyAlignment="1">
      <alignment horizontal="right" vertical="center"/>
    </xf>
    <xf numFmtId="0" fontId="11" fillId="0" borderId="8" xfId="0" applyFont="1" applyBorder="1" applyAlignment="1">
      <alignment horizontal="right" vertical="center"/>
    </xf>
    <xf numFmtId="0" fontId="4" fillId="0" borderId="27" xfId="0" applyFont="1" applyBorder="1" applyAlignment="1">
      <alignment horizontal="center" vertical="center"/>
    </xf>
    <xf numFmtId="0" fontId="4" fillId="0" borderId="12" xfId="0" applyFont="1" applyBorder="1" applyAlignment="1">
      <alignment horizontal="center" vertical="center"/>
    </xf>
    <xf numFmtId="0" fontId="0" fillId="0" borderId="0" xfId="0" applyAlignment="1">
      <alignment horizontal="center" vertical="center"/>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31" xfId="0" applyBorder="1" applyAlignment="1">
      <alignment horizontal="center" vertical="center"/>
    </xf>
    <xf numFmtId="0" fontId="4" fillId="0" borderId="23" xfId="0" applyFont="1" applyBorder="1" applyAlignment="1">
      <alignment horizontal="center" vertical="center"/>
    </xf>
    <xf numFmtId="0" fontId="3" fillId="0" borderId="22" xfId="0" applyFont="1" applyBorder="1" applyAlignment="1">
      <alignment horizontal="center" vertical="center"/>
    </xf>
    <xf numFmtId="0" fontId="0" fillId="0" borderId="16" xfId="0" applyBorder="1" applyAlignment="1">
      <alignment horizontal="center" vertical="center"/>
    </xf>
    <xf numFmtId="164" fontId="0" fillId="0" borderId="18" xfId="0" applyNumberFormat="1" applyBorder="1" applyAlignment="1">
      <alignment horizontal="center" vertical="center"/>
    </xf>
    <xf numFmtId="164" fontId="0" fillId="0" borderId="31" xfId="0" applyNumberFormat="1" applyBorder="1" applyAlignment="1">
      <alignment horizontal="center" vertical="center"/>
    </xf>
    <xf numFmtId="0" fontId="3" fillId="0" borderId="33" xfId="0" applyFont="1" applyBorder="1" applyAlignment="1">
      <alignment horizontal="center" vertical="center"/>
    </xf>
    <xf numFmtId="0" fontId="3" fillId="0" borderId="26" xfId="0" applyFont="1" applyBorder="1" applyAlignment="1">
      <alignment horizontal="center" vertical="center"/>
    </xf>
    <xf numFmtId="0" fontId="3" fillId="0" borderId="2" xfId="0" applyFont="1" applyBorder="1" applyAlignment="1">
      <alignment horizontal="center" vertical="center"/>
    </xf>
    <xf numFmtId="0" fontId="0" fillId="0" borderId="17" xfId="0" applyBorder="1" applyAlignment="1">
      <alignment horizontal="center" vertical="center"/>
    </xf>
    <xf numFmtId="164" fontId="0" fillId="0" borderId="12" xfId="0" applyNumberFormat="1" applyBorder="1" applyAlignment="1">
      <alignment horizontal="center" vertical="center"/>
    </xf>
    <xf numFmtId="164" fontId="0" fillId="0" borderId="11" xfId="0" applyNumberFormat="1" applyBorder="1" applyAlignment="1">
      <alignment horizontal="center" vertical="center"/>
    </xf>
    <xf numFmtId="1" fontId="13" fillId="0" borderId="48" xfId="0" applyNumberFormat="1" applyFont="1" applyBorder="1" applyAlignment="1">
      <alignment horizontal="center" vertical="center"/>
    </xf>
    <xf numFmtId="1" fontId="13" fillId="0" borderId="46" xfId="0" applyNumberFormat="1" applyFont="1" applyBorder="1" applyAlignment="1">
      <alignment horizontal="center" vertical="center"/>
    </xf>
    <xf numFmtId="1" fontId="13" fillId="0" borderId="45" xfId="0" applyNumberFormat="1" applyFont="1" applyBorder="1" applyAlignment="1">
      <alignment horizontal="center" vertical="center"/>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4" xfId="0" applyFont="1" applyBorder="1" applyAlignment="1">
      <alignment horizontal="left" vertical="center"/>
    </xf>
    <xf numFmtId="0" fontId="14" fillId="0" borderId="0" xfId="0" applyFont="1" applyAlignment="1">
      <alignment horizontal="left" vertical="center"/>
    </xf>
    <xf numFmtId="0" fontId="14" fillId="0" borderId="24" xfId="0" applyFont="1" applyBorder="1" applyAlignment="1">
      <alignment horizontal="left" vertical="center"/>
    </xf>
    <xf numFmtId="0" fontId="14" fillId="0" borderId="16" xfId="0" applyFont="1" applyBorder="1" applyAlignment="1">
      <alignment horizontal="left" vertical="center"/>
    </xf>
    <xf numFmtId="0" fontId="28" fillId="0" borderId="55" xfId="0" applyFont="1" applyBorder="1" applyAlignment="1">
      <alignment horizontal="left"/>
    </xf>
    <xf numFmtId="0" fontId="28" fillId="0" borderId="56" xfId="0" applyFont="1" applyBorder="1" applyAlignment="1">
      <alignment horizontal="left"/>
    </xf>
    <xf numFmtId="0" fontId="28" fillId="0" borderId="57" xfId="0" applyFont="1" applyBorder="1" applyAlignment="1">
      <alignment horizontal="left"/>
    </xf>
    <xf numFmtId="0" fontId="3" fillId="0" borderId="59" xfId="0" applyFont="1" applyBorder="1" applyAlignment="1">
      <alignment horizontal="left"/>
    </xf>
    <xf numFmtId="0" fontId="3" fillId="0" borderId="49" xfId="0" applyFont="1" applyBorder="1" applyAlignment="1">
      <alignment horizontal="left"/>
    </xf>
    <xf numFmtId="0" fontId="3" fillId="0" borderId="60" xfId="0" applyFont="1" applyBorder="1" applyAlignment="1">
      <alignment horizontal="left"/>
    </xf>
    <xf numFmtId="0" fontId="14" fillId="0" borderId="18" xfId="0" applyFont="1" applyBorder="1" applyAlignment="1">
      <alignment horizontal="left" vertical="center"/>
    </xf>
    <xf numFmtId="0" fontId="14" fillId="0" borderId="25" xfId="0" applyFont="1" applyBorder="1" applyAlignment="1">
      <alignment horizontal="left" vertical="center"/>
    </xf>
    <xf numFmtId="0" fontId="14" fillId="0" borderId="12"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24" xfId="0" applyFont="1" applyBorder="1" applyAlignment="1">
      <alignment horizontal="left" vertical="center"/>
    </xf>
    <xf numFmtId="0" fontId="11" fillId="0" borderId="16" xfId="0" applyFont="1" applyBorder="1" applyAlignment="1">
      <alignment horizontal="left" vertical="center"/>
    </xf>
    <xf numFmtId="0" fontId="14" fillId="0" borderId="1" xfId="0" applyFont="1" applyBorder="1" applyAlignment="1">
      <alignment horizontal="left" vertical="center"/>
    </xf>
    <xf numFmtId="0" fontId="14" fillId="0" borderId="13" xfId="0" applyFont="1" applyBorder="1" applyAlignment="1">
      <alignment horizontal="left" vertical="center"/>
    </xf>
    <xf numFmtId="164" fontId="15" fillId="0" borderId="23" xfId="0" applyNumberFormat="1" applyFont="1" applyBorder="1" applyAlignment="1">
      <alignment horizontal="center" vertical="center"/>
    </xf>
    <xf numFmtId="164" fontId="15" fillId="0" borderId="63" xfId="0" applyNumberFormat="1" applyFont="1" applyBorder="1" applyAlignment="1">
      <alignment horizontal="center" vertical="center"/>
    </xf>
    <xf numFmtId="0" fontId="14" fillId="0" borderId="32" xfId="0" applyFont="1" applyBorder="1" applyAlignment="1">
      <alignment horizontal="center"/>
    </xf>
    <xf numFmtId="0" fontId="14" fillId="0" borderId="60" xfId="0" applyFont="1" applyBorder="1" applyAlignment="1">
      <alignment horizontal="center"/>
    </xf>
    <xf numFmtId="0" fontId="14" fillId="0" borderId="59" xfId="0" applyFont="1" applyBorder="1" applyAlignment="1">
      <alignment horizontal="center"/>
    </xf>
    <xf numFmtId="0" fontId="14" fillId="0" borderId="49" xfId="0" applyFont="1" applyBorder="1" applyAlignment="1">
      <alignment horizontal="center"/>
    </xf>
    <xf numFmtId="1" fontId="12" fillId="0" borderId="48" xfId="0" applyNumberFormat="1" applyFont="1" applyBorder="1" applyAlignment="1">
      <alignment horizontal="center" vertical="center"/>
    </xf>
    <xf numFmtId="1" fontId="12" fillId="0" borderId="46" xfId="0" applyNumberFormat="1" applyFont="1" applyBorder="1" applyAlignment="1">
      <alignment horizontal="center" vertical="center"/>
    </xf>
    <xf numFmtId="1" fontId="4" fillId="0" borderId="28" xfId="0" applyNumberFormat="1" applyFont="1" applyBorder="1" applyAlignment="1">
      <alignment horizontal="center" vertical="center"/>
    </xf>
    <xf numFmtId="1" fontId="4" fillId="0" borderId="20" xfId="0" applyNumberFormat="1" applyFont="1" applyBorder="1" applyAlignment="1">
      <alignment horizontal="center" vertical="center"/>
    </xf>
    <xf numFmtId="0" fontId="0" fillId="0" borderId="30" xfId="0" applyBorder="1" applyAlignment="1">
      <alignment vertical="center"/>
    </xf>
    <xf numFmtId="0" fontId="0" fillId="0" borderId="7" xfId="0"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164" fontId="4" fillId="0" borderId="23" xfId="0" applyNumberFormat="1" applyFont="1" applyBorder="1" applyAlignment="1">
      <alignment horizontal="center" vertical="center"/>
    </xf>
    <xf numFmtId="164" fontId="4" fillId="0" borderId="22" xfId="0" applyNumberFormat="1" applyFont="1" applyBorder="1" applyAlignment="1">
      <alignment horizontal="center" vertical="center"/>
    </xf>
    <xf numFmtId="1" fontId="3" fillId="0" borderId="28" xfId="0" applyNumberFormat="1" applyFont="1" applyBorder="1" applyAlignment="1">
      <alignment horizontal="center" vertical="center"/>
    </xf>
    <xf numFmtId="1" fontId="3" fillId="0" borderId="20" xfId="0" applyNumberFormat="1" applyFont="1" applyBorder="1" applyAlignment="1">
      <alignment horizontal="center" vertical="center"/>
    </xf>
    <xf numFmtId="164" fontId="17" fillId="0" borderId="19" xfId="0" applyNumberFormat="1" applyFont="1" applyBorder="1" applyAlignment="1">
      <alignment horizontal="center" vertical="center"/>
    </xf>
    <xf numFmtId="164" fontId="17" fillId="0" borderId="10" xfId="0" applyNumberFormat="1" applyFont="1" applyBorder="1" applyAlignment="1">
      <alignment horizontal="center" vertical="center"/>
    </xf>
    <xf numFmtId="164" fontId="17" fillId="0" borderId="27" xfId="0" applyNumberFormat="1" applyFont="1" applyBorder="1" applyAlignment="1">
      <alignment horizontal="center" vertical="center"/>
    </xf>
    <xf numFmtId="2" fontId="17" fillId="0" borderId="18" xfId="0" applyNumberFormat="1" applyFont="1" applyBorder="1" applyAlignment="1">
      <alignment horizontal="center" vertical="center"/>
    </xf>
    <xf numFmtId="2" fontId="17" fillId="0" borderId="11" xfId="0" applyNumberFormat="1" applyFont="1" applyBorder="1" applyAlignment="1">
      <alignment horizontal="center" vertical="center"/>
    </xf>
    <xf numFmtId="2" fontId="17" fillId="0" borderId="12" xfId="0" applyNumberFormat="1" applyFont="1" applyBorder="1" applyAlignment="1">
      <alignment horizontal="center" vertical="center"/>
    </xf>
    <xf numFmtId="164" fontId="17" fillId="0" borderId="37" xfId="0" applyNumberFormat="1" applyFont="1" applyBorder="1" applyAlignment="1">
      <alignment horizontal="center" vertical="center"/>
    </xf>
    <xf numFmtId="2" fontId="17" fillId="0" borderId="38" xfId="0" applyNumberFormat="1" applyFont="1" applyBorder="1" applyAlignment="1">
      <alignment horizontal="center" vertical="center"/>
    </xf>
    <xf numFmtId="1" fontId="17" fillId="0" borderId="19" xfId="0" applyNumberFormat="1" applyFont="1" applyBorder="1" applyAlignment="1">
      <alignment horizontal="center" vertical="center"/>
    </xf>
    <xf numFmtId="1" fontId="17" fillId="0" borderId="10" xfId="0" applyNumberFormat="1" applyFont="1" applyBorder="1" applyAlignment="1">
      <alignment horizontal="center" vertical="center"/>
    </xf>
    <xf numFmtId="1" fontId="17" fillId="0" borderId="27" xfId="0" applyNumberFormat="1" applyFont="1" applyBorder="1" applyAlignment="1">
      <alignment horizontal="center" vertical="center"/>
    </xf>
    <xf numFmtId="164" fontId="17" fillId="0" borderId="30" xfId="0" applyNumberFormat="1" applyFont="1" applyBorder="1" applyAlignment="1">
      <alignment horizontal="center" vertical="center"/>
    </xf>
    <xf numFmtId="0" fontId="17" fillId="0" borderId="18" xfId="0" applyFont="1" applyBorder="1" applyAlignment="1">
      <alignment horizontal="center" vertical="center"/>
    </xf>
    <xf numFmtId="0" fontId="17" fillId="0" borderId="11" xfId="0" applyFont="1" applyBorder="1" applyAlignment="1">
      <alignment horizontal="center" vertical="center"/>
    </xf>
    <xf numFmtId="0" fontId="17" fillId="0" borderId="31" xfId="0" applyFont="1" applyBorder="1" applyAlignment="1">
      <alignment horizontal="center" vertical="center"/>
    </xf>
    <xf numFmtId="1" fontId="19" fillId="6" borderId="28" xfId="313" applyNumberFormat="1" applyFont="1" applyBorder="1" applyAlignment="1">
      <alignment horizontal="center" vertical="center"/>
    </xf>
    <xf numFmtId="1" fontId="19" fillId="6" borderId="21" xfId="313" applyNumberFormat="1" applyFont="1" applyBorder="1" applyAlignment="1">
      <alignment horizontal="center" vertical="center"/>
    </xf>
    <xf numFmtId="1" fontId="19" fillId="6" borderId="29" xfId="313" applyNumberFormat="1" applyFont="1" applyBorder="1" applyAlignment="1">
      <alignment horizontal="center" vertical="center"/>
    </xf>
    <xf numFmtId="1" fontId="17" fillId="0" borderId="30" xfId="0" applyNumberFormat="1" applyFont="1" applyBorder="1" applyAlignment="1">
      <alignment horizontal="center" vertical="center"/>
    </xf>
    <xf numFmtId="1" fontId="19" fillId="6" borderId="39" xfId="313" applyNumberFormat="1" applyFont="1" applyBorder="1" applyAlignment="1">
      <alignment horizontal="center" vertical="center"/>
    </xf>
    <xf numFmtId="164" fontId="17" fillId="0" borderId="35" xfId="0" applyNumberFormat="1" applyFont="1" applyBorder="1" applyAlignment="1">
      <alignment horizontal="center" vertical="center"/>
    </xf>
    <xf numFmtId="2" fontId="17" fillId="0" borderId="36" xfId="0" applyNumberFormat="1" applyFont="1" applyBorder="1" applyAlignment="1">
      <alignment horizontal="center" vertical="center"/>
    </xf>
    <xf numFmtId="1" fontId="19" fillId="6" borderId="34" xfId="313" applyNumberFormat="1" applyFont="1" applyBorder="1" applyAlignment="1">
      <alignment horizontal="center" vertical="center"/>
    </xf>
    <xf numFmtId="1" fontId="19" fillId="6" borderId="20" xfId="313" applyNumberFormat="1" applyFont="1" applyBorder="1" applyAlignment="1">
      <alignment horizontal="center" vertical="center"/>
    </xf>
    <xf numFmtId="0" fontId="3" fillId="0" borderId="55" xfId="0" applyFont="1" applyBorder="1" applyAlignment="1">
      <alignment horizontal="left"/>
    </xf>
    <xf numFmtId="0" fontId="3" fillId="0" borderId="56" xfId="0" applyFont="1" applyBorder="1" applyAlignment="1">
      <alignment horizontal="left"/>
    </xf>
    <xf numFmtId="0" fontId="3" fillId="0" borderId="57" xfId="0" applyFont="1" applyBorder="1" applyAlignment="1">
      <alignment horizontal="left"/>
    </xf>
    <xf numFmtId="0" fontId="3" fillId="0" borderId="59" xfId="0" applyFont="1" applyBorder="1" applyAlignment="1">
      <alignment horizontal="center"/>
    </xf>
    <xf numFmtId="0" fontId="3" fillId="0" borderId="49" xfId="0" applyFont="1" applyBorder="1" applyAlignment="1">
      <alignment horizontal="center"/>
    </xf>
    <xf numFmtId="0" fontId="3" fillId="0" borderId="33" xfId="0" applyFont="1" applyBorder="1" applyAlignment="1">
      <alignment horizontal="center"/>
    </xf>
    <xf numFmtId="0" fontId="3" fillId="0" borderId="32" xfId="0" applyFont="1" applyBorder="1" applyAlignment="1">
      <alignment horizontal="center"/>
    </xf>
    <xf numFmtId="0" fontId="3" fillId="0" borderId="60" xfId="0" applyFont="1" applyBorder="1" applyAlignment="1">
      <alignment horizontal="center"/>
    </xf>
    <xf numFmtId="164" fontId="17" fillId="0" borderId="11" xfId="0" applyNumberFormat="1" applyFont="1" applyBorder="1" applyAlignment="1">
      <alignment horizontal="center" vertical="center"/>
    </xf>
    <xf numFmtId="164" fontId="17" fillId="0" borderId="38" xfId="0" applyNumberFormat="1" applyFont="1" applyBorder="1" applyAlignment="1">
      <alignment horizontal="center" vertical="center"/>
    </xf>
    <xf numFmtId="1" fontId="19" fillId="6" borderId="10" xfId="313" applyNumberFormat="1" applyFont="1" applyBorder="1" applyAlignment="1">
      <alignment horizontal="center" vertical="center"/>
    </xf>
    <xf numFmtId="1" fontId="19" fillId="6" borderId="37" xfId="313" applyNumberFormat="1" applyFont="1" applyBorder="1" applyAlignment="1">
      <alignment horizontal="center" vertical="center"/>
    </xf>
    <xf numFmtId="164" fontId="17" fillId="0" borderId="36" xfId="0" applyNumberFormat="1" applyFont="1" applyBorder="1" applyAlignment="1">
      <alignment horizontal="center" vertical="center"/>
    </xf>
    <xf numFmtId="164" fontId="17" fillId="0" borderId="12" xfId="0" applyNumberFormat="1" applyFont="1" applyBorder="1" applyAlignment="1">
      <alignment horizontal="center" vertical="center"/>
    </xf>
    <xf numFmtId="0" fontId="3" fillId="0" borderId="14" xfId="0" applyFont="1" applyBorder="1" applyAlignment="1">
      <alignment horizontal="left" vertical="center"/>
    </xf>
    <xf numFmtId="0" fontId="3" fillId="0" borderId="13" xfId="0" applyFont="1" applyBorder="1" applyAlignment="1">
      <alignment horizontal="left" vertical="center"/>
    </xf>
    <xf numFmtId="0" fontId="3" fillId="0" borderId="27" xfId="0" applyFont="1" applyBorder="1" applyAlignment="1">
      <alignment horizontal="left" vertical="center"/>
    </xf>
    <xf numFmtId="0" fontId="3" fillId="0" borderId="12" xfId="0" applyFont="1" applyBorder="1" applyAlignment="1">
      <alignment horizontal="left" vertical="center"/>
    </xf>
    <xf numFmtId="0" fontId="3" fillId="0" borderId="19" xfId="0" applyFont="1" applyBorder="1" applyAlignment="1">
      <alignment horizontal="left" vertical="center"/>
    </xf>
    <xf numFmtId="0" fontId="3" fillId="0" borderId="18" xfId="0" applyFont="1" applyBorder="1" applyAlignment="1">
      <alignment horizontal="left" vertical="center"/>
    </xf>
    <xf numFmtId="0" fontId="0" fillId="0" borderId="19" xfId="0" applyBorder="1" applyAlignment="1">
      <alignment vertical="center"/>
    </xf>
    <xf numFmtId="0" fontId="0" fillId="0" borderId="16" xfId="0" applyBorder="1" applyAlignment="1">
      <alignment vertical="center"/>
    </xf>
    <xf numFmtId="0" fontId="26" fillId="0" borderId="0" xfId="314" applyFont="1" applyBorder="1"/>
    <xf numFmtId="0" fontId="26" fillId="0" borderId="11" xfId="314" applyFont="1" applyBorder="1"/>
  </cellXfs>
  <cellStyles count="315">
    <cellStyle name="Accent4" xfId="228" builtinId="41"/>
    <cellStyle name="Bad" xfId="313" builtinId="2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Good" xfId="312" builtinId="26"/>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Input" xfId="227" builtinId="20"/>
    <cellStyle name="Normal" xfId="0" builtinId="0"/>
    <cellStyle name="Normal 2" xfId="311" xr:uid="{C0445067-67CA-8445-838B-79C212FF9E41}"/>
    <cellStyle name="Normal 3" xfId="314" xr:uid="{5346B238-3B4C-4A4E-B199-3D4CA5A281FD}"/>
  </cellStyles>
  <dxfs count="0"/>
  <tableStyles count="0" defaultTableStyle="TableStyleMedium9" defaultPivotStyle="PivotStyleMedium4"/>
  <colors>
    <mruColors>
      <color rgb="FFFF7503"/>
      <color rgb="FF9BBC59"/>
      <color rgb="FFFFCFD2"/>
      <color rgb="FFF2C0E9"/>
      <color rgb="FFFBBE70"/>
      <color rgb="FFFFA197"/>
      <color rgb="FFFCBE70"/>
      <color rgb="FF45AAC5"/>
      <color rgb="FFBCE370"/>
      <color rgb="FF4B7B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US" sz="1400"/>
              <a:t>MOR </a:t>
            </a:r>
            <a:r>
              <a:rPr lang="en-US" sz="1400" baseline="0"/>
              <a:t>vs Breaking Strength for different thicknesses</a:t>
            </a:r>
            <a:endParaRPr lang="en-US" sz="1400"/>
          </a:p>
        </c:rich>
      </c:tx>
      <c:overlay val="0"/>
    </c:title>
    <c:autoTitleDeleted val="0"/>
    <c:plotArea>
      <c:layout>
        <c:manualLayout>
          <c:layoutTarget val="inner"/>
          <c:xMode val="edge"/>
          <c:yMode val="edge"/>
          <c:x val="0.1877039464908436"/>
          <c:y val="0.10154425541920545"/>
          <c:w val="0.58305962612192008"/>
          <c:h val="0.58711996061200356"/>
        </c:manualLayout>
      </c:layout>
      <c:scatterChart>
        <c:scatterStyle val="smoothMarker"/>
        <c:varyColors val="0"/>
        <c:ser>
          <c:idx val="6"/>
          <c:order val="0"/>
          <c:tx>
            <c:strRef>
              <c:f>'Blank design chart (Fig 22)'!$E$3</c:f>
              <c:strCache>
                <c:ptCount val="1"/>
                <c:pt idx="0">
                  <c:v>SANS/ISO Target</c:v>
                </c:pt>
              </c:strCache>
            </c:strRef>
          </c:tx>
          <c:spPr>
            <a:ln w="19050">
              <a:solidFill>
                <a:srgbClr val="FF0000"/>
              </a:solidFill>
              <a:prstDash val="lgDash"/>
            </a:ln>
          </c:spPr>
          <c:marker>
            <c:symbol val="none"/>
          </c:marker>
          <c:xVal>
            <c:numRef>
              <c:f>'Blank design chart (Fig 22)'!$E$5:$E$6</c:f>
              <c:numCache>
                <c:formatCode>General</c:formatCode>
                <c:ptCount val="2"/>
                <c:pt idx="0">
                  <c:v>0</c:v>
                </c:pt>
                <c:pt idx="1">
                  <c:v>2400</c:v>
                </c:pt>
              </c:numCache>
            </c:numRef>
          </c:xVal>
          <c:yVal>
            <c:numRef>
              <c:f>'Blank design chart (Fig 22)'!$F$5:$F$6</c:f>
              <c:numCache>
                <c:formatCode>General</c:formatCode>
                <c:ptCount val="2"/>
                <c:pt idx="0">
                  <c:v>16</c:v>
                </c:pt>
                <c:pt idx="1">
                  <c:v>16</c:v>
                </c:pt>
              </c:numCache>
            </c:numRef>
          </c:yVal>
          <c:smooth val="1"/>
          <c:extLst>
            <c:ext xmlns:c16="http://schemas.microsoft.com/office/drawing/2014/chart" uri="{C3380CC4-5D6E-409C-BE32-E72D297353CC}">
              <c16:uniqueId val="{00000000-E5F9-024C-8D72-66D9C8E1D116}"/>
            </c:ext>
          </c:extLst>
        </c:ser>
        <c:ser>
          <c:idx val="7"/>
          <c:order val="1"/>
          <c:tx>
            <c:strRef>
              <c:f>'Blank design chart (Fig 22)'!$E$7</c:f>
              <c:strCache>
                <c:ptCount val="1"/>
                <c:pt idx="0">
                  <c:v>ISO Target</c:v>
                </c:pt>
              </c:strCache>
            </c:strRef>
          </c:tx>
          <c:spPr>
            <a:ln w="19050">
              <a:solidFill>
                <a:srgbClr val="008000"/>
              </a:solidFill>
              <a:prstDash val="lgDash"/>
            </a:ln>
          </c:spPr>
          <c:marker>
            <c:symbol val="none"/>
          </c:marker>
          <c:xVal>
            <c:numRef>
              <c:f>'Blank design chart (Fig 22)'!$E$9:$E$10</c:f>
              <c:numCache>
                <c:formatCode>General</c:formatCode>
                <c:ptCount val="2"/>
                <c:pt idx="0">
                  <c:v>800</c:v>
                </c:pt>
                <c:pt idx="1">
                  <c:v>800</c:v>
                </c:pt>
              </c:numCache>
            </c:numRef>
          </c:xVal>
          <c:yVal>
            <c:numRef>
              <c:f>'Blank design chart (Fig 22)'!$F$9:$F$10</c:f>
              <c:numCache>
                <c:formatCode>0.0</c:formatCode>
                <c:ptCount val="2"/>
                <c:pt idx="0">
                  <c:v>0</c:v>
                </c:pt>
                <c:pt idx="1">
                  <c:v>25</c:v>
                </c:pt>
              </c:numCache>
            </c:numRef>
          </c:yVal>
          <c:smooth val="1"/>
          <c:extLst>
            <c:ext xmlns:c16="http://schemas.microsoft.com/office/drawing/2014/chart" uri="{C3380CC4-5D6E-409C-BE32-E72D297353CC}">
              <c16:uniqueId val="{00000001-E5F9-024C-8D72-66D9C8E1D116}"/>
            </c:ext>
          </c:extLst>
        </c:ser>
        <c:ser>
          <c:idx val="2"/>
          <c:order val="2"/>
          <c:tx>
            <c:v>Thickness:</c:v>
          </c:tx>
          <c:spPr>
            <a:ln>
              <a:noFill/>
            </a:ln>
          </c:spPr>
          <c:marker>
            <c:symbol val="none"/>
          </c:marker>
          <c:yVal>
            <c:numLit>
              <c:formatCode>General</c:formatCode>
              <c:ptCount val="1"/>
              <c:pt idx="0">
                <c:v>1</c:v>
              </c:pt>
            </c:numLit>
          </c:yVal>
          <c:smooth val="1"/>
          <c:extLst>
            <c:ext xmlns:c16="http://schemas.microsoft.com/office/drawing/2014/chart" uri="{C3380CC4-5D6E-409C-BE32-E72D297353CC}">
              <c16:uniqueId val="{00000004-E5F9-024C-8D72-66D9C8E1D116}"/>
            </c:ext>
          </c:extLst>
        </c:ser>
        <c:ser>
          <c:idx val="3"/>
          <c:order val="3"/>
          <c:tx>
            <c:strRef>
              <c:f>'Blank design chart (Fig 22)'!$C$16</c:f>
              <c:strCache>
                <c:ptCount val="1"/>
                <c:pt idx="0">
                  <c:v>8</c:v>
                </c:pt>
              </c:strCache>
            </c:strRef>
          </c:tx>
          <c:spPr>
            <a:ln w="3175">
              <a:solidFill>
                <a:srgbClr val="4A7EBB"/>
              </a:solidFill>
            </a:ln>
          </c:spPr>
          <c:marker>
            <c:symbol val="none"/>
          </c:marker>
          <c:xVal>
            <c:numRef>
              <c:f>'Blank design chart (Fig 22)'!$E$16:$E$17</c:f>
              <c:numCache>
                <c:formatCode>General</c:formatCode>
                <c:ptCount val="2"/>
                <c:pt idx="0">
                  <c:v>0</c:v>
                </c:pt>
                <c:pt idx="1">
                  <c:v>2170</c:v>
                </c:pt>
              </c:numCache>
            </c:numRef>
          </c:xVal>
          <c:yVal>
            <c:numRef>
              <c:f>'Blank design chart (Fig 22)'!$F$16:$F$17</c:f>
              <c:numCache>
                <c:formatCode>0.0</c:formatCode>
                <c:ptCount val="2"/>
                <c:pt idx="0">
                  <c:v>0</c:v>
                </c:pt>
                <c:pt idx="1">
                  <c:v>50.859375</c:v>
                </c:pt>
              </c:numCache>
            </c:numRef>
          </c:yVal>
          <c:smooth val="1"/>
          <c:extLst>
            <c:ext xmlns:c16="http://schemas.microsoft.com/office/drawing/2014/chart" uri="{C3380CC4-5D6E-409C-BE32-E72D297353CC}">
              <c16:uniqueId val="{00000008-E5F9-024C-8D72-66D9C8E1D116}"/>
            </c:ext>
          </c:extLst>
        </c:ser>
        <c:ser>
          <c:idx val="4"/>
          <c:order val="4"/>
          <c:tx>
            <c:strRef>
              <c:f>'Blank design chart (Fig 22)'!$C$18</c:f>
              <c:strCache>
                <c:ptCount val="1"/>
                <c:pt idx="0">
                  <c:v>9</c:v>
                </c:pt>
              </c:strCache>
            </c:strRef>
          </c:tx>
          <c:spPr>
            <a:ln w="14604">
              <a:solidFill>
                <a:srgbClr val="4A7EBB"/>
              </a:solidFill>
            </a:ln>
          </c:spPr>
          <c:marker>
            <c:symbol val="none"/>
          </c:marker>
          <c:xVal>
            <c:numRef>
              <c:f>'Blank design chart (Fig 22)'!$E$18:$E$19</c:f>
              <c:numCache>
                <c:formatCode>General</c:formatCode>
                <c:ptCount val="2"/>
                <c:pt idx="0">
                  <c:v>0</c:v>
                </c:pt>
                <c:pt idx="1">
                  <c:v>2170</c:v>
                </c:pt>
              </c:numCache>
            </c:numRef>
          </c:xVal>
          <c:yVal>
            <c:numRef>
              <c:f>'Blank design chart (Fig 22)'!$F$18:$F$19</c:f>
              <c:numCache>
                <c:formatCode>0.0</c:formatCode>
                <c:ptCount val="2"/>
                <c:pt idx="0">
                  <c:v>0</c:v>
                </c:pt>
                <c:pt idx="1">
                  <c:v>40.185185185185183</c:v>
                </c:pt>
              </c:numCache>
            </c:numRef>
          </c:yVal>
          <c:smooth val="1"/>
          <c:extLst>
            <c:ext xmlns:c16="http://schemas.microsoft.com/office/drawing/2014/chart" uri="{C3380CC4-5D6E-409C-BE32-E72D297353CC}">
              <c16:uniqueId val="{00000009-E5F9-024C-8D72-66D9C8E1D116}"/>
            </c:ext>
          </c:extLst>
        </c:ser>
        <c:ser>
          <c:idx val="5"/>
          <c:order val="5"/>
          <c:tx>
            <c:strRef>
              <c:f>'Blank design chart (Fig 22)'!$C$20</c:f>
              <c:strCache>
                <c:ptCount val="1"/>
                <c:pt idx="0">
                  <c:v>10</c:v>
                </c:pt>
              </c:strCache>
            </c:strRef>
          </c:tx>
          <c:spPr>
            <a:ln w="22225">
              <a:solidFill>
                <a:srgbClr val="4A7EBB"/>
              </a:solidFill>
            </a:ln>
          </c:spPr>
          <c:marker>
            <c:symbol val="none"/>
          </c:marker>
          <c:xVal>
            <c:numRef>
              <c:f>'Blank design chart (Fig 22)'!$E$20:$E$21</c:f>
              <c:numCache>
                <c:formatCode>General</c:formatCode>
                <c:ptCount val="2"/>
                <c:pt idx="0">
                  <c:v>0</c:v>
                </c:pt>
                <c:pt idx="1">
                  <c:v>2170</c:v>
                </c:pt>
              </c:numCache>
            </c:numRef>
          </c:xVal>
          <c:yVal>
            <c:numRef>
              <c:f>'Blank design chart (Fig 22)'!$F$20:$F$21</c:f>
              <c:numCache>
                <c:formatCode>0.0</c:formatCode>
                <c:ptCount val="2"/>
                <c:pt idx="0">
                  <c:v>0</c:v>
                </c:pt>
                <c:pt idx="1">
                  <c:v>32.549999999999997</c:v>
                </c:pt>
              </c:numCache>
            </c:numRef>
          </c:yVal>
          <c:smooth val="1"/>
          <c:extLst>
            <c:ext xmlns:c16="http://schemas.microsoft.com/office/drawing/2014/chart" uri="{C3380CC4-5D6E-409C-BE32-E72D297353CC}">
              <c16:uniqueId val="{0000000A-E5F9-024C-8D72-66D9C8E1D116}"/>
            </c:ext>
          </c:extLst>
        </c:ser>
        <c:ser>
          <c:idx val="8"/>
          <c:order val="6"/>
          <c:tx>
            <c:strRef>
              <c:f>'Blank design chart (Fig 22)'!$C$22</c:f>
              <c:strCache>
                <c:ptCount val="1"/>
                <c:pt idx="0">
                  <c:v>11</c:v>
                </c:pt>
              </c:strCache>
            </c:strRef>
          </c:tx>
          <c:spPr>
            <a:ln w="50800">
              <a:solidFill>
                <a:schemeClr val="accent1"/>
              </a:solidFill>
            </a:ln>
          </c:spPr>
          <c:marker>
            <c:symbol val="none"/>
          </c:marker>
          <c:xVal>
            <c:numRef>
              <c:f>'Blank design chart (Fig 22)'!$E$22:$E$23</c:f>
              <c:numCache>
                <c:formatCode>General</c:formatCode>
                <c:ptCount val="2"/>
                <c:pt idx="0">
                  <c:v>0</c:v>
                </c:pt>
                <c:pt idx="1">
                  <c:v>2170</c:v>
                </c:pt>
              </c:numCache>
            </c:numRef>
          </c:xVal>
          <c:yVal>
            <c:numRef>
              <c:f>'Blank design chart (Fig 22)'!$F$22:$F$23</c:f>
              <c:numCache>
                <c:formatCode>0.0</c:formatCode>
                <c:ptCount val="2"/>
                <c:pt idx="0">
                  <c:v>0</c:v>
                </c:pt>
                <c:pt idx="1">
                  <c:v>26.900826446280991</c:v>
                </c:pt>
              </c:numCache>
            </c:numRef>
          </c:yVal>
          <c:smooth val="1"/>
          <c:extLst>
            <c:ext xmlns:c16="http://schemas.microsoft.com/office/drawing/2014/chart" uri="{C3380CC4-5D6E-409C-BE32-E72D297353CC}">
              <c16:uniqueId val="{0000000B-E5F9-024C-8D72-66D9C8E1D116}"/>
            </c:ext>
          </c:extLst>
        </c:ser>
        <c:dLbls>
          <c:showLegendKey val="0"/>
          <c:showVal val="0"/>
          <c:showCatName val="0"/>
          <c:showSerName val="0"/>
          <c:showPercent val="0"/>
          <c:showBubbleSize val="0"/>
        </c:dLbls>
        <c:axId val="-2092955784"/>
        <c:axId val="-2092921432"/>
      </c:scatterChart>
      <c:valAx>
        <c:axId val="-2092955784"/>
        <c:scaling>
          <c:orientation val="minMax"/>
          <c:max val="1400"/>
          <c:min val="0"/>
        </c:scaling>
        <c:delete val="0"/>
        <c:axPos val="b"/>
        <c:title>
          <c:tx>
            <c:rich>
              <a:bodyPr/>
              <a:lstStyle/>
              <a:p>
                <a:pPr>
                  <a:defRPr sz="1200"/>
                </a:pPr>
                <a:r>
                  <a:rPr lang="en-GB" sz="1200"/>
                  <a:t>Breaking strength</a:t>
                </a:r>
                <a:r>
                  <a:rPr lang="en-GB" sz="1200" baseline="0"/>
                  <a:t>, S [N]</a:t>
                </a:r>
                <a:endParaRPr lang="en-GB" sz="1200"/>
              </a:p>
            </c:rich>
          </c:tx>
          <c:overlay val="0"/>
        </c:title>
        <c:numFmt formatCode="0" sourceLinked="0"/>
        <c:majorTickMark val="out"/>
        <c:minorTickMark val="none"/>
        <c:tickLblPos val="nextTo"/>
        <c:spPr>
          <a:ln>
            <a:solidFill>
              <a:schemeClr val="tx1"/>
            </a:solidFill>
          </a:ln>
        </c:spPr>
        <c:txPr>
          <a:bodyPr/>
          <a:lstStyle/>
          <a:p>
            <a:pPr>
              <a:defRPr sz="1000" baseline="0"/>
            </a:pPr>
            <a:endParaRPr lang="en-US"/>
          </a:p>
        </c:txPr>
        <c:crossAx val="-2092921432"/>
        <c:crossesAt val="0"/>
        <c:crossBetween val="midCat"/>
        <c:majorUnit val="200"/>
      </c:valAx>
      <c:valAx>
        <c:axId val="-2092921432"/>
        <c:scaling>
          <c:orientation val="minMax"/>
          <c:max val="20"/>
          <c:min val="0"/>
        </c:scaling>
        <c:delete val="0"/>
        <c:axPos val="l"/>
        <c:title>
          <c:tx>
            <c:rich>
              <a:bodyPr/>
              <a:lstStyle/>
              <a:p>
                <a:pPr>
                  <a:defRPr sz="1200"/>
                </a:pPr>
                <a:r>
                  <a:rPr lang="en-GB" sz="1200"/>
                  <a:t>Modulus of Rupture [MPa]</a:t>
                </a:r>
              </a:p>
            </c:rich>
          </c:tx>
          <c:overlay val="0"/>
        </c:title>
        <c:numFmt formatCode="0" sourceLinked="0"/>
        <c:majorTickMark val="out"/>
        <c:minorTickMark val="none"/>
        <c:tickLblPos val="nextTo"/>
        <c:spPr>
          <a:ln>
            <a:solidFill>
              <a:schemeClr val="tx1"/>
            </a:solidFill>
          </a:ln>
        </c:spPr>
        <c:txPr>
          <a:bodyPr/>
          <a:lstStyle/>
          <a:p>
            <a:pPr>
              <a:defRPr sz="1000" baseline="0"/>
            </a:pPr>
            <a:endParaRPr lang="en-US"/>
          </a:p>
        </c:txPr>
        <c:crossAx val="-2092955784"/>
        <c:crosses val="autoZero"/>
        <c:crossBetween val="midCat"/>
        <c:majorUnit val="2"/>
        <c:minorUnit val="1"/>
      </c:valAx>
      <c:spPr>
        <a:ln w="19050" cmpd="sng">
          <a:solidFill>
            <a:schemeClr val="tx1"/>
          </a:solidFill>
        </a:ln>
      </c:spPr>
    </c:plotArea>
    <c:legend>
      <c:legendPos val="r"/>
      <c:layout>
        <c:manualLayout>
          <c:xMode val="edge"/>
          <c:yMode val="edge"/>
          <c:x val="6.7294370232038159E-2"/>
          <c:y val="0.80030164554007599"/>
          <c:w val="0.76640140760079034"/>
          <c:h val="0.10808454400270358"/>
        </c:manualLayout>
      </c:layout>
      <c:overlay val="0"/>
      <c:txPr>
        <a:bodyPr/>
        <a:lstStyle/>
        <a:p>
          <a:pPr>
            <a:defRPr sz="1200"/>
          </a:pPr>
          <a:endParaRPr lang="en-US"/>
        </a:p>
      </c:txPr>
    </c:legend>
    <c:plotVisOnly val="1"/>
    <c:dispBlanksAs val="gap"/>
    <c:showDLblsOverMax val="0"/>
  </c:chart>
  <c:spPr>
    <a:ln w="19050" cmpd="sng">
      <a:noFill/>
    </a:ln>
  </c:sp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barChart>
        <c:barDir val="col"/>
        <c:grouping val="clustered"/>
        <c:varyColors val="0"/>
        <c:ser>
          <c:idx val="0"/>
          <c:order val="0"/>
          <c:spPr>
            <a:solidFill>
              <a:srgbClr val="B4A5FA"/>
            </a:solidFill>
            <a:ln w="25400">
              <a:solidFill>
                <a:srgbClr val="989FBE"/>
              </a:solidFill>
              <a:prstDash val="solid"/>
            </a:ln>
            <a:effectLst/>
          </c:spPr>
          <c:invertIfNegative val="0"/>
          <c:val>
            <c:numRef>
              <c:f>('Mtng70 trips ABR FIN blank(apx)'!#REF!,'Mtng70 trips ABR FIN blank(apx)'!#REF!,'Mtng70 trips ABR FIN blank(apx)'!#REF!,'Mtng70 trips ABR FIN blank(apx)'!#REF!)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'Mtng70 trips ABR FIN blank(apx)'!#REF!</c15:sqref>
                        </c15:formulaRef>
                      </c:ext>
                    </c:extLst>
                    <c:strCache>
                      <c:ptCount val="1"/>
                      <c:pt idx="0">
                        <c:v>σ</c:v>
                      </c:pt>
                    </c:strCache>
                  </c:strRef>
                </c15:tx>
              </c15:filteredSeriesTitle>
            </c:ext>
            <c:ext xmlns:c15="http://schemas.microsoft.com/office/drawing/2012/chart" uri="{02D57815-91ED-43cb-92C2-25804820EDAC}">
              <c15:filteredCategoryTitle>
                <c15:cat>
                  <c:multiLvlStrRef>
                    <c:extLst>
                      <c:ext uri="{02D57815-91ED-43cb-92C2-25804820EDAC}">
                        <c15:formulaRef>
                          <c15:sqref>('Mtng70 trips ABR FIN blank(apx)'!#REF!,'Mtng70 trips ABR FIN blank(apx)'!#REF!,'Mtng70 trips ABR FIN blank(apx)'!#REF!,'Mtng70 trips ABR FIN blank(apx)'!#REF!)</c15:sqref>
                        </c15:formulaRef>
                      </c:ext>
                    </c:extLst>
                  </c:multiLvlStrRef>
                </c15:cat>
              </c15:filteredCategoryTitle>
            </c:ext>
            <c:ext xmlns:c16="http://schemas.microsoft.com/office/drawing/2014/chart" uri="{C3380CC4-5D6E-409C-BE32-E72D297353CC}">
              <c16:uniqueId val="{00000000-952E-9B48-8CD1-2AC7D8ED95A8}"/>
            </c:ext>
          </c:extLst>
        </c:ser>
        <c:dLbls>
          <c:showLegendKey val="0"/>
          <c:showVal val="0"/>
          <c:showCatName val="0"/>
          <c:showSerName val="0"/>
          <c:showPercent val="0"/>
          <c:showBubbleSize val="0"/>
        </c:dLbls>
        <c:gapWidth val="150"/>
        <c:axId val="-2024858376"/>
        <c:axId val="-2024852728"/>
      </c:barChart>
      <c:catAx>
        <c:axId val="-2024858376"/>
        <c:scaling>
          <c:orientation val="minMax"/>
        </c:scaling>
        <c:delete val="0"/>
        <c:axPos val="b"/>
        <c:title>
          <c:tx>
            <c:rich>
              <a:bodyPr/>
              <a:lstStyle/>
              <a:p>
                <a:pPr>
                  <a:defRPr sz="1800"/>
                </a:pPr>
                <a:r>
                  <a:rPr lang="en-US" sz="1800"/>
                  <a:t>Forming Pressure</a:t>
                </a:r>
                <a:r>
                  <a:rPr lang="en-US" sz="1800" baseline="0"/>
                  <a:t> [</a:t>
                </a:r>
                <a:r>
                  <a:rPr lang="en-US" sz="1800"/>
                  <a:t>MPa]</a:t>
                </a:r>
              </a:p>
            </c:rich>
          </c:tx>
          <c:overlay val="0"/>
        </c:title>
        <c:numFmt formatCode="0" sourceLinked="1"/>
        <c:majorTickMark val="out"/>
        <c:minorTickMark val="none"/>
        <c:tickLblPos val="nextTo"/>
        <c:spPr>
          <a:ln>
            <a:solidFill>
              <a:schemeClr val="tx1"/>
            </a:solidFill>
          </a:ln>
        </c:spPr>
        <c:txPr>
          <a:bodyPr/>
          <a:lstStyle/>
          <a:p>
            <a:pPr>
              <a:defRPr sz="1600"/>
            </a:pPr>
            <a:endParaRPr lang="en-US"/>
          </a:p>
        </c:txPr>
        <c:crossAx val="-2024852728"/>
        <c:crosses val="autoZero"/>
        <c:auto val="1"/>
        <c:lblAlgn val="ctr"/>
        <c:lblOffset val="100"/>
        <c:noMultiLvlLbl val="0"/>
      </c:catAx>
      <c:valAx>
        <c:axId val="-2024852728"/>
        <c:scaling>
          <c:orientation val="minMax"/>
          <c:min val="0"/>
        </c:scaling>
        <c:delete val="0"/>
        <c:axPos val="l"/>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a:t>Modulus of Rupture error </a:t>
                </a:r>
                <a:r>
                  <a:rPr lang="el-GR" sz="1800"/>
                  <a:t>σ </a:t>
                </a:r>
                <a:r>
                  <a:rPr lang="en-US" sz="1800"/>
                  <a:t> [MPa]</a:t>
                </a:r>
              </a:p>
            </c:rich>
          </c:tx>
          <c:overlay val="0"/>
        </c:title>
        <c:numFmt formatCode="0" sourceLinked="0"/>
        <c:majorTickMark val="out"/>
        <c:minorTickMark val="none"/>
        <c:tickLblPos val="nextTo"/>
        <c:spPr>
          <a:ln>
            <a:solidFill>
              <a:schemeClr val="tx1"/>
            </a:solidFill>
          </a:ln>
        </c:spPr>
        <c:txPr>
          <a:bodyPr/>
          <a:lstStyle/>
          <a:p>
            <a:pPr>
              <a:defRPr sz="1600" baseline="0"/>
            </a:pPr>
            <a:endParaRPr lang="en-US"/>
          </a:p>
        </c:txPr>
        <c:crossAx val="-2024858376"/>
        <c:crosses val="autoZero"/>
        <c:crossBetween val="between"/>
        <c:majorUnit val="1"/>
      </c:valAx>
      <c:spPr>
        <a:ln w="19050" cmpd="sng">
          <a:solidFill>
            <a:schemeClr val="tx1"/>
          </a:solidFill>
        </a:ln>
      </c:spPr>
    </c:plotArea>
    <c:plotVisOnly val="1"/>
    <c:dispBlanksAs val="gap"/>
    <c:showDLblsOverMax val="0"/>
  </c:chart>
  <c:spPr>
    <a:ln w="19050" cmpd="sng">
      <a:solidFill>
        <a:srgbClr val="FFFFFF"/>
      </a:solid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barChart>
        <c:barDir val="col"/>
        <c:grouping val="clustered"/>
        <c:varyColors val="0"/>
        <c:ser>
          <c:idx val="0"/>
          <c:order val="0"/>
          <c:spPr>
            <a:solidFill>
              <a:srgbClr val="FCBE70"/>
            </a:solidFill>
            <a:ln w="25400">
              <a:solidFill>
                <a:srgbClr val="989FBE"/>
              </a:solidFill>
              <a:prstDash val="solid"/>
            </a:ln>
            <a:effectLst/>
          </c:spPr>
          <c:invertIfNegative val="0"/>
          <c:dPt>
            <c:idx val="0"/>
            <c:invertIfNegative val="0"/>
            <c:bubble3D val="0"/>
            <c:extLst>
              <c:ext xmlns:c16="http://schemas.microsoft.com/office/drawing/2014/chart" uri="{C3380CC4-5D6E-409C-BE32-E72D297353CC}">
                <c16:uniqueId val="{00000000-CB10-3B4B-BB99-7FBC807A3A45}"/>
              </c:ext>
            </c:extLst>
          </c:dPt>
          <c:dPt>
            <c:idx val="1"/>
            <c:invertIfNegative val="0"/>
            <c:bubble3D val="0"/>
            <c:extLst>
              <c:ext xmlns:c16="http://schemas.microsoft.com/office/drawing/2014/chart" uri="{C3380CC4-5D6E-409C-BE32-E72D297353CC}">
                <c16:uniqueId val="{00000001-CB10-3B4B-BB99-7FBC807A3A45}"/>
              </c:ext>
            </c:extLst>
          </c:dPt>
          <c:val>
            <c:numRef>
              <c:f>('Mtng70 trips ABR FIN blank(apx)'!#REF!,'Mtng70 trips ABR FIN blank(apx)'!#REF!,'Mtng70 trips ABR FIN blank(apx)'!#REF!,'Mtng70 trips ABR FIN blank(apx)'!#REF!)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'Mtng70 trips ABR FIN blank(apx)'!#REF!</c15:sqref>
                        </c15:formulaRef>
                      </c:ext>
                    </c:extLst>
                    <c:strCache>
                      <c:ptCount val="1"/>
                      <c:pt idx="0">
                        <c:v>σ</c:v>
                      </c:pt>
                    </c:strCache>
                  </c:strRef>
                </c15:tx>
              </c15:filteredSeriesTitle>
            </c:ext>
            <c:ext xmlns:c15="http://schemas.microsoft.com/office/drawing/2012/chart" uri="{02D57815-91ED-43cb-92C2-25804820EDAC}">
              <c15:filteredCategoryTitle>
                <c15:cat>
                  <c:multiLvlStrRef>
                    <c:extLst>
                      <c:ext uri="{02D57815-91ED-43cb-92C2-25804820EDAC}">
                        <c15:formulaRef>
                          <c15:sqref>('Mtng70 trips ABR FIN blank(apx)'!#REF!,'Mtng70 trips ABR FIN blank(apx)'!#REF!,'Mtng70 trips ABR FIN blank(apx)'!#REF!,'Mtng70 trips ABR FIN blank(apx)'!#REF!)</c15:sqref>
                        </c15:formulaRef>
                      </c:ext>
                    </c:extLst>
                  </c:multiLvlStrRef>
                </c15:cat>
              </c15:filteredCategoryTitle>
            </c:ext>
            <c:ext xmlns:c16="http://schemas.microsoft.com/office/drawing/2014/chart" uri="{C3380CC4-5D6E-409C-BE32-E72D297353CC}">
              <c16:uniqueId val="{00000002-CB10-3B4B-BB99-7FBC807A3A45}"/>
            </c:ext>
          </c:extLst>
        </c:ser>
        <c:dLbls>
          <c:showLegendKey val="0"/>
          <c:showVal val="0"/>
          <c:showCatName val="0"/>
          <c:showSerName val="0"/>
          <c:showPercent val="0"/>
          <c:showBubbleSize val="0"/>
        </c:dLbls>
        <c:gapWidth val="150"/>
        <c:axId val="-1967507240"/>
        <c:axId val="-2003491240"/>
      </c:barChart>
      <c:catAx>
        <c:axId val="-1967507240"/>
        <c:scaling>
          <c:orientation val="minMax"/>
        </c:scaling>
        <c:delete val="0"/>
        <c:axPos val="b"/>
        <c:title>
          <c:tx>
            <c:rich>
              <a:bodyPr/>
              <a:lstStyle/>
              <a:p>
                <a:pPr>
                  <a:defRPr sz="1800">
                    <a:solidFill>
                      <a:schemeClr val="tx1"/>
                    </a:solidFill>
                  </a:defRPr>
                </a:pPr>
                <a:r>
                  <a:rPr lang="en-US" sz="1800">
                    <a:solidFill>
                      <a:schemeClr val="tx1"/>
                    </a:solidFill>
                  </a:rPr>
                  <a:t>Tile Label</a:t>
                </a:r>
              </a:p>
            </c:rich>
          </c:tx>
          <c:overlay val="0"/>
        </c:title>
        <c:numFmt formatCode="General" sourceLinked="1"/>
        <c:majorTickMark val="out"/>
        <c:minorTickMark val="none"/>
        <c:tickLblPos val="nextTo"/>
        <c:spPr>
          <a:ln>
            <a:solidFill>
              <a:schemeClr val="tx1"/>
            </a:solidFill>
          </a:ln>
        </c:spPr>
        <c:txPr>
          <a:bodyPr/>
          <a:lstStyle/>
          <a:p>
            <a:pPr>
              <a:defRPr sz="1600" baseline="0"/>
            </a:pPr>
            <a:endParaRPr lang="en-US"/>
          </a:p>
        </c:txPr>
        <c:crossAx val="-2003491240"/>
        <c:crosses val="autoZero"/>
        <c:auto val="1"/>
        <c:lblAlgn val="ctr"/>
        <c:lblOffset val="100"/>
        <c:noMultiLvlLbl val="0"/>
      </c:catAx>
      <c:valAx>
        <c:axId val="-2003491240"/>
        <c:scaling>
          <c:orientation val="minMax"/>
          <c:max val="600"/>
          <c:min val="0"/>
        </c:scaling>
        <c:delete val="0"/>
        <c:axPos val="l"/>
        <c:title>
          <c:tx>
            <c:rich>
              <a:bodyPr/>
              <a:lstStyle/>
              <a:p>
                <a:pPr>
                  <a:defRPr sz="1800"/>
                </a:pPr>
                <a:r>
                  <a:rPr lang="en-US" sz="1800"/>
                  <a:t>Breaking</a:t>
                </a:r>
                <a:r>
                  <a:rPr lang="en-US" sz="1800" baseline="0"/>
                  <a:t> Strength error </a:t>
                </a:r>
                <a:r>
                  <a:rPr lang="el-GR" sz="1800" baseline="0"/>
                  <a:t>σ</a:t>
                </a:r>
                <a:r>
                  <a:rPr lang="en-US" sz="1800" baseline="0"/>
                  <a:t>  </a:t>
                </a:r>
                <a:r>
                  <a:rPr lang="en-US" sz="1800"/>
                  <a:t>[N]</a:t>
                </a:r>
              </a:p>
            </c:rich>
          </c:tx>
          <c:overlay val="0"/>
        </c:title>
        <c:numFmt formatCode="General" sourceLinked="1"/>
        <c:majorTickMark val="out"/>
        <c:minorTickMark val="none"/>
        <c:tickLblPos val="nextTo"/>
        <c:spPr>
          <a:ln>
            <a:solidFill>
              <a:schemeClr val="tx1"/>
            </a:solidFill>
          </a:ln>
        </c:spPr>
        <c:txPr>
          <a:bodyPr/>
          <a:lstStyle/>
          <a:p>
            <a:pPr>
              <a:defRPr sz="1600" baseline="0"/>
            </a:pPr>
            <a:endParaRPr lang="en-US"/>
          </a:p>
        </c:txPr>
        <c:crossAx val="-1967507240"/>
        <c:crosses val="autoZero"/>
        <c:crossBetween val="between"/>
        <c:majorUnit val="100"/>
      </c:valAx>
      <c:spPr>
        <a:ln w="19050" cmpd="sng">
          <a:solidFill>
            <a:schemeClr val="tx1"/>
          </a:solidFill>
        </a:ln>
      </c:spPr>
    </c:plotArea>
    <c:plotVisOnly val="1"/>
    <c:dispBlanksAs val="gap"/>
    <c:showDLblsOverMax val="0"/>
  </c:chart>
  <c:spPr>
    <a:ln w="19050" cmpd="sng">
      <a:noFill/>
    </a:ln>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barChart>
        <c:barDir val="col"/>
        <c:grouping val="clustered"/>
        <c:varyColors val="0"/>
        <c:ser>
          <c:idx val="0"/>
          <c:order val="0"/>
          <c:spPr>
            <a:solidFill>
              <a:srgbClr val="B4A5FA"/>
            </a:solidFill>
            <a:ln w="25400">
              <a:solidFill>
                <a:srgbClr val="989FBE"/>
              </a:solidFill>
              <a:prstDash val="solid"/>
            </a:ln>
            <a:effectLst/>
          </c:spPr>
          <c:invertIfNegative val="0"/>
          <c:val>
            <c:numRef>
              <c:f>('Mtng70 trips ABR FIN blank(apx)'!#REF!,'Mtng70 trips ABR FIN blank(apx)'!#REF!,'Mtng70 trips ABR FIN blank(apx)'!#REF!,'Mtng70 trips ABR FIN blank(apx)'!#REF!)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'Mtng70 trips ABR FIN blank(apx)'!#REF!</c15:sqref>
                        </c15:formulaRef>
                      </c:ext>
                    </c:extLst>
                    <c:strCache>
                      <c:ptCount val="1"/>
                      <c:pt idx="0">
                        <c:v>σ</c:v>
                      </c:pt>
                    </c:strCache>
                  </c:strRef>
                </c15:tx>
              </c15:filteredSeriesTitle>
            </c:ext>
            <c:ext xmlns:c15="http://schemas.microsoft.com/office/drawing/2012/chart" uri="{02D57815-91ED-43cb-92C2-25804820EDAC}">
              <c15:filteredCategoryTitle>
                <c15:cat>
                  <c:multiLvlStrRef>
                    <c:extLst>
                      <c:ext uri="{02D57815-91ED-43cb-92C2-25804820EDAC}">
                        <c15:formulaRef>
                          <c15:sqref>('Mtng70 trips ABR FIN blank(apx)'!#REF!,'Mtng70 trips ABR FIN blank(apx)'!#REF!,'Mtng70 trips ABR FIN blank(apx)'!#REF!,'Mtng70 trips ABR FIN blank(apx)'!#REF!)</c15:sqref>
                        </c15:formulaRef>
                      </c:ext>
                    </c:extLst>
                  </c:multiLvlStrRef>
                </c15:cat>
              </c15:filteredCategoryTitle>
            </c:ext>
            <c:ext xmlns:c16="http://schemas.microsoft.com/office/drawing/2014/chart" uri="{C3380CC4-5D6E-409C-BE32-E72D297353CC}">
              <c16:uniqueId val="{00000000-8804-654B-AC7D-837846429D4A}"/>
            </c:ext>
          </c:extLst>
        </c:ser>
        <c:dLbls>
          <c:showLegendKey val="0"/>
          <c:showVal val="0"/>
          <c:showCatName val="0"/>
          <c:showSerName val="0"/>
          <c:showPercent val="0"/>
          <c:showBubbleSize val="0"/>
        </c:dLbls>
        <c:gapWidth val="150"/>
        <c:axId val="-2024858376"/>
        <c:axId val="-2024852728"/>
      </c:barChart>
      <c:catAx>
        <c:axId val="-2024858376"/>
        <c:scaling>
          <c:orientation val="minMax"/>
        </c:scaling>
        <c:delete val="0"/>
        <c:axPos val="b"/>
        <c:title>
          <c:tx>
            <c:rich>
              <a:bodyPr/>
              <a:lstStyle/>
              <a:p>
                <a:pPr>
                  <a:defRPr sz="1800"/>
                </a:pPr>
                <a:r>
                  <a:rPr lang="en-US" sz="1800"/>
                  <a:t>Forming Pressure</a:t>
                </a:r>
                <a:r>
                  <a:rPr lang="en-US" sz="1800" baseline="0"/>
                  <a:t> [</a:t>
                </a:r>
                <a:r>
                  <a:rPr lang="en-US" sz="1800"/>
                  <a:t>MPa]</a:t>
                </a:r>
              </a:p>
            </c:rich>
          </c:tx>
          <c:overlay val="0"/>
        </c:title>
        <c:numFmt formatCode="0" sourceLinked="1"/>
        <c:majorTickMark val="out"/>
        <c:minorTickMark val="none"/>
        <c:tickLblPos val="nextTo"/>
        <c:spPr>
          <a:ln>
            <a:solidFill>
              <a:schemeClr val="tx1"/>
            </a:solidFill>
          </a:ln>
        </c:spPr>
        <c:txPr>
          <a:bodyPr/>
          <a:lstStyle/>
          <a:p>
            <a:pPr>
              <a:defRPr sz="1600"/>
            </a:pPr>
            <a:endParaRPr lang="en-US"/>
          </a:p>
        </c:txPr>
        <c:crossAx val="-2024852728"/>
        <c:crosses val="autoZero"/>
        <c:auto val="1"/>
        <c:lblAlgn val="ctr"/>
        <c:lblOffset val="100"/>
        <c:noMultiLvlLbl val="0"/>
      </c:catAx>
      <c:valAx>
        <c:axId val="-2024852728"/>
        <c:scaling>
          <c:orientation val="minMax"/>
          <c:max val="24"/>
          <c:min val="0"/>
        </c:scaling>
        <c:delete val="0"/>
        <c:axPos val="l"/>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800"/>
                  <a:t>Modulus of Rupture error </a:t>
                </a:r>
                <a:r>
                  <a:rPr lang="el-GR" sz="1800"/>
                  <a:t>σ </a:t>
                </a:r>
                <a:r>
                  <a:rPr lang="en-US" sz="1800"/>
                  <a:t> [%]</a:t>
                </a:r>
              </a:p>
            </c:rich>
          </c:tx>
          <c:overlay val="0"/>
        </c:title>
        <c:numFmt formatCode="0" sourceLinked="0"/>
        <c:majorTickMark val="out"/>
        <c:minorTickMark val="none"/>
        <c:tickLblPos val="nextTo"/>
        <c:spPr>
          <a:ln>
            <a:solidFill>
              <a:schemeClr val="tx1"/>
            </a:solidFill>
          </a:ln>
        </c:spPr>
        <c:txPr>
          <a:bodyPr/>
          <a:lstStyle/>
          <a:p>
            <a:pPr>
              <a:defRPr sz="1600" baseline="0"/>
            </a:pPr>
            <a:endParaRPr lang="en-US"/>
          </a:p>
        </c:txPr>
        <c:crossAx val="-2024858376"/>
        <c:crosses val="autoZero"/>
        <c:crossBetween val="between"/>
        <c:majorUnit val="2"/>
      </c:valAx>
      <c:spPr>
        <a:ln w="19050" cmpd="sng">
          <a:solidFill>
            <a:schemeClr val="tx1"/>
          </a:solidFill>
        </a:ln>
      </c:spPr>
    </c:plotArea>
    <c:plotVisOnly val="1"/>
    <c:dispBlanksAs val="gap"/>
    <c:showDLblsOverMax val="0"/>
  </c:chart>
  <c:spPr>
    <a:ln w="19050" cmpd="sng">
      <a:solidFill>
        <a:srgbClr val="FFFFFF"/>
      </a:solidFill>
    </a:ln>
  </c:spPr>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barChart>
        <c:barDir val="col"/>
        <c:grouping val="clustered"/>
        <c:varyColors val="0"/>
        <c:ser>
          <c:idx val="0"/>
          <c:order val="0"/>
          <c:spPr>
            <a:solidFill>
              <a:srgbClr val="FCBE70"/>
            </a:solidFill>
            <a:ln w="25400">
              <a:solidFill>
                <a:srgbClr val="989FBE"/>
              </a:solidFill>
              <a:prstDash val="solid"/>
            </a:ln>
            <a:effectLst/>
          </c:spPr>
          <c:invertIfNegative val="0"/>
          <c:dPt>
            <c:idx val="0"/>
            <c:invertIfNegative val="0"/>
            <c:bubble3D val="0"/>
            <c:extLst>
              <c:ext xmlns:c16="http://schemas.microsoft.com/office/drawing/2014/chart" uri="{C3380CC4-5D6E-409C-BE32-E72D297353CC}">
                <c16:uniqueId val="{00000000-1354-C048-86D2-2A0665AADBEA}"/>
              </c:ext>
            </c:extLst>
          </c:dPt>
          <c:dPt>
            <c:idx val="1"/>
            <c:invertIfNegative val="0"/>
            <c:bubble3D val="0"/>
            <c:extLst>
              <c:ext xmlns:c16="http://schemas.microsoft.com/office/drawing/2014/chart" uri="{C3380CC4-5D6E-409C-BE32-E72D297353CC}">
                <c16:uniqueId val="{00000001-1354-C048-86D2-2A0665AADBEA}"/>
              </c:ext>
            </c:extLst>
          </c:dPt>
          <c:val>
            <c:numRef>
              <c:f>('Mtng70 trips ABR FIN blank(apx)'!#REF!,'Mtng70 trips ABR FIN blank(apx)'!#REF!,'Mtng70 trips ABR FIN blank(apx)'!#REF!,'Mtng70 trips ABR FIN blank(apx)'!#REF!)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'Mtng70 trips ABR FIN blank(apx)'!#REF!</c15:sqref>
                        </c15:formulaRef>
                      </c:ext>
                    </c:extLst>
                    <c:strCache>
                      <c:ptCount val="1"/>
                      <c:pt idx="0">
                        <c:v>σ</c:v>
                      </c:pt>
                    </c:strCache>
                  </c:strRef>
                </c15:tx>
              </c15:filteredSeriesTitle>
            </c:ext>
            <c:ext xmlns:c15="http://schemas.microsoft.com/office/drawing/2012/chart" uri="{02D57815-91ED-43cb-92C2-25804820EDAC}">
              <c15:filteredCategoryTitle>
                <c15:cat>
                  <c:multiLvlStrRef>
                    <c:extLst>
                      <c:ext uri="{02D57815-91ED-43cb-92C2-25804820EDAC}">
                        <c15:formulaRef>
                          <c15:sqref>('Mtng70 trips ABR FIN blank(apx)'!#REF!,'Mtng70 trips ABR FIN blank(apx)'!#REF!,'Mtng70 trips ABR FIN blank(apx)'!#REF!,'Mtng70 trips ABR FIN blank(apx)'!#REF!)</c15:sqref>
                        </c15:formulaRef>
                      </c:ext>
                    </c:extLst>
                  </c:multiLvlStrRef>
                </c15:cat>
              </c15:filteredCategoryTitle>
            </c:ext>
            <c:ext xmlns:c16="http://schemas.microsoft.com/office/drawing/2014/chart" uri="{C3380CC4-5D6E-409C-BE32-E72D297353CC}">
              <c16:uniqueId val="{00000002-1354-C048-86D2-2A0665AADBEA}"/>
            </c:ext>
          </c:extLst>
        </c:ser>
        <c:dLbls>
          <c:showLegendKey val="0"/>
          <c:showVal val="0"/>
          <c:showCatName val="0"/>
          <c:showSerName val="0"/>
          <c:showPercent val="0"/>
          <c:showBubbleSize val="0"/>
        </c:dLbls>
        <c:gapWidth val="150"/>
        <c:axId val="-1967507240"/>
        <c:axId val="-2003491240"/>
      </c:barChart>
      <c:catAx>
        <c:axId val="-1967507240"/>
        <c:scaling>
          <c:orientation val="minMax"/>
        </c:scaling>
        <c:delete val="0"/>
        <c:axPos val="b"/>
        <c:title>
          <c:tx>
            <c:rich>
              <a:bodyPr/>
              <a:lstStyle/>
              <a:p>
                <a:pPr>
                  <a:defRPr sz="1800">
                    <a:solidFill>
                      <a:schemeClr val="tx1"/>
                    </a:solidFill>
                  </a:defRPr>
                </a:pPr>
                <a:r>
                  <a:rPr lang="en-US" sz="1800">
                    <a:solidFill>
                      <a:schemeClr val="tx1"/>
                    </a:solidFill>
                  </a:rPr>
                  <a:t>Tile Label</a:t>
                </a:r>
              </a:p>
            </c:rich>
          </c:tx>
          <c:overlay val="0"/>
        </c:title>
        <c:numFmt formatCode="General" sourceLinked="1"/>
        <c:majorTickMark val="out"/>
        <c:minorTickMark val="none"/>
        <c:tickLblPos val="nextTo"/>
        <c:spPr>
          <a:ln>
            <a:solidFill>
              <a:schemeClr val="tx1"/>
            </a:solidFill>
          </a:ln>
        </c:spPr>
        <c:txPr>
          <a:bodyPr/>
          <a:lstStyle/>
          <a:p>
            <a:pPr>
              <a:defRPr sz="1600" baseline="0"/>
            </a:pPr>
            <a:endParaRPr lang="en-US"/>
          </a:p>
        </c:txPr>
        <c:crossAx val="-2003491240"/>
        <c:crosses val="autoZero"/>
        <c:auto val="1"/>
        <c:lblAlgn val="ctr"/>
        <c:lblOffset val="100"/>
        <c:noMultiLvlLbl val="0"/>
      </c:catAx>
      <c:valAx>
        <c:axId val="-2003491240"/>
        <c:scaling>
          <c:orientation val="minMax"/>
          <c:max val="26"/>
          <c:min val="0"/>
        </c:scaling>
        <c:delete val="0"/>
        <c:axPos val="l"/>
        <c:title>
          <c:tx>
            <c:rich>
              <a:bodyPr/>
              <a:lstStyle/>
              <a:p>
                <a:pPr>
                  <a:defRPr sz="1800"/>
                </a:pPr>
                <a:r>
                  <a:rPr lang="en-US" sz="1800"/>
                  <a:t>Breaking</a:t>
                </a:r>
                <a:r>
                  <a:rPr lang="en-US" sz="1800" baseline="0"/>
                  <a:t> Strength error </a:t>
                </a:r>
                <a:r>
                  <a:rPr lang="el-GR" sz="1800" baseline="0"/>
                  <a:t>σ</a:t>
                </a:r>
                <a:r>
                  <a:rPr lang="en-US" sz="1800" baseline="0"/>
                  <a:t>  </a:t>
                </a:r>
                <a:r>
                  <a:rPr lang="en-US" sz="1800"/>
                  <a:t>[%]</a:t>
                </a:r>
              </a:p>
            </c:rich>
          </c:tx>
          <c:overlay val="0"/>
        </c:title>
        <c:numFmt formatCode="0" sourceLinked="0"/>
        <c:majorTickMark val="out"/>
        <c:minorTickMark val="none"/>
        <c:tickLblPos val="nextTo"/>
        <c:spPr>
          <a:ln>
            <a:solidFill>
              <a:schemeClr val="tx1"/>
            </a:solidFill>
          </a:ln>
        </c:spPr>
        <c:txPr>
          <a:bodyPr/>
          <a:lstStyle/>
          <a:p>
            <a:pPr>
              <a:defRPr sz="1600" baseline="0"/>
            </a:pPr>
            <a:endParaRPr lang="en-US"/>
          </a:p>
        </c:txPr>
        <c:crossAx val="-1967507240"/>
        <c:crosses val="autoZero"/>
        <c:crossBetween val="between"/>
        <c:majorUnit val="2"/>
      </c:valAx>
      <c:spPr>
        <a:ln w="19050" cmpd="sng">
          <a:solidFill>
            <a:schemeClr val="tx1"/>
          </a:solidFill>
        </a:ln>
      </c:spPr>
    </c:plotArea>
    <c:plotVisOnly val="1"/>
    <c:dispBlanksAs val="gap"/>
    <c:showDLblsOverMax val="0"/>
  </c:chart>
  <c:spPr>
    <a:ln w="19050" cmpd="sng">
      <a:noFill/>
    </a:ln>
  </c:spPr>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MOR </a:t>
            </a:r>
            <a:r>
              <a:rPr lang="en-US" baseline="0"/>
              <a:t>vs Breaking Strength for different thicknesses</a:t>
            </a:r>
            <a:endParaRPr lang="en-US"/>
          </a:p>
        </c:rich>
      </c:tx>
      <c:layout>
        <c:manualLayout>
          <c:xMode val="edge"/>
          <c:yMode val="edge"/>
          <c:x val="0.21745744634003689"/>
          <c:y val="5.1567217055349486E-3"/>
        </c:manualLayout>
      </c:layout>
      <c:overlay val="0"/>
    </c:title>
    <c:autoTitleDeleted val="0"/>
    <c:plotArea>
      <c:layout>
        <c:manualLayout>
          <c:layoutTarget val="inner"/>
          <c:xMode val="edge"/>
          <c:yMode val="edge"/>
          <c:x val="0.13576028080557237"/>
          <c:y val="6.7381954983401868E-2"/>
          <c:w val="0.37277774038775524"/>
          <c:h val="0.39834909662202189"/>
        </c:manualLayout>
      </c:layout>
      <c:scatterChart>
        <c:scatterStyle val="smoothMarker"/>
        <c:varyColors val="0"/>
        <c:ser>
          <c:idx val="6"/>
          <c:order val="0"/>
          <c:tx>
            <c:strRef>
              <c:f>'Summary design chart (Fig 34)'!$AE$6:$AE$6</c:f>
              <c:strCache>
                <c:ptCount val="1"/>
                <c:pt idx="0">
                  <c:v>SANS/ISO Target</c:v>
                </c:pt>
              </c:strCache>
            </c:strRef>
          </c:tx>
          <c:spPr>
            <a:ln w="19050">
              <a:solidFill>
                <a:srgbClr val="FF0000"/>
              </a:solidFill>
              <a:prstDash val="lgDash"/>
            </a:ln>
          </c:spPr>
          <c:marker>
            <c:symbol val="none"/>
          </c:marker>
          <c:xVal>
            <c:numRef>
              <c:f>'Summary design chart (Fig 34)'!$AE$8:$AE$9</c:f>
              <c:numCache>
                <c:formatCode>General</c:formatCode>
                <c:ptCount val="2"/>
                <c:pt idx="0">
                  <c:v>0</c:v>
                </c:pt>
                <c:pt idx="1">
                  <c:v>2400</c:v>
                </c:pt>
              </c:numCache>
            </c:numRef>
          </c:xVal>
          <c:yVal>
            <c:numRef>
              <c:f>'Summary design chart (Fig 34)'!$AF$8:$AF$9</c:f>
              <c:numCache>
                <c:formatCode>General</c:formatCode>
                <c:ptCount val="2"/>
                <c:pt idx="0">
                  <c:v>16</c:v>
                </c:pt>
                <c:pt idx="1">
                  <c:v>16</c:v>
                </c:pt>
              </c:numCache>
            </c:numRef>
          </c:yVal>
          <c:smooth val="1"/>
          <c:extLst>
            <c:ext xmlns:c16="http://schemas.microsoft.com/office/drawing/2014/chart" uri="{C3380CC4-5D6E-409C-BE32-E72D297353CC}">
              <c16:uniqueId val="{00000000-C69C-794A-BA18-91E6CAFA3664}"/>
            </c:ext>
          </c:extLst>
        </c:ser>
        <c:ser>
          <c:idx val="7"/>
          <c:order val="1"/>
          <c:tx>
            <c:strRef>
              <c:f>'Summary design chart (Fig 34)'!$AE$10:$AE$10</c:f>
              <c:strCache>
                <c:ptCount val="1"/>
                <c:pt idx="0">
                  <c:v>ISO Target</c:v>
                </c:pt>
              </c:strCache>
            </c:strRef>
          </c:tx>
          <c:spPr>
            <a:ln w="19050">
              <a:solidFill>
                <a:srgbClr val="008000"/>
              </a:solidFill>
              <a:prstDash val="lgDash"/>
            </a:ln>
          </c:spPr>
          <c:marker>
            <c:symbol val="none"/>
          </c:marker>
          <c:xVal>
            <c:numRef>
              <c:f>'Summary design chart (Fig 34)'!$AE$12:$AE$13</c:f>
              <c:numCache>
                <c:formatCode>General</c:formatCode>
                <c:ptCount val="2"/>
                <c:pt idx="0">
                  <c:v>800</c:v>
                </c:pt>
                <c:pt idx="1">
                  <c:v>800</c:v>
                </c:pt>
              </c:numCache>
            </c:numRef>
          </c:xVal>
          <c:yVal>
            <c:numRef>
              <c:f>'Summary design chart (Fig 34)'!$AF$12:$AF$13</c:f>
              <c:numCache>
                <c:formatCode>0.0</c:formatCode>
                <c:ptCount val="2"/>
                <c:pt idx="0">
                  <c:v>0</c:v>
                </c:pt>
                <c:pt idx="1">
                  <c:v>25</c:v>
                </c:pt>
              </c:numCache>
            </c:numRef>
          </c:yVal>
          <c:smooth val="1"/>
          <c:extLst>
            <c:ext xmlns:c16="http://schemas.microsoft.com/office/drawing/2014/chart" uri="{C3380CC4-5D6E-409C-BE32-E72D297353CC}">
              <c16:uniqueId val="{00000001-C69C-794A-BA18-91E6CAFA3664}"/>
            </c:ext>
          </c:extLst>
        </c:ser>
        <c:ser>
          <c:idx val="9"/>
          <c:order val="2"/>
          <c:tx>
            <c:strRef>
              <c:f>'Summary design chart (Fig 34)'!$U$10</c:f>
              <c:strCache>
                <c:ptCount val="1"/>
                <c:pt idx="0">
                  <c:v>150 µm (0.1 MPa)</c:v>
                </c:pt>
              </c:strCache>
            </c:strRef>
          </c:tx>
          <c:spPr>
            <a:ln>
              <a:noFill/>
            </a:ln>
            <a:effectLst/>
          </c:spPr>
          <c:marker>
            <c:symbol val="square"/>
            <c:size val="10"/>
            <c:spPr>
              <a:solidFill>
                <a:schemeClr val="accent4"/>
              </a:solidFill>
              <a:ln w="15875">
                <a:solidFill>
                  <a:srgbClr val="FF7503"/>
                </a:solidFill>
              </a:ln>
              <a:effectLst/>
            </c:spPr>
          </c:marker>
          <c:errBars>
            <c:errDir val="y"/>
            <c:errBarType val="both"/>
            <c:errValType val="cust"/>
            <c:noEndCap val="0"/>
            <c:plus>
              <c:numRef>
                <c:f>'Summary design chart (Fig 34)'!$Y$10</c:f>
                <c:numCache>
                  <c:formatCode>General</c:formatCode>
                  <c:ptCount val="1"/>
                  <c:pt idx="0">
                    <c:v>0.72526134705409329</c:v>
                  </c:pt>
                </c:numCache>
              </c:numRef>
            </c:plus>
            <c:minus>
              <c:numRef>
                <c:f>'Summary design chart (Fig 34)'!$Y$10</c:f>
                <c:numCache>
                  <c:formatCode>General</c:formatCode>
                  <c:ptCount val="1"/>
                  <c:pt idx="0">
                    <c:v>0.72526134705409329</c:v>
                  </c:pt>
                </c:numCache>
              </c:numRef>
            </c:minus>
            <c:spPr>
              <a:ln w="15875">
                <a:solidFill>
                  <a:srgbClr val="FF7503"/>
                </a:solidFill>
                <a:prstDash val="solid"/>
              </a:ln>
            </c:spPr>
          </c:errBars>
          <c:xVal>
            <c:numRef>
              <c:f>'Summary design chart (Fig 34)'!$V$10</c:f>
              <c:numCache>
                <c:formatCode>0.00</c:formatCode>
                <c:ptCount val="1"/>
                <c:pt idx="0">
                  <c:v>986.32544999999982</c:v>
                </c:pt>
              </c:numCache>
            </c:numRef>
          </c:xVal>
          <c:yVal>
            <c:numRef>
              <c:f>'Summary design chart (Fig 34)'!$X$10</c:f>
              <c:numCache>
                <c:formatCode>0.00</c:formatCode>
                <c:ptCount val="1"/>
                <c:pt idx="0">
                  <c:v>18.514361475362737</c:v>
                </c:pt>
              </c:numCache>
            </c:numRef>
          </c:yVal>
          <c:smooth val="1"/>
          <c:extLst>
            <c:ext xmlns:c16="http://schemas.microsoft.com/office/drawing/2014/chart" uri="{C3380CC4-5D6E-409C-BE32-E72D297353CC}">
              <c16:uniqueId val="{00000002-C69C-794A-BA18-91E6CAFA3664}"/>
            </c:ext>
          </c:extLst>
        </c:ser>
        <c:ser>
          <c:idx val="10"/>
          <c:order val="3"/>
          <c:tx>
            <c:strRef>
              <c:f>'Summary design chart (Fig 34)'!$U$16</c:f>
              <c:strCache>
                <c:ptCount val="1"/>
                <c:pt idx="0">
                  <c:v>212 µm (0.1 MPa)</c:v>
                </c:pt>
              </c:strCache>
            </c:strRef>
          </c:tx>
          <c:spPr>
            <a:ln>
              <a:noFill/>
            </a:ln>
            <a:effectLst/>
          </c:spPr>
          <c:marker>
            <c:symbol val="triangle"/>
            <c:size val="9"/>
            <c:spPr>
              <a:solidFill>
                <a:schemeClr val="accent4"/>
              </a:solidFill>
              <a:ln>
                <a:noFill/>
              </a:ln>
              <a:effectLst/>
            </c:spPr>
          </c:marker>
          <c:errBars>
            <c:errDir val="y"/>
            <c:errBarType val="both"/>
            <c:errValType val="cust"/>
            <c:noEndCap val="0"/>
            <c:plus>
              <c:numRef>
                <c:f>'Summary design chart (Fig 34)'!$Y$16</c:f>
                <c:numCache>
                  <c:formatCode>General</c:formatCode>
                  <c:ptCount val="1"/>
                  <c:pt idx="0">
                    <c:v>1.0187004438295559</c:v>
                  </c:pt>
                </c:numCache>
              </c:numRef>
            </c:plus>
            <c:minus>
              <c:numRef>
                <c:f>'Summary design chart (Fig 34)'!$Y$16</c:f>
                <c:numCache>
                  <c:formatCode>General</c:formatCode>
                  <c:ptCount val="1"/>
                  <c:pt idx="0">
                    <c:v>1.0187004438295559</c:v>
                  </c:pt>
                </c:numCache>
              </c:numRef>
            </c:minus>
            <c:spPr>
              <a:ln>
                <a:solidFill>
                  <a:schemeClr val="accent4"/>
                </a:solidFill>
              </a:ln>
            </c:spPr>
          </c:errBars>
          <c:xVal>
            <c:numRef>
              <c:f>'Summary design chart (Fig 34)'!$V$16</c:f>
              <c:numCache>
                <c:formatCode>0.00</c:formatCode>
                <c:ptCount val="1"/>
                <c:pt idx="0">
                  <c:v>918.09393333333344</c:v>
                </c:pt>
              </c:numCache>
            </c:numRef>
          </c:xVal>
          <c:yVal>
            <c:numRef>
              <c:f>'Summary design chart (Fig 34)'!$X$16</c:f>
              <c:numCache>
                <c:formatCode>0.00</c:formatCode>
                <c:ptCount val="1"/>
                <c:pt idx="0">
                  <c:v>16.057285253136225</c:v>
                </c:pt>
              </c:numCache>
            </c:numRef>
          </c:yVal>
          <c:smooth val="1"/>
          <c:extLst>
            <c:ext xmlns:c16="http://schemas.microsoft.com/office/drawing/2014/chart" uri="{C3380CC4-5D6E-409C-BE32-E72D297353CC}">
              <c16:uniqueId val="{00000003-C69C-794A-BA18-91E6CAFA3664}"/>
            </c:ext>
          </c:extLst>
        </c:ser>
        <c:ser>
          <c:idx val="11"/>
          <c:order val="4"/>
          <c:tx>
            <c:strRef>
              <c:f>'Summary design chart (Fig 34)'!$U$19</c:f>
              <c:strCache>
                <c:ptCount val="1"/>
                <c:pt idx="0">
                  <c:v>300 µm (0.1 MPa)</c:v>
                </c:pt>
              </c:strCache>
            </c:strRef>
          </c:tx>
          <c:spPr>
            <a:ln>
              <a:noFill/>
            </a:ln>
            <a:effectLst/>
          </c:spPr>
          <c:marker>
            <c:symbol val="circle"/>
            <c:size val="10"/>
            <c:spPr>
              <a:solidFill>
                <a:schemeClr val="accent4"/>
              </a:solidFill>
              <a:ln>
                <a:noFill/>
              </a:ln>
              <a:effectLst/>
            </c:spPr>
          </c:marker>
          <c:errBars>
            <c:errDir val="y"/>
            <c:errBarType val="both"/>
            <c:errValType val="cust"/>
            <c:noEndCap val="0"/>
            <c:plus>
              <c:numRef>
                <c:f>'Summary design chart (Fig 34)'!$Y$19</c:f>
                <c:numCache>
                  <c:formatCode>General</c:formatCode>
                  <c:ptCount val="1"/>
                  <c:pt idx="0">
                    <c:v>0.55964085768395455</c:v>
                  </c:pt>
                </c:numCache>
              </c:numRef>
            </c:plus>
            <c:minus>
              <c:numRef>
                <c:f>'Summary design chart (Fig 34)'!$Y$19</c:f>
                <c:numCache>
                  <c:formatCode>General</c:formatCode>
                  <c:ptCount val="1"/>
                  <c:pt idx="0">
                    <c:v>0.55964085768395455</c:v>
                  </c:pt>
                </c:numCache>
              </c:numRef>
            </c:minus>
            <c:spPr>
              <a:ln>
                <a:solidFill>
                  <a:schemeClr val="accent4"/>
                </a:solidFill>
              </a:ln>
            </c:spPr>
          </c:errBars>
          <c:xVal>
            <c:numRef>
              <c:f>'Summary design chart (Fig 34)'!$V$19</c:f>
              <c:numCache>
                <c:formatCode>0.00</c:formatCode>
                <c:ptCount val="1"/>
                <c:pt idx="0">
                  <c:v>925.8191333333333</c:v>
                </c:pt>
              </c:numCache>
            </c:numRef>
          </c:xVal>
          <c:yVal>
            <c:numRef>
              <c:f>'Summary design chart (Fig 34)'!$X$19</c:f>
              <c:numCache>
                <c:formatCode>0.00</c:formatCode>
                <c:ptCount val="1"/>
                <c:pt idx="0">
                  <c:v>14.069945068121731</c:v>
                </c:pt>
              </c:numCache>
            </c:numRef>
          </c:yVal>
          <c:smooth val="1"/>
          <c:extLst>
            <c:ext xmlns:c16="http://schemas.microsoft.com/office/drawing/2014/chart" uri="{C3380CC4-5D6E-409C-BE32-E72D297353CC}">
              <c16:uniqueId val="{00000004-C69C-794A-BA18-91E6CAFA3664}"/>
            </c:ext>
          </c:extLst>
        </c:ser>
        <c:ser>
          <c:idx val="12"/>
          <c:order val="5"/>
          <c:tx>
            <c:strRef>
              <c:f>'Summary design chart (Fig 34)'!$U$22</c:f>
              <c:strCache>
                <c:ptCount val="1"/>
                <c:pt idx="0">
                  <c:v>425 µm (0.1 MPa)</c:v>
                </c:pt>
              </c:strCache>
            </c:strRef>
          </c:tx>
          <c:spPr>
            <a:ln>
              <a:noFill/>
            </a:ln>
            <a:effectLst/>
          </c:spPr>
          <c:marker>
            <c:symbol val="diamond"/>
            <c:size val="10"/>
            <c:spPr>
              <a:solidFill>
                <a:schemeClr val="accent4"/>
              </a:solidFill>
              <a:ln>
                <a:noFill/>
              </a:ln>
              <a:effectLst/>
            </c:spPr>
          </c:marker>
          <c:errBars>
            <c:errDir val="y"/>
            <c:errBarType val="both"/>
            <c:errValType val="cust"/>
            <c:noEndCap val="0"/>
            <c:plus>
              <c:numRef>
                <c:f>'Summary design chart (Fig 34)'!$Y$22</c:f>
                <c:numCache>
                  <c:formatCode>General</c:formatCode>
                  <c:ptCount val="1"/>
                  <c:pt idx="0">
                    <c:v>2.0980126253753149</c:v>
                  </c:pt>
                </c:numCache>
              </c:numRef>
            </c:plus>
            <c:minus>
              <c:numRef>
                <c:f>'Summary design chart (Fig 34)'!$Y$22</c:f>
                <c:numCache>
                  <c:formatCode>General</c:formatCode>
                  <c:ptCount val="1"/>
                  <c:pt idx="0">
                    <c:v>2.0980126253753149</c:v>
                  </c:pt>
                </c:numCache>
              </c:numRef>
            </c:minus>
            <c:spPr>
              <a:ln>
                <a:solidFill>
                  <a:schemeClr val="accent4"/>
                </a:solidFill>
              </a:ln>
            </c:spPr>
          </c:errBars>
          <c:xVal>
            <c:numRef>
              <c:f>'Summary design chart (Fig 34)'!$V$22</c:f>
              <c:numCache>
                <c:formatCode>0.00</c:formatCode>
                <c:ptCount val="1"/>
                <c:pt idx="0">
                  <c:v>839.88713333333328</c:v>
                </c:pt>
              </c:numCache>
            </c:numRef>
          </c:xVal>
          <c:yVal>
            <c:numRef>
              <c:f>'Summary design chart (Fig 34)'!$X$22</c:f>
              <c:numCache>
                <c:formatCode>0.00</c:formatCode>
                <c:ptCount val="1"/>
                <c:pt idx="0">
                  <c:v>13.814169244035126</c:v>
                </c:pt>
              </c:numCache>
            </c:numRef>
          </c:yVal>
          <c:smooth val="1"/>
          <c:extLst>
            <c:ext xmlns:c16="http://schemas.microsoft.com/office/drawing/2014/chart" uri="{C3380CC4-5D6E-409C-BE32-E72D297353CC}">
              <c16:uniqueId val="{00000005-C69C-794A-BA18-91E6CAFA3664}"/>
            </c:ext>
          </c:extLst>
        </c:ser>
        <c:ser>
          <c:idx val="13"/>
          <c:order val="6"/>
          <c:tx>
            <c:strRef>
              <c:f>'Summary design chart (Fig 34)'!$U$26</c:f>
              <c:strCache>
                <c:ptCount val="1"/>
                <c:pt idx="0">
                  <c:v>600 µm (0.1 MPa)</c:v>
                </c:pt>
              </c:strCache>
            </c:strRef>
          </c:tx>
          <c:spPr>
            <a:ln>
              <a:noFill/>
            </a:ln>
            <a:effectLst/>
          </c:spPr>
          <c:marker>
            <c:symbol val="x"/>
            <c:size val="10"/>
            <c:spPr>
              <a:solidFill>
                <a:schemeClr val="accent4"/>
              </a:solidFill>
              <a:ln w="22225">
                <a:solidFill>
                  <a:schemeClr val="bg1"/>
                </a:solidFill>
              </a:ln>
              <a:effectLst/>
            </c:spPr>
          </c:marker>
          <c:errBars>
            <c:errDir val="y"/>
            <c:errBarType val="both"/>
            <c:errValType val="cust"/>
            <c:noEndCap val="0"/>
            <c:plus>
              <c:numRef>
                <c:f>'Summary design chart (Fig 34)'!$Y$26</c:f>
                <c:numCache>
                  <c:formatCode>General</c:formatCode>
                  <c:ptCount val="1"/>
                  <c:pt idx="0">
                    <c:v>1.2582075968109852</c:v>
                  </c:pt>
                </c:numCache>
              </c:numRef>
            </c:plus>
            <c:minus>
              <c:numRef>
                <c:f>'Summary design chart (Fig 34)'!$Y$26</c:f>
                <c:numCache>
                  <c:formatCode>General</c:formatCode>
                  <c:ptCount val="1"/>
                  <c:pt idx="0">
                    <c:v>1.2582075968109852</c:v>
                  </c:pt>
                </c:numCache>
              </c:numRef>
            </c:minus>
            <c:spPr>
              <a:ln w="9525">
                <a:solidFill>
                  <a:schemeClr val="accent4"/>
                </a:solidFill>
              </a:ln>
            </c:spPr>
          </c:errBars>
          <c:errBars>
            <c:errDir val="x"/>
            <c:errBarType val="both"/>
            <c:errValType val="fixedVal"/>
            <c:noEndCap val="0"/>
            <c:val val="0"/>
            <c:spPr>
              <a:ln>
                <a:noFill/>
              </a:ln>
            </c:spPr>
          </c:errBars>
          <c:xVal>
            <c:numRef>
              <c:f>'Summary design chart (Fig 34)'!$V$26</c:f>
              <c:numCache>
                <c:formatCode>0.00</c:formatCode>
                <c:ptCount val="1"/>
                <c:pt idx="0">
                  <c:v>796.3931</c:v>
                </c:pt>
              </c:numCache>
            </c:numRef>
          </c:xVal>
          <c:yVal>
            <c:numRef>
              <c:f>'Summary design chart (Fig 34)'!$X$26</c:f>
              <c:numCache>
                <c:formatCode>0.00</c:formatCode>
                <c:ptCount val="1"/>
                <c:pt idx="0">
                  <c:v>12.768756256435443</c:v>
                </c:pt>
              </c:numCache>
            </c:numRef>
          </c:yVal>
          <c:smooth val="1"/>
          <c:extLst>
            <c:ext xmlns:c16="http://schemas.microsoft.com/office/drawing/2014/chart" uri="{C3380CC4-5D6E-409C-BE32-E72D297353CC}">
              <c16:uniqueId val="{00000006-C69C-794A-BA18-91E6CAFA3664}"/>
            </c:ext>
          </c:extLst>
        </c:ser>
        <c:ser>
          <c:idx val="14"/>
          <c:order val="7"/>
          <c:tx>
            <c:strRef>
              <c:f>'Summary design chart (Fig 34)'!$U$31</c:f>
              <c:strCache>
                <c:ptCount val="1"/>
                <c:pt idx="0">
                  <c:v>150 µm (0.2 MPa)</c:v>
                </c:pt>
              </c:strCache>
            </c:strRef>
          </c:tx>
          <c:spPr>
            <a:ln>
              <a:noFill/>
            </a:ln>
            <a:effectLst/>
          </c:spPr>
          <c:marker>
            <c:symbol val="square"/>
            <c:size val="10"/>
            <c:spPr>
              <a:noFill/>
              <a:ln w="15875">
                <a:solidFill>
                  <a:schemeClr val="accent4"/>
                </a:solidFill>
              </a:ln>
              <a:effectLst/>
            </c:spPr>
          </c:marker>
          <c:errBars>
            <c:errDir val="y"/>
            <c:errBarType val="both"/>
            <c:errValType val="cust"/>
            <c:noEndCap val="0"/>
            <c:plus>
              <c:numRef>
                <c:f>'Summary design chart (Fig 34)'!$Y$31</c:f>
                <c:numCache>
                  <c:formatCode>General</c:formatCode>
                  <c:ptCount val="1"/>
                  <c:pt idx="0">
                    <c:v>2.0589377584977688</c:v>
                  </c:pt>
                </c:numCache>
              </c:numRef>
            </c:plus>
            <c:minus>
              <c:numRef>
                <c:f>'Summary design chart (Fig 34)'!$Y$31</c:f>
                <c:numCache>
                  <c:formatCode>General</c:formatCode>
                  <c:ptCount val="1"/>
                  <c:pt idx="0">
                    <c:v>2.0589377584977688</c:v>
                  </c:pt>
                </c:numCache>
              </c:numRef>
            </c:minus>
            <c:spPr>
              <a:ln>
                <a:solidFill>
                  <a:schemeClr val="accent4"/>
                </a:solidFill>
              </a:ln>
            </c:spPr>
          </c:errBars>
          <c:errBars>
            <c:errDir val="x"/>
            <c:errBarType val="both"/>
            <c:errValType val="fixedVal"/>
            <c:noEndCap val="0"/>
            <c:val val="0"/>
            <c:spPr>
              <a:ln>
                <a:noFill/>
              </a:ln>
            </c:spPr>
          </c:errBars>
          <c:xVal>
            <c:numRef>
              <c:f>'Summary design chart (Fig 34)'!$V$31</c:f>
              <c:numCache>
                <c:formatCode>0.00</c:formatCode>
                <c:ptCount val="1"/>
                <c:pt idx="0">
                  <c:v>986.80439999999999</c:v>
                </c:pt>
              </c:numCache>
            </c:numRef>
          </c:xVal>
          <c:yVal>
            <c:numRef>
              <c:f>'Summary design chart (Fig 34)'!$X$31</c:f>
              <c:numCache>
                <c:formatCode>0.00</c:formatCode>
                <c:ptCount val="1"/>
                <c:pt idx="0">
                  <c:v>15.927348527776635</c:v>
                </c:pt>
              </c:numCache>
            </c:numRef>
          </c:yVal>
          <c:smooth val="1"/>
          <c:extLst>
            <c:ext xmlns:c16="http://schemas.microsoft.com/office/drawing/2014/chart" uri="{C3380CC4-5D6E-409C-BE32-E72D297353CC}">
              <c16:uniqueId val="{00000007-C69C-794A-BA18-91E6CAFA3664}"/>
            </c:ext>
          </c:extLst>
        </c:ser>
        <c:ser>
          <c:idx val="15"/>
          <c:order val="8"/>
          <c:tx>
            <c:strRef>
              <c:f>'Summary design chart (Fig 34)'!$U$34</c:f>
              <c:strCache>
                <c:ptCount val="1"/>
                <c:pt idx="0">
                  <c:v>212 µm (0.2 MPa)</c:v>
                </c:pt>
              </c:strCache>
            </c:strRef>
          </c:tx>
          <c:spPr>
            <a:ln>
              <a:noFill/>
            </a:ln>
            <a:effectLst/>
          </c:spPr>
          <c:marker>
            <c:symbol val="triangle"/>
            <c:size val="10"/>
            <c:spPr>
              <a:noFill/>
              <a:ln w="15875">
                <a:solidFill>
                  <a:schemeClr val="accent4"/>
                </a:solidFill>
              </a:ln>
              <a:effectLst/>
            </c:spPr>
          </c:marker>
          <c:errBars>
            <c:errDir val="y"/>
            <c:errBarType val="both"/>
            <c:errValType val="cust"/>
            <c:noEndCap val="0"/>
            <c:plus>
              <c:numRef>
                <c:f>'Summary design chart (Fig 34)'!$Y$34</c:f>
                <c:numCache>
                  <c:formatCode>General</c:formatCode>
                  <c:ptCount val="1"/>
                  <c:pt idx="0">
                    <c:v>1.8824156285238103</c:v>
                  </c:pt>
                </c:numCache>
              </c:numRef>
            </c:plus>
            <c:minus>
              <c:numRef>
                <c:f>'Summary design chart (Fig 34)'!$Y$34</c:f>
                <c:numCache>
                  <c:formatCode>General</c:formatCode>
                  <c:ptCount val="1"/>
                  <c:pt idx="0">
                    <c:v>1.8824156285238103</c:v>
                  </c:pt>
                </c:numCache>
              </c:numRef>
            </c:minus>
          </c:errBars>
          <c:errBars>
            <c:errDir val="x"/>
            <c:errBarType val="both"/>
            <c:errValType val="fixedVal"/>
            <c:noEndCap val="0"/>
            <c:val val="0"/>
            <c:spPr>
              <a:ln>
                <a:noFill/>
              </a:ln>
            </c:spPr>
          </c:errBars>
          <c:xVal>
            <c:numRef>
              <c:f>'Summary design chart (Fig 34)'!$V$34</c:f>
              <c:numCache>
                <c:formatCode>0.00</c:formatCode>
                <c:ptCount val="1"/>
                <c:pt idx="0">
                  <c:v>844.60533333333342</c:v>
                </c:pt>
              </c:numCache>
            </c:numRef>
          </c:xVal>
          <c:yVal>
            <c:numRef>
              <c:f>'Summary design chart (Fig 34)'!$X$34</c:f>
              <c:numCache>
                <c:formatCode>0.00</c:formatCode>
                <c:ptCount val="1"/>
                <c:pt idx="0">
                  <c:v>14.944839901345697</c:v>
                </c:pt>
              </c:numCache>
            </c:numRef>
          </c:yVal>
          <c:smooth val="1"/>
          <c:extLst>
            <c:ext xmlns:c16="http://schemas.microsoft.com/office/drawing/2014/chart" uri="{C3380CC4-5D6E-409C-BE32-E72D297353CC}">
              <c16:uniqueId val="{00000008-C69C-794A-BA18-91E6CAFA3664}"/>
            </c:ext>
          </c:extLst>
        </c:ser>
        <c:ser>
          <c:idx val="16"/>
          <c:order val="9"/>
          <c:tx>
            <c:strRef>
              <c:f>'Summary design chart (Fig 34)'!$U$37</c:f>
              <c:strCache>
                <c:ptCount val="1"/>
                <c:pt idx="0">
                  <c:v>300 µm (0.2 MPa)</c:v>
                </c:pt>
              </c:strCache>
            </c:strRef>
          </c:tx>
          <c:spPr>
            <a:ln>
              <a:noFill/>
            </a:ln>
            <a:effectLst/>
          </c:spPr>
          <c:marker>
            <c:symbol val="circle"/>
            <c:size val="10"/>
            <c:spPr>
              <a:noFill/>
              <a:ln w="15875">
                <a:solidFill>
                  <a:schemeClr val="accent4"/>
                </a:solidFill>
              </a:ln>
              <a:effectLst/>
            </c:spPr>
          </c:marker>
          <c:errBars>
            <c:errDir val="y"/>
            <c:errBarType val="both"/>
            <c:errValType val="cust"/>
            <c:noEndCap val="0"/>
            <c:plus>
              <c:numRef>
                <c:f>'Summary design chart (Fig 34)'!$Y$37</c:f>
                <c:numCache>
                  <c:formatCode>General</c:formatCode>
                  <c:ptCount val="1"/>
                  <c:pt idx="0">
                    <c:v>1.0291226318738402</c:v>
                  </c:pt>
                </c:numCache>
              </c:numRef>
            </c:plus>
            <c:minus>
              <c:numRef>
                <c:f>'Summary design chart (Fig 34)'!$Y$37</c:f>
                <c:numCache>
                  <c:formatCode>General</c:formatCode>
                  <c:ptCount val="1"/>
                  <c:pt idx="0">
                    <c:v>1.0291226318738402</c:v>
                  </c:pt>
                </c:numCache>
              </c:numRef>
            </c:minus>
            <c:spPr>
              <a:ln>
                <a:solidFill>
                  <a:schemeClr val="accent4"/>
                </a:solidFill>
              </a:ln>
            </c:spPr>
          </c:errBars>
          <c:errBars>
            <c:errDir val="x"/>
            <c:errBarType val="both"/>
            <c:errValType val="fixedVal"/>
            <c:noEndCap val="0"/>
            <c:val val="0"/>
            <c:spPr>
              <a:ln>
                <a:noFill/>
              </a:ln>
            </c:spPr>
          </c:errBars>
          <c:xVal>
            <c:numRef>
              <c:f>'Summary design chart (Fig 34)'!$V$37</c:f>
              <c:numCache>
                <c:formatCode>0.00</c:formatCode>
                <c:ptCount val="1"/>
                <c:pt idx="0">
                  <c:v>927.15419999999995</c:v>
                </c:pt>
              </c:numCache>
            </c:numRef>
          </c:xVal>
          <c:yVal>
            <c:numRef>
              <c:f>'Summary design chart (Fig 34)'!$X$37</c:f>
              <c:numCache>
                <c:formatCode>0.00</c:formatCode>
                <c:ptCount val="1"/>
                <c:pt idx="0">
                  <c:v>15.759596179274354</c:v>
                </c:pt>
              </c:numCache>
            </c:numRef>
          </c:yVal>
          <c:smooth val="1"/>
          <c:extLst>
            <c:ext xmlns:c16="http://schemas.microsoft.com/office/drawing/2014/chart" uri="{C3380CC4-5D6E-409C-BE32-E72D297353CC}">
              <c16:uniqueId val="{00000009-C69C-794A-BA18-91E6CAFA3664}"/>
            </c:ext>
          </c:extLst>
        </c:ser>
        <c:ser>
          <c:idx val="17"/>
          <c:order val="10"/>
          <c:tx>
            <c:strRef>
              <c:f>'Summary design chart (Fig 34)'!$U$40</c:f>
              <c:strCache>
                <c:ptCount val="1"/>
                <c:pt idx="0">
                  <c:v>425 µm (0.2 MPa)</c:v>
                </c:pt>
              </c:strCache>
            </c:strRef>
          </c:tx>
          <c:spPr>
            <a:ln>
              <a:noFill/>
            </a:ln>
            <a:effectLst/>
          </c:spPr>
          <c:marker>
            <c:symbol val="diamond"/>
            <c:size val="10"/>
            <c:spPr>
              <a:noFill/>
              <a:ln w="19050">
                <a:solidFill>
                  <a:srgbClr val="7030A0"/>
                </a:solidFill>
              </a:ln>
              <a:effectLst/>
            </c:spPr>
          </c:marker>
          <c:errBars>
            <c:errDir val="y"/>
            <c:errBarType val="both"/>
            <c:errValType val="cust"/>
            <c:noEndCap val="0"/>
            <c:plus>
              <c:numRef>
                <c:f>'Summary design chart (Fig 34)'!$Y$40</c:f>
                <c:numCache>
                  <c:formatCode>General</c:formatCode>
                  <c:ptCount val="1"/>
                  <c:pt idx="0">
                    <c:v>0.67274358263776035</c:v>
                  </c:pt>
                </c:numCache>
              </c:numRef>
            </c:plus>
            <c:minus>
              <c:numRef>
                <c:f>'Summary design chart (Fig 34)'!$Y$40</c:f>
                <c:numCache>
                  <c:formatCode>General</c:formatCode>
                  <c:ptCount val="1"/>
                  <c:pt idx="0">
                    <c:v>0.67274358263776035</c:v>
                  </c:pt>
                </c:numCache>
              </c:numRef>
            </c:minus>
            <c:spPr>
              <a:ln>
                <a:solidFill>
                  <a:schemeClr val="accent4"/>
                </a:solidFill>
              </a:ln>
            </c:spPr>
          </c:errBars>
          <c:errBars>
            <c:errDir val="x"/>
            <c:errBarType val="both"/>
            <c:errValType val="fixedVal"/>
            <c:noEndCap val="0"/>
            <c:val val="0"/>
            <c:spPr>
              <a:ln>
                <a:noFill/>
              </a:ln>
            </c:spPr>
          </c:errBars>
          <c:xVal>
            <c:numRef>
              <c:f>'Summary design chart (Fig 34)'!$V$40</c:f>
              <c:numCache>
                <c:formatCode>0.00</c:formatCode>
                <c:ptCount val="1"/>
                <c:pt idx="0">
                  <c:v>1015.9692</c:v>
                </c:pt>
              </c:numCache>
            </c:numRef>
          </c:xVal>
          <c:yVal>
            <c:numRef>
              <c:f>'Summary design chart (Fig 34)'!$X$40</c:f>
              <c:numCache>
                <c:formatCode>0.00</c:formatCode>
                <c:ptCount val="1"/>
                <c:pt idx="0">
                  <c:v>16.253030699032784</c:v>
                </c:pt>
              </c:numCache>
            </c:numRef>
          </c:yVal>
          <c:smooth val="1"/>
          <c:extLst>
            <c:ext xmlns:c16="http://schemas.microsoft.com/office/drawing/2014/chart" uri="{C3380CC4-5D6E-409C-BE32-E72D297353CC}">
              <c16:uniqueId val="{0000000A-C69C-794A-BA18-91E6CAFA3664}"/>
            </c:ext>
          </c:extLst>
        </c:ser>
        <c:ser>
          <c:idx val="18"/>
          <c:order val="11"/>
          <c:tx>
            <c:strRef>
              <c:f>'Summary design chart (Fig 34)'!$U$43</c:f>
              <c:strCache>
                <c:ptCount val="1"/>
                <c:pt idx="0">
                  <c:v>600 µm (0.2 MPa)</c:v>
                </c:pt>
              </c:strCache>
            </c:strRef>
          </c:tx>
          <c:spPr>
            <a:ln>
              <a:noFill/>
            </a:ln>
            <a:effectLst/>
          </c:spPr>
          <c:marker>
            <c:symbol val="x"/>
            <c:size val="10"/>
            <c:spPr>
              <a:noFill/>
              <a:ln w="15875">
                <a:solidFill>
                  <a:schemeClr val="accent4"/>
                </a:solidFill>
              </a:ln>
              <a:effectLst/>
            </c:spPr>
          </c:marker>
          <c:errBars>
            <c:errDir val="y"/>
            <c:errBarType val="both"/>
            <c:errValType val="cust"/>
            <c:noEndCap val="0"/>
            <c:plus>
              <c:numRef>
                <c:f>'Summary design chart (Fig 34)'!$Y$43</c:f>
                <c:numCache>
                  <c:formatCode>General</c:formatCode>
                  <c:ptCount val="1"/>
                  <c:pt idx="0">
                    <c:v>1.0176357325084264</c:v>
                  </c:pt>
                </c:numCache>
              </c:numRef>
            </c:plus>
            <c:minus>
              <c:numRef>
                <c:f>'Summary design chart (Fig 34)'!$Y$43</c:f>
                <c:numCache>
                  <c:formatCode>General</c:formatCode>
                  <c:ptCount val="1"/>
                  <c:pt idx="0">
                    <c:v>1.0176357325084264</c:v>
                  </c:pt>
                </c:numCache>
              </c:numRef>
            </c:minus>
            <c:spPr>
              <a:ln>
                <a:solidFill>
                  <a:schemeClr val="accent4"/>
                </a:solidFill>
              </a:ln>
            </c:spPr>
          </c:errBars>
          <c:errBars>
            <c:errDir val="x"/>
            <c:errBarType val="both"/>
            <c:errValType val="fixedVal"/>
            <c:noEndCap val="0"/>
            <c:val val="0"/>
            <c:spPr>
              <a:ln>
                <a:noFill/>
              </a:ln>
            </c:spPr>
          </c:errBars>
          <c:xVal>
            <c:numRef>
              <c:f>'Summary design chart (Fig 34)'!$V$43</c:f>
              <c:numCache>
                <c:formatCode>0.00</c:formatCode>
                <c:ptCount val="1"/>
                <c:pt idx="0">
                  <c:v>691.31798000000015</c:v>
                </c:pt>
              </c:numCache>
            </c:numRef>
          </c:xVal>
          <c:yVal>
            <c:numRef>
              <c:f>'Summary design chart (Fig 34)'!$X$43</c:f>
              <c:numCache>
                <c:formatCode>0.00</c:formatCode>
                <c:ptCount val="1"/>
                <c:pt idx="0">
                  <c:v>10.854508382562061</c:v>
                </c:pt>
              </c:numCache>
            </c:numRef>
          </c:yVal>
          <c:smooth val="1"/>
          <c:extLst>
            <c:ext xmlns:c16="http://schemas.microsoft.com/office/drawing/2014/chart" uri="{C3380CC4-5D6E-409C-BE32-E72D297353CC}">
              <c16:uniqueId val="{0000000B-C69C-794A-BA18-91E6CAFA3664}"/>
            </c:ext>
          </c:extLst>
        </c:ser>
        <c:ser>
          <c:idx val="19"/>
          <c:order val="12"/>
          <c:tx>
            <c:strRef>
              <c:f>'Summary design chart (Fig 34)'!$U$46</c:f>
              <c:strCache>
                <c:ptCount val="1"/>
                <c:pt idx="0">
                  <c:v>150 µm (0.3 MPa)</c:v>
                </c:pt>
              </c:strCache>
            </c:strRef>
          </c:tx>
          <c:spPr>
            <a:ln>
              <a:noFill/>
            </a:ln>
            <a:effectLst/>
          </c:spPr>
          <c:marker>
            <c:symbol val="square"/>
            <c:size val="10"/>
            <c:spPr>
              <a:solidFill>
                <a:schemeClr val="accent3"/>
              </a:solidFill>
              <a:ln>
                <a:noFill/>
              </a:ln>
              <a:effectLst/>
            </c:spPr>
          </c:marker>
          <c:errBars>
            <c:errDir val="y"/>
            <c:errBarType val="both"/>
            <c:errValType val="cust"/>
            <c:noEndCap val="0"/>
            <c:plus>
              <c:numRef>
                <c:f>'Summary design chart (Fig 34)'!$Y$46</c:f>
                <c:numCache>
                  <c:formatCode>General</c:formatCode>
                  <c:ptCount val="1"/>
                  <c:pt idx="0">
                    <c:v>0.29548522984572667</c:v>
                  </c:pt>
                </c:numCache>
              </c:numRef>
            </c:plus>
            <c:minus>
              <c:numRef>
                <c:f>'Summary design chart (Fig 34)'!$Y$46</c:f>
                <c:numCache>
                  <c:formatCode>General</c:formatCode>
                  <c:ptCount val="1"/>
                  <c:pt idx="0">
                    <c:v>0.29548522984572667</c:v>
                  </c:pt>
                </c:numCache>
              </c:numRef>
            </c:minus>
            <c:spPr>
              <a:ln>
                <a:solidFill>
                  <a:schemeClr val="accent3"/>
                </a:solidFill>
              </a:ln>
            </c:spPr>
          </c:errBars>
          <c:errBars>
            <c:errDir val="x"/>
            <c:errBarType val="both"/>
            <c:errValType val="fixedVal"/>
            <c:noEndCap val="0"/>
            <c:val val="0"/>
            <c:spPr>
              <a:ln>
                <a:noFill/>
              </a:ln>
            </c:spPr>
          </c:errBars>
          <c:xVal>
            <c:numRef>
              <c:f>'Summary design chart (Fig 34)'!$V$46</c:f>
              <c:numCache>
                <c:formatCode>0.00</c:formatCode>
                <c:ptCount val="1"/>
                <c:pt idx="0">
                  <c:v>951.8488000000001</c:v>
                </c:pt>
              </c:numCache>
            </c:numRef>
          </c:xVal>
          <c:yVal>
            <c:numRef>
              <c:f>'Summary design chart (Fig 34)'!$X$46</c:f>
              <c:numCache>
                <c:formatCode>0.00</c:formatCode>
                <c:ptCount val="1"/>
                <c:pt idx="0">
                  <c:v>16.506938596961877</c:v>
                </c:pt>
              </c:numCache>
            </c:numRef>
          </c:yVal>
          <c:smooth val="1"/>
          <c:extLst>
            <c:ext xmlns:c16="http://schemas.microsoft.com/office/drawing/2014/chart" uri="{C3380CC4-5D6E-409C-BE32-E72D297353CC}">
              <c16:uniqueId val="{0000000C-C69C-794A-BA18-91E6CAFA3664}"/>
            </c:ext>
          </c:extLst>
        </c:ser>
        <c:ser>
          <c:idx val="20"/>
          <c:order val="13"/>
          <c:tx>
            <c:strRef>
              <c:f>'Summary design chart (Fig 34)'!$U$50</c:f>
              <c:strCache>
                <c:ptCount val="1"/>
                <c:pt idx="0">
                  <c:v>212 µm (0.3 MPa)</c:v>
                </c:pt>
              </c:strCache>
            </c:strRef>
          </c:tx>
          <c:spPr>
            <a:ln>
              <a:noFill/>
            </a:ln>
            <a:effectLst/>
          </c:spPr>
          <c:marker>
            <c:symbol val="triangle"/>
            <c:size val="10"/>
            <c:spPr>
              <a:solidFill>
                <a:schemeClr val="accent3"/>
              </a:solidFill>
              <a:ln>
                <a:noFill/>
              </a:ln>
              <a:effectLst/>
            </c:spPr>
          </c:marker>
          <c:errBars>
            <c:errDir val="y"/>
            <c:errBarType val="both"/>
            <c:errValType val="cust"/>
            <c:noEndCap val="0"/>
            <c:plus>
              <c:numRef>
                <c:f>'Summary design chart (Fig 34)'!$Y$50</c:f>
                <c:numCache>
                  <c:formatCode>General</c:formatCode>
                  <c:ptCount val="1"/>
                  <c:pt idx="0">
                    <c:v>1.0439805847636565</c:v>
                  </c:pt>
                </c:numCache>
              </c:numRef>
            </c:plus>
            <c:minus>
              <c:numRef>
                <c:f>'Summary design chart (Fig 34)'!$Y$50</c:f>
                <c:numCache>
                  <c:formatCode>General</c:formatCode>
                  <c:ptCount val="1"/>
                  <c:pt idx="0">
                    <c:v>1.0439805847636565</c:v>
                  </c:pt>
                </c:numCache>
              </c:numRef>
            </c:minus>
            <c:spPr>
              <a:ln>
                <a:solidFill>
                  <a:schemeClr val="accent3"/>
                </a:solidFill>
              </a:ln>
            </c:spPr>
          </c:errBars>
          <c:errBars>
            <c:errDir val="x"/>
            <c:errBarType val="both"/>
            <c:errValType val="fixedVal"/>
            <c:noEndCap val="0"/>
            <c:val val="0"/>
            <c:spPr>
              <a:ln>
                <a:noFill/>
              </a:ln>
            </c:spPr>
          </c:errBars>
          <c:xVal>
            <c:numRef>
              <c:f>'Summary design chart (Fig 34)'!$V$50</c:f>
              <c:numCache>
                <c:formatCode>0.00</c:formatCode>
                <c:ptCount val="1"/>
                <c:pt idx="0">
                  <c:v>826.68444</c:v>
                </c:pt>
              </c:numCache>
            </c:numRef>
          </c:xVal>
          <c:yVal>
            <c:numRef>
              <c:f>'Summary design chart (Fig 34)'!$X$50</c:f>
              <c:numCache>
                <c:formatCode>0.00</c:formatCode>
                <c:ptCount val="1"/>
                <c:pt idx="0">
                  <c:v>14.297160827929869</c:v>
                </c:pt>
              </c:numCache>
            </c:numRef>
          </c:yVal>
          <c:smooth val="1"/>
          <c:extLst>
            <c:ext xmlns:c16="http://schemas.microsoft.com/office/drawing/2014/chart" uri="{C3380CC4-5D6E-409C-BE32-E72D297353CC}">
              <c16:uniqueId val="{0000000D-C69C-794A-BA18-91E6CAFA3664}"/>
            </c:ext>
          </c:extLst>
        </c:ser>
        <c:ser>
          <c:idx val="21"/>
          <c:order val="14"/>
          <c:tx>
            <c:strRef>
              <c:f>'Summary design chart (Fig 34)'!$U$55</c:f>
              <c:strCache>
                <c:ptCount val="1"/>
                <c:pt idx="0">
                  <c:v>300 µm (0.3 MPa)</c:v>
                </c:pt>
              </c:strCache>
            </c:strRef>
          </c:tx>
          <c:spPr>
            <a:ln>
              <a:noFill/>
            </a:ln>
            <a:effectLst/>
          </c:spPr>
          <c:marker>
            <c:symbol val="circle"/>
            <c:size val="10"/>
            <c:spPr>
              <a:solidFill>
                <a:schemeClr val="accent3"/>
              </a:solidFill>
              <a:ln>
                <a:solidFill>
                  <a:schemeClr val="accent3"/>
                </a:solidFill>
              </a:ln>
              <a:effectLst/>
            </c:spPr>
          </c:marker>
          <c:errBars>
            <c:errDir val="y"/>
            <c:errBarType val="both"/>
            <c:errValType val="cust"/>
            <c:noEndCap val="0"/>
            <c:plus>
              <c:numRef>
                <c:f>'Summary design chart (Fig 34)'!$Y$55</c:f>
                <c:numCache>
                  <c:formatCode>General</c:formatCode>
                  <c:ptCount val="1"/>
                  <c:pt idx="0">
                    <c:v>0.85001026978767702</c:v>
                  </c:pt>
                </c:numCache>
              </c:numRef>
            </c:plus>
            <c:minus>
              <c:numRef>
                <c:f>'Summary design chart (Fig 34)'!$Y$55</c:f>
                <c:numCache>
                  <c:formatCode>General</c:formatCode>
                  <c:ptCount val="1"/>
                  <c:pt idx="0">
                    <c:v>0.85001026978767702</c:v>
                  </c:pt>
                </c:numCache>
              </c:numRef>
            </c:minus>
            <c:spPr>
              <a:ln>
                <a:solidFill>
                  <a:schemeClr val="accent3"/>
                </a:solidFill>
              </a:ln>
            </c:spPr>
          </c:errBars>
          <c:errBars>
            <c:errDir val="x"/>
            <c:errBarType val="both"/>
            <c:errValType val="fixedVal"/>
            <c:noEndCap val="0"/>
            <c:val val="1"/>
          </c:errBars>
          <c:xVal>
            <c:numRef>
              <c:f>'Summary design chart (Fig 34)'!$V$55</c:f>
              <c:numCache>
                <c:formatCode>0.00</c:formatCode>
                <c:ptCount val="1"/>
                <c:pt idx="0">
                  <c:v>1195.7134000000001</c:v>
                </c:pt>
              </c:numCache>
            </c:numRef>
          </c:xVal>
          <c:yVal>
            <c:numRef>
              <c:f>'Summary design chart (Fig 34)'!$X$55</c:f>
              <c:numCache>
                <c:formatCode>0.00</c:formatCode>
                <c:ptCount val="1"/>
                <c:pt idx="0">
                  <c:v>17.994951189981851</c:v>
                </c:pt>
              </c:numCache>
            </c:numRef>
          </c:yVal>
          <c:smooth val="1"/>
          <c:extLst>
            <c:ext xmlns:c16="http://schemas.microsoft.com/office/drawing/2014/chart" uri="{C3380CC4-5D6E-409C-BE32-E72D297353CC}">
              <c16:uniqueId val="{0000000E-C69C-794A-BA18-91E6CAFA3664}"/>
            </c:ext>
          </c:extLst>
        </c:ser>
        <c:ser>
          <c:idx val="22"/>
          <c:order val="15"/>
          <c:tx>
            <c:strRef>
              <c:f>'Summary design chart (Fig 34)'!$U$59</c:f>
              <c:strCache>
                <c:ptCount val="1"/>
                <c:pt idx="0">
                  <c:v>425 µm (0.3 MPa)</c:v>
                </c:pt>
              </c:strCache>
            </c:strRef>
          </c:tx>
          <c:spPr>
            <a:ln>
              <a:noFill/>
            </a:ln>
            <a:effectLst/>
          </c:spPr>
          <c:marker>
            <c:symbol val="diamond"/>
            <c:size val="10"/>
            <c:spPr>
              <a:solidFill>
                <a:schemeClr val="accent3"/>
              </a:solidFill>
              <a:ln>
                <a:solidFill>
                  <a:schemeClr val="accent3"/>
                </a:solidFill>
              </a:ln>
              <a:effectLst/>
            </c:spPr>
          </c:marker>
          <c:errBars>
            <c:errDir val="y"/>
            <c:errBarType val="both"/>
            <c:errValType val="cust"/>
            <c:noEndCap val="0"/>
            <c:plus>
              <c:numRef>
                <c:f>'Summary design chart (Fig 34)'!$Y$59</c:f>
                <c:numCache>
                  <c:formatCode>General</c:formatCode>
                  <c:ptCount val="1"/>
                  <c:pt idx="0">
                    <c:v>1.3858548912121711</c:v>
                  </c:pt>
                </c:numCache>
              </c:numRef>
            </c:plus>
            <c:minus>
              <c:numRef>
                <c:f>'Summary design chart (Fig 34)'!$Y$59</c:f>
                <c:numCache>
                  <c:formatCode>General</c:formatCode>
                  <c:ptCount val="1"/>
                  <c:pt idx="0">
                    <c:v>1.3858548912121711</c:v>
                  </c:pt>
                </c:numCache>
              </c:numRef>
            </c:minus>
            <c:spPr>
              <a:ln>
                <a:solidFill>
                  <a:schemeClr val="accent3"/>
                </a:solidFill>
              </a:ln>
            </c:spPr>
          </c:errBars>
          <c:errBars>
            <c:errDir val="x"/>
            <c:errBarType val="both"/>
            <c:errValType val="fixedVal"/>
            <c:noEndCap val="0"/>
            <c:val val="0"/>
            <c:spPr>
              <a:ln>
                <a:noFill/>
              </a:ln>
            </c:spPr>
          </c:errBars>
          <c:xVal>
            <c:numRef>
              <c:f>'Summary design chart (Fig 34)'!$V$59</c:f>
              <c:numCache>
                <c:formatCode>0.00</c:formatCode>
                <c:ptCount val="1"/>
                <c:pt idx="0">
                  <c:v>714.83767999999998</c:v>
                </c:pt>
              </c:numCache>
            </c:numRef>
          </c:xVal>
          <c:yVal>
            <c:numRef>
              <c:f>'Summary design chart (Fig 34)'!$X$59</c:f>
              <c:numCache>
                <c:formatCode>0.00</c:formatCode>
                <c:ptCount val="1"/>
                <c:pt idx="0">
                  <c:v>12.301090801939802</c:v>
                </c:pt>
              </c:numCache>
            </c:numRef>
          </c:yVal>
          <c:smooth val="1"/>
          <c:extLst>
            <c:ext xmlns:c16="http://schemas.microsoft.com/office/drawing/2014/chart" uri="{C3380CC4-5D6E-409C-BE32-E72D297353CC}">
              <c16:uniqueId val="{0000000F-C69C-794A-BA18-91E6CAFA3664}"/>
            </c:ext>
          </c:extLst>
        </c:ser>
        <c:ser>
          <c:idx val="23"/>
          <c:order val="16"/>
          <c:tx>
            <c:strRef>
              <c:f>'Summary design chart (Fig 34)'!$U$64</c:f>
              <c:strCache>
                <c:ptCount val="1"/>
                <c:pt idx="0">
                  <c:v>600 µm (0.3 MPa)</c:v>
                </c:pt>
              </c:strCache>
            </c:strRef>
          </c:tx>
          <c:spPr>
            <a:ln>
              <a:noFill/>
            </a:ln>
            <a:effectLst/>
          </c:spPr>
          <c:marker>
            <c:symbol val="x"/>
            <c:size val="9"/>
            <c:spPr>
              <a:solidFill>
                <a:schemeClr val="accent3"/>
              </a:solidFill>
              <a:ln w="22225">
                <a:solidFill>
                  <a:schemeClr val="bg1"/>
                </a:solidFill>
              </a:ln>
              <a:effectLst/>
            </c:spPr>
          </c:marker>
          <c:errBars>
            <c:errDir val="y"/>
            <c:errBarType val="both"/>
            <c:errValType val="cust"/>
            <c:noEndCap val="0"/>
            <c:plus>
              <c:numRef>
                <c:f>'Summary design chart (Fig 34)'!$Y$64</c:f>
                <c:numCache>
                  <c:formatCode>General</c:formatCode>
                  <c:ptCount val="1"/>
                  <c:pt idx="0">
                    <c:v>1.067887576857619</c:v>
                  </c:pt>
                </c:numCache>
              </c:numRef>
            </c:plus>
            <c:minus>
              <c:numRef>
                <c:f>'Summary design chart (Fig 34)'!$Y$64</c:f>
                <c:numCache>
                  <c:formatCode>General</c:formatCode>
                  <c:ptCount val="1"/>
                  <c:pt idx="0">
                    <c:v>1.067887576857619</c:v>
                  </c:pt>
                </c:numCache>
              </c:numRef>
            </c:minus>
            <c:spPr>
              <a:ln>
                <a:solidFill>
                  <a:srgbClr val="9BBC59"/>
                </a:solidFill>
              </a:ln>
            </c:spPr>
          </c:errBars>
          <c:errBars>
            <c:errDir val="x"/>
            <c:errBarType val="both"/>
            <c:errValType val="fixedVal"/>
            <c:noEndCap val="0"/>
            <c:val val="1"/>
          </c:errBars>
          <c:xVal>
            <c:numRef>
              <c:f>'Summary design chart (Fig 34)'!$V$64</c:f>
              <c:numCache>
                <c:formatCode>0.00</c:formatCode>
                <c:ptCount val="1"/>
                <c:pt idx="0">
                  <c:v>556.10838000000001</c:v>
                </c:pt>
              </c:numCache>
            </c:numRef>
          </c:xVal>
          <c:yVal>
            <c:numRef>
              <c:f>'Summary design chart (Fig 34)'!$X$64</c:f>
              <c:numCache>
                <c:formatCode>0.00</c:formatCode>
                <c:ptCount val="1"/>
                <c:pt idx="0">
                  <c:v>9.3393765329890908</c:v>
                </c:pt>
              </c:numCache>
            </c:numRef>
          </c:yVal>
          <c:smooth val="1"/>
          <c:extLst>
            <c:ext xmlns:c16="http://schemas.microsoft.com/office/drawing/2014/chart" uri="{C3380CC4-5D6E-409C-BE32-E72D297353CC}">
              <c16:uniqueId val="{00000010-C69C-794A-BA18-91E6CAFA3664}"/>
            </c:ext>
          </c:extLst>
        </c:ser>
        <c:ser>
          <c:idx val="24"/>
          <c:order val="17"/>
          <c:tx>
            <c:strRef>
              <c:f>'Summary design chart (Fig 34)'!$U$68</c:f>
              <c:strCache>
                <c:ptCount val="1"/>
                <c:pt idx="0">
                  <c:v>150 µm (0.4 MPa)</c:v>
                </c:pt>
              </c:strCache>
            </c:strRef>
          </c:tx>
          <c:spPr>
            <a:ln>
              <a:noFill/>
            </a:ln>
            <a:effectLst/>
          </c:spPr>
          <c:marker>
            <c:symbol val="square"/>
            <c:size val="10"/>
            <c:spPr>
              <a:noFill/>
              <a:ln w="15875">
                <a:solidFill>
                  <a:schemeClr val="accent3"/>
                </a:solidFill>
              </a:ln>
              <a:effectLst/>
            </c:spPr>
          </c:marker>
          <c:errBars>
            <c:errDir val="y"/>
            <c:errBarType val="both"/>
            <c:errValType val="cust"/>
            <c:noEndCap val="0"/>
            <c:plus>
              <c:numRef>
                <c:f>'Summary design chart (Fig 34)'!$Y$68</c:f>
                <c:numCache>
                  <c:formatCode>General</c:formatCode>
                  <c:ptCount val="1"/>
                  <c:pt idx="0">
                    <c:v>1.8778325586692939</c:v>
                  </c:pt>
                </c:numCache>
              </c:numRef>
            </c:plus>
            <c:minus>
              <c:numRef>
                <c:f>'Summary design chart (Fig 34)'!$Y$68</c:f>
                <c:numCache>
                  <c:formatCode>General</c:formatCode>
                  <c:ptCount val="1"/>
                  <c:pt idx="0">
                    <c:v>1.8778325586692939</c:v>
                  </c:pt>
                </c:numCache>
              </c:numRef>
            </c:minus>
            <c:spPr>
              <a:ln>
                <a:solidFill>
                  <a:schemeClr val="accent3"/>
                </a:solidFill>
              </a:ln>
            </c:spPr>
          </c:errBars>
          <c:errBars>
            <c:errDir val="x"/>
            <c:errBarType val="both"/>
            <c:errValType val="fixedVal"/>
            <c:noEndCap val="0"/>
            <c:val val="0"/>
            <c:spPr>
              <a:ln>
                <a:noFill/>
              </a:ln>
            </c:spPr>
          </c:errBars>
          <c:xVal>
            <c:numRef>
              <c:f>'Summary design chart (Fig 34)'!$V$68</c:f>
              <c:numCache>
                <c:formatCode>0.00</c:formatCode>
                <c:ptCount val="1"/>
                <c:pt idx="0">
                  <c:v>953.10739999999998</c:v>
                </c:pt>
              </c:numCache>
            </c:numRef>
          </c:xVal>
          <c:yVal>
            <c:numRef>
              <c:f>'Summary design chart (Fig 34)'!$X$68</c:f>
              <c:numCache>
                <c:formatCode>0.00</c:formatCode>
                <c:ptCount val="1"/>
                <c:pt idx="0">
                  <c:v>16.779895882369125</c:v>
                </c:pt>
              </c:numCache>
            </c:numRef>
          </c:yVal>
          <c:smooth val="1"/>
          <c:extLst>
            <c:ext xmlns:c16="http://schemas.microsoft.com/office/drawing/2014/chart" uri="{C3380CC4-5D6E-409C-BE32-E72D297353CC}">
              <c16:uniqueId val="{00000011-C69C-794A-BA18-91E6CAFA3664}"/>
            </c:ext>
          </c:extLst>
        </c:ser>
        <c:ser>
          <c:idx val="25"/>
          <c:order val="18"/>
          <c:tx>
            <c:strRef>
              <c:f>'Summary design chart (Fig 34)'!$U$73</c:f>
              <c:strCache>
                <c:ptCount val="1"/>
                <c:pt idx="0">
                  <c:v>212 µm (0.4 MPa)</c:v>
                </c:pt>
              </c:strCache>
            </c:strRef>
          </c:tx>
          <c:spPr>
            <a:ln>
              <a:noFill/>
            </a:ln>
            <a:effectLst/>
          </c:spPr>
          <c:marker>
            <c:symbol val="triangle"/>
            <c:size val="10"/>
            <c:spPr>
              <a:noFill/>
              <a:ln w="15875">
                <a:solidFill>
                  <a:schemeClr val="accent3"/>
                </a:solidFill>
              </a:ln>
              <a:effectLst/>
            </c:spPr>
          </c:marker>
          <c:errBars>
            <c:errDir val="y"/>
            <c:errBarType val="both"/>
            <c:errValType val="cust"/>
            <c:noEndCap val="0"/>
            <c:plus>
              <c:numRef>
                <c:f>'Summary design chart (Fig 34)'!$Y$73</c:f>
                <c:numCache>
                  <c:formatCode>General</c:formatCode>
                  <c:ptCount val="1"/>
                  <c:pt idx="0">
                    <c:v>0.39847041227680619</c:v>
                  </c:pt>
                </c:numCache>
              </c:numRef>
            </c:plus>
            <c:minus>
              <c:numRef>
                <c:f>'Summary design chart (Fig 34)'!$Y$73</c:f>
                <c:numCache>
                  <c:formatCode>General</c:formatCode>
                  <c:ptCount val="1"/>
                  <c:pt idx="0">
                    <c:v>0.39847041227680619</c:v>
                  </c:pt>
                </c:numCache>
              </c:numRef>
            </c:minus>
            <c:spPr>
              <a:ln>
                <a:solidFill>
                  <a:schemeClr val="accent3"/>
                </a:solidFill>
              </a:ln>
            </c:spPr>
          </c:errBars>
          <c:errBars>
            <c:errDir val="x"/>
            <c:errBarType val="both"/>
            <c:errValType val="fixedVal"/>
            <c:noEndCap val="0"/>
            <c:val val="0"/>
            <c:spPr>
              <a:ln>
                <a:noFill/>
              </a:ln>
            </c:spPr>
          </c:errBars>
          <c:xVal>
            <c:numRef>
              <c:f>'Summary design chart (Fig 34)'!$V$73</c:f>
              <c:numCache>
                <c:formatCode>0.00</c:formatCode>
                <c:ptCount val="1"/>
                <c:pt idx="0">
                  <c:v>844.57640000000004</c:v>
                </c:pt>
              </c:numCache>
            </c:numRef>
          </c:xVal>
          <c:yVal>
            <c:numRef>
              <c:f>'Summary design chart (Fig 34)'!$X$73</c:f>
              <c:numCache>
                <c:formatCode>0.00</c:formatCode>
                <c:ptCount val="1"/>
                <c:pt idx="0">
                  <c:v>14.594427105891187</c:v>
                </c:pt>
              </c:numCache>
            </c:numRef>
          </c:yVal>
          <c:smooth val="1"/>
          <c:extLst>
            <c:ext xmlns:c16="http://schemas.microsoft.com/office/drawing/2014/chart" uri="{C3380CC4-5D6E-409C-BE32-E72D297353CC}">
              <c16:uniqueId val="{00000012-C69C-794A-BA18-91E6CAFA3664}"/>
            </c:ext>
          </c:extLst>
        </c:ser>
        <c:ser>
          <c:idx val="26"/>
          <c:order val="19"/>
          <c:tx>
            <c:strRef>
              <c:f>'Summary design chart (Fig 34)'!$U$77</c:f>
              <c:strCache>
                <c:ptCount val="1"/>
                <c:pt idx="0">
                  <c:v>300 µm (0.4 MPa)</c:v>
                </c:pt>
              </c:strCache>
            </c:strRef>
          </c:tx>
          <c:spPr>
            <a:ln>
              <a:noFill/>
            </a:ln>
            <a:effectLst/>
          </c:spPr>
          <c:marker>
            <c:symbol val="circle"/>
            <c:size val="10"/>
            <c:spPr>
              <a:noFill/>
              <a:ln w="15875">
                <a:solidFill>
                  <a:schemeClr val="accent3"/>
                </a:solidFill>
              </a:ln>
              <a:effectLst/>
            </c:spPr>
          </c:marker>
          <c:errBars>
            <c:errDir val="y"/>
            <c:errBarType val="both"/>
            <c:errValType val="cust"/>
            <c:noEndCap val="0"/>
            <c:plus>
              <c:numRef>
                <c:f>'Summary design chart (Fig 34)'!$Y$77</c:f>
                <c:numCache>
                  <c:formatCode>General</c:formatCode>
                  <c:ptCount val="1"/>
                  <c:pt idx="0">
                    <c:v>1.8794041758528097</c:v>
                  </c:pt>
                </c:numCache>
              </c:numRef>
            </c:plus>
            <c:minus>
              <c:numRef>
                <c:f>'Summary design chart (Fig 34)'!$Y$77</c:f>
                <c:numCache>
                  <c:formatCode>General</c:formatCode>
                  <c:ptCount val="1"/>
                  <c:pt idx="0">
                    <c:v>1.8794041758528097</c:v>
                  </c:pt>
                </c:numCache>
              </c:numRef>
            </c:minus>
            <c:spPr>
              <a:ln>
                <a:solidFill>
                  <a:schemeClr val="accent3"/>
                </a:solidFill>
              </a:ln>
            </c:spPr>
          </c:errBars>
          <c:errBars>
            <c:errDir val="x"/>
            <c:errBarType val="both"/>
            <c:errValType val="fixedVal"/>
            <c:noEndCap val="0"/>
            <c:val val="0"/>
            <c:spPr>
              <a:ln>
                <a:noFill/>
              </a:ln>
            </c:spPr>
          </c:errBars>
          <c:xVal>
            <c:numRef>
              <c:f>'Summary design chart (Fig 34)'!$V$77</c:f>
              <c:numCache>
                <c:formatCode>0.00</c:formatCode>
                <c:ptCount val="1"/>
                <c:pt idx="0">
                  <c:v>882.58860000000004</c:v>
                </c:pt>
              </c:numCache>
            </c:numRef>
          </c:xVal>
          <c:yVal>
            <c:numRef>
              <c:f>'Summary design chart (Fig 34)'!$X$77</c:f>
              <c:numCache>
                <c:formatCode>0.00</c:formatCode>
                <c:ptCount val="1"/>
                <c:pt idx="0">
                  <c:v>13.846734340626176</c:v>
                </c:pt>
              </c:numCache>
            </c:numRef>
          </c:yVal>
          <c:smooth val="1"/>
          <c:extLst>
            <c:ext xmlns:c16="http://schemas.microsoft.com/office/drawing/2014/chart" uri="{C3380CC4-5D6E-409C-BE32-E72D297353CC}">
              <c16:uniqueId val="{00000013-C69C-794A-BA18-91E6CAFA3664}"/>
            </c:ext>
          </c:extLst>
        </c:ser>
        <c:ser>
          <c:idx val="27"/>
          <c:order val="20"/>
          <c:tx>
            <c:strRef>
              <c:f>'Summary design chart (Fig 34)'!$U$82</c:f>
              <c:strCache>
                <c:ptCount val="1"/>
                <c:pt idx="0">
                  <c:v>425 µm (0.4 MPa)</c:v>
                </c:pt>
              </c:strCache>
            </c:strRef>
          </c:tx>
          <c:spPr>
            <a:ln>
              <a:noFill/>
            </a:ln>
            <a:effectLst/>
          </c:spPr>
          <c:marker>
            <c:symbol val="diamond"/>
            <c:size val="10"/>
            <c:spPr>
              <a:noFill/>
              <a:ln w="15875">
                <a:solidFill>
                  <a:schemeClr val="accent3"/>
                </a:solidFill>
              </a:ln>
              <a:effectLst/>
            </c:spPr>
          </c:marker>
          <c:errBars>
            <c:errDir val="y"/>
            <c:errBarType val="both"/>
            <c:errValType val="cust"/>
            <c:noEndCap val="0"/>
            <c:plus>
              <c:numRef>
                <c:f>'Summary design chart (Fig 34)'!$Y$82</c:f>
                <c:numCache>
                  <c:formatCode>General</c:formatCode>
                  <c:ptCount val="1"/>
                  <c:pt idx="0">
                    <c:v>1.5180064171992433</c:v>
                  </c:pt>
                </c:numCache>
              </c:numRef>
            </c:plus>
            <c:minus>
              <c:numRef>
                <c:f>'Summary design chart (Fig 34)'!$Y$82</c:f>
                <c:numCache>
                  <c:formatCode>General</c:formatCode>
                  <c:ptCount val="1"/>
                  <c:pt idx="0">
                    <c:v>1.5180064171992433</c:v>
                  </c:pt>
                </c:numCache>
              </c:numRef>
            </c:minus>
            <c:spPr>
              <a:ln>
                <a:solidFill>
                  <a:schemeClr val="tx1"/>
                </a:solidFill>
              </a:ln>
            </c:spPr>
          </c:errBars>
          <c:errBars>
            <c:errDir val="x"/>
            <c:errBarType val="both"/>
            <c:errValType val="fixedVal"/>
            <c:noEndCap val="0"/>
            <c:val val="0"/>
            <c:spPr>
              <a:ln>
                <a:noFill/>
              </a:ln>
            </c:spPr>
          </c:errBars>
          <c:xVal>
            <c:numRef>
              <c:f>'Summary design chart (Fig 34)'!$V$82</c:f>
              <c:numCache>
                <c:formatCode>0.00</c:formatCode>
                <c:ptCount val="1"/>
                <c:pt idx="0">
                  <c:v>804.8674666666667</c:v>
                </c:pt>
              </c:numCache>
            </c:numRef>
          </c:xVal>
          <c:yVal>
            <c:numRef>
              <c:f>'Summary design chart (Fig 34)'!$X$82</c:f>
              <c:numCache>
                <c:formatCode>0.00</c:formatCode>
                <c:ptCount val="1"/>
                <c:pt idx="0">
                  <c:v>11.722171497959245</c:v>
                </c:pt>
              </c:numCache>
            </c:numRef>
          </c:yVal>
          <c:smooth val="1"/>
          <c:extLst>
            <c:ext xmlns:c16="http://schemas.microsoft.com/office/drawing/2014/chart" uri="{C3380CC4-5D6E-409C-BE32-E72D297353CC}">
              <c16:uniqueId val="{00000014-C69C-794A-BA18-91E6CAFA3664}"/>
            </c:ext>
          </c:extLst>
        </c:ser>
        <c:ser>
          <c:idx val="28"/>
          <c:order val="21"/>
          <c:tx>
            <c:strRef>
              <c:f>'Summary design chart (Fig 34)'!$U$88</c:f>
              <c:strCache>
                <c:ptCount val="1"/>
                <c:pt idx="0">
                  <c:v>600 µm (0.4 MPa)</c:v>
                </c:pt>
              </c:strCache>
            </c:strRef>
          </c:tx>
          <c:spPr>
            <a:ln>
              <a:noFill/>
            </a:ln>
            <a:effectLst/>
          </c:spPr>
          <c:marker>
            <c:symbol val="x"/>
            <c:size val="10"/>
            <c:spPr>
              <a:noFill/>
              <a:ln w="15875">
                <a:solidFill>
                  <a:schemeClr val="accent3"/>
                </a:solidFill>
              </a:ln>
              <a:effectLst/>
            </c:spPr>
          </c:marker>
          <c:errBars>
            <c:errDir val="y"/>
            <c:errBarType val="both"/>
            <c:errValType val="cust"/>
            <c:noEndCap val="0"/>
            <c:plus>
              <c:numRef>
                <c:f>'Summary design chart (Fig 34)'!$Y$88</c:f>
                <c:numCache>
                  <c:formatCode>General</c:formatCode>
                  <c:ptCount val="1"/>
                  <c:pt idx="0">
                    <c:v>1.5348447418440108</c:v>
                  </c:pt>
                </c:numCache>
              </c:numRef>
            </c:plus>
            <c:minus>
              <c:numRef>
                <c:f>'Summary design chart (Fig 34)'!$Y$88</c:f>
                <c:numCache>
                  <c:formatCode>General</c:formatCode>
                  <c:ptCount val="1"/>
                  <c:pt idx="0">
                    <c:v>1.5348447418440108</c:v>
                  </c:pt>
                </c:numCache>
              </c:numRef>
            </c:minus>
            <c:spPr>
              <a:ln>
                <a:solidFill>
                  <a:schemeClr val="accent3"/>
                </a:solidFill>
              </a:ln>
            </c:spPr>
          </c:errBars>
          <c:errBars>
            <c:errDir val="x"/>
            <c:errBarType val="both"/>
            <c:errValType val="fixedVal"/>
            <c:noEndCap val="0"/>
            <c:val val="0"/>
            <c:spPr>
              <a:ln>
                <a:noFill/>
              </a:ln>
            </c:spPr>
          </c:errBars>
          <c:xVal>
            <c:numRef>
              <c:f>'Summary design chart (Fig 34)'!$V$88</c:f>
              <c:numCache>
                <c:formatCode>0.00</c:formatCode>
                <c:ptCount val="1"/>
                <c:pt idx="0">
                  <c:v>923.55510000000004</c:v>
                </c:pt>
              </c:numCache>
            </c:numRef>
          </c:xVal>
          <c:yVal>
            <c:numRef>
              <c:f>'Summary design chart (Fig 34)'!$X$88</c:f>
              <c:numCache>
                <c:formatCode>0.00</c:formatCode>
                <c:ptCount val="1"/>
                <c:pt idx="0">
                  <c:v>14.461910708315649</c:v>
                </c:pt>
              </c:numCache>
            </c:numRef>
          </c:yVal>
          <c:smooth val="1"/>
          <c:extLst>
            <c:ext xmlns:c16="http://schemas.microsoft.com/office/drawing/2014/chart" uri="{C3380CC4-5D6E-409C-BE32-E72D297353CC}">
              <c16:uniqueId val="{00000015-C69C-794A-BA18-91E6CAFA3664}"/>
            </c:ext>
          </c:extLst>
        </c:ser>
        <c:ser>
          <c:idx val="0"/>
          <c:order val="22"/>
          <c:tx>
            <c:strRef>
              <c:f>'NoOUT ABR FIN(apx) trim'!#REF!</c:f>
              <c:strCache>
                <c:ptCount val="1"/>
                <c:pt idx="0">
                  <c:v>#REF!</c:v>
                </c:pt>
              </c:strCache>
            </c:strRef>
          </c:tx>
          <c:spPr>
            <a:ln>
              <a:noFill/>
            </a:ln>
          </c:spPr>
          <c:marker>
            <c:symbol val="none"/>
          </c:marker>
          <c:xVal>
            <c:numRef>
              <c:f>'NoOUT ABR FIN(apx) trim'!#REF!</c:f>
            </c:numRef>
          </c:xVal>
          <c:yVal>
            <c:numRef>
              <c:f>'NoOUT ABR FIN(apx) trim'!#REF!</c:f>
              <c:numCache>
                <c:formatCode>General</c:formatCode>
                <c:ptCount val="1"/>
                <c:pt idx="0">
                  <c:v>1</c:v>
                </c:pt>
              </c:numCache>
            </c:numRef>
          </c:yVal>
          <c:smooth val="1"/>
          <c:extLst>
            <c:ext xmlns:c16="http://schemas.microsoft.com/office/drawing/2014/chart" uri="{C3380CC4-5D6E-409C-BE32-E72D297353CC}">
              <c16:uniqueId val="{00000016-C69C-794A-BA18-91E6CAFA3664}"/>
            </c:ext>
          </c:extLst>
        </c:ser>
        <c:ser>
          <c:idx val="1"/>
          <c:order val="23"/>
          <c:tx>
            <c:strRef>
              <c:f>'NoOUT ABR FIN(apx) trim'!#REF!</c:f>
              <c:strCache>
                <c:ptCount val="1"/>
                <c:pt idx="0">
                  <c:v>#REF!</c:v>
                </c:pt>
              </c:strCache>
            </c:strRef>
          </c:tx>
          <c:spPr>
            <a:ln>
              <a:noFill/>
            </a:ln>
          </c:spPr>
          <c:marker>
            <c:symbol val="none"/>
          </c:marker>
          <c:xVal>
            <c:numRef>
              <c:f>'NoOUT ABR FIN(apx) trim'!#REF!</c:f>
            </c:numRef>
          </c:xVal>
          <c:yVal>
            <c:numRef>
              <c:f>'NoOUT ABR FIN(apx) trim'!#REF!</c:f>
              <c:numCache>
                <c:formatCode>General</c:formatCode>
                <c:ptCount val="1"/>
                <c:pt idx="0">
                  <c:v>1</c:v>
                </c:pt>
              </c:numCache>
            </c:numRef>
          </c:yVal>
          <c:smooth val="1"/>
          <c:extLst>
            <c:ext xmlns:c16="http://schemas.microsoft.com/office/drawing/2014/chart" uri="{C3380CC4-5D6E-409C-BE32-E72D297353CC}">
              <c16:uniqueId val="{00000017-C69C-794A-BA18-91E6CAFA3664}"/>
            </c:ext>
          </c:extLst>
        </c:ser>
        <c:ser>
          <c:idx val="2"/>
          <c:order val="24"/>
          <c:tx>
            <c:v>Thickness [mm]:</c:v>
          </c:tx>
          <c:spPr>
            <a:ln>
              <a:noFill/>
            </a:ln>
          </c:spPr>
          <c:marker>
            <c:symbol val="none"/>
          </c:marker>
          <c:yVal>
            <c:numLit>
              <c:formatCode>General</c:formatCode>
              <c:ptCount val="1"/>
              <c:pt idx="0">
                <c:v>1</c:v>
              </c:pt>
            </c:numLit>
          </c:yVal>
          <c:smooth val="1"/>
          <c:extLst>
            <c:ext xmlns:c16="http://schemas.microsoft.com/office/drawing/2014/chart" uri="{C3380CC4-5D6E-409C-BE32-E72D297353CC}">
              <c16:uniqueId val="{00000018-C69C-794A-BA18-91E6CAFA3664}"/>
            </c:ext>
          </c:extLst>
        </c:ser>
        <c:ser>
          <c:idx val="29"/>
          <c:order val="25"/>
          <c:tx>
            <c:strRef>
              <c:f>'NoOUT ABR FIN(apx) trim'!#REF!</c:f>
              <c:strCache>
                <c:ptCount val="1"/>
                <c:pt idx="0">
                  <c:v>#REF!</c:v>
                </c:pt>
              </c:strCache>
            </c:strRef>
          </c:tx>
          <c:spPr>
            <a:ln>
              <a:noFill/>
            </a:ln>
          </c:spPr>
          <c:marker>
            <c:symbol val="none"/>
          </c:marker>
          <c:xVal>
            <c:numRef>
              <c:f>'NoOUT ABR FIN(apx) trim'!#REF!</c:f>
            </c:numRef>
          </c:xVal>
          <c:yVal>
            <c:numRef>
              <c:f>'NoOUT ABR FIN(apx) trim'!#REF!</c:f>
              <c:numCache>
                <c:formatCode>General</c:formatCode>
                <c:ptCount val="1"/>
                <c:pt idx="0">
                  <c:v>1</c:v>
                </c:pt>
              </c:numCache>
            </c:numRef>
          </c:yVal>
          <c:smooth val="1"/>
          <c:extLst>
            <c:ext xmlns:c16="http://schemas.microsoft.com/office/drawing/2014/chart" uri="{C3380CC4-5D6E-409C-BE32-E72D297353CC}">
              <c16:uniqueId val="{00000019-C69C-794A-BA18-91E6CAFA3664}"/>
            </c:ext>
          </c:extLst>
        </c:ser>
        <c:ser>
          <c:idx val="30"/>
          <c:order val="26"/>
          <c:tx>
            <c:strRef>
              <c:f>'NoOUT ABR FIN(apx) trim'!#REF!</c:f>
              <c:strCache>
                <c:ptCount val="1"/>
                <c:pt idx="0">
                  <c:v>#REF!</c:v>
                </c:pt>
              </c:strCache>
            </c:strRef>
          </c:tx>
          <c:spPr>
            <a:ln>
              <a:noFill/>
            </a:ln>
          </c:spPr>
          <c:marker>
            <c:symbol val="none"/>
          </c:marker>
          <c:xVal>
            <c:numRef>
              <c:f>'NoOUT ABR FIN(apx) trim'!#REF!</c:f>
            </c:numRef>
          </c:xVal>
          <c:yVal>
            <c:numRef>
              <c:f>'NoOUT ABR FIN(apx) trim'!#REF!</c:f>
              <c:numCache>
                <c:formatCode>General</c:formatCode>
                <c:ptCount val="1"/>
                <c:pt idx="0">
                  <c:v>1</c:v>
                </c:pt>
              </c:numCache>
            </c:numRef>
          </c:yVal>
          <c:smooth val="1"/>
          <c:extLst>
            <c:ext xmlns:c16="http://schemas.microsoft.com/office/drawing/2014/chart" uri="{C3380CC4-5D6E-409C-BE32-E72D297353CC}">
              <c16:uniqueId val="{0000001A-C69C-794A-BA18-91E6CAFA3664}"/>
            </c:ext>
          </c:extLst>
        </c:ser>
        <c:ser>
          <c:idx val="31"/>
          <c:order val="27"/>
          <c:tx>
            <c:strRef>
              <c:f>'NoOUT ABR FIN(apx) trim'!#REF!</c:f>
              <c:strCache>
                <c:ptCount val="1"/>
                <c:pt idx="0">
                  <c:v>#REF!</c:v>
                </c:pt>
              </c:strCache>
            </c:strRef>
          </c:tx>
          <c:spPr>
            <a:ln>
              <a:noFill/>
            </a:ln>
          </c:spPr>
          <c:marker>
            <c:symbol val="none"/>
          </c:marker>
          <c:xVal>
            <c:numRef>
              <c:f>'NoOUT ABR FIN(apx) trim'!#REF!</c:f>
            </c:numRef>
          </c:xVal>
          <c:yVal>
            <c:numRef>
              <c:f>'NoOUT ABR FIN(apx) trim'!#REF!</c:f>
              <c:numCache>
                <c:formatCode>General</c:formatCode>
                <c:ptCount val="1"/>
                <c:pt idx="0">
                  <c:v>1</c:v>
                </c:pt>
              </c:numCache>
            </c:numRef>
          </c:yVal>
          <c:smooth val="1"/>
          <c:extLst>
            <c:ext xmlns:c16="http://schemas.microsoft.com/office/drawing/2014/chart" uri="{C3380CC4-5D6E-409C-BE32-E72D297353CC}">
              <c16:uniqueId val="{0000001B-C69C-794A-BA18-91E6CAFA3664}"/>
            </c:ext>
          </c:extLst>
        </c:ser>
        <c:ser>
          <c:idx val="3"/>
          <c:order val="28"/>
          <c:tx>
            <c:strRef>
              <c:f>'Summary design chart (Fig 34)'!$AC$19:$AC$19</c:f>
              <c:strCache>
                <c:ptCount val="1"/>
                <c:pt idx="0">
                  <c:v>8</c:v>
                </c:pt>
              </c:strCache>
            </c:strRef>
          </c:tx>
          <c:spPr>
            <a:ln w="3175">
              <a:solidFill>
                <a:srgbClr val="4A7EBB"/>
              </a:solidFill>
            </a:ln>
          </c:spPr>
          <c:marker>
            <c:symbol val="none"/>
          </c:marker>
          <c:xVal>
            <c:numRef>
              <c:f>'Summary design chart (Fig 34)'!$AE$19:$AE$20</c:f>
              <c:numCache>
                <c:formatCode>General</c:formatCode>
                <c:ptCount val="2"/>
                <c:pt idx="0">
                  <c:v>0</c:v>
                </c:pt>
                <c:pt idx="1">
                  <c:v>2170</c:v>
                </c:pt>
              </c:numCache>
            </c:numRef>
          </c:xVal>
          <c:yVal>
            <c:numRef>
              <c:f>'Summary design chart (Fig 34)'!$AF$19:$AF$20</c:f>
              <c:numCache>
                <c:formatCode>0.0</c:formatCode>
                <c:ptCount val="2"/>
                <c:pt idx="0">
                  <c:v>0</c:v>
                </c:pt>
                <c:pt idx="1">
                  <c:v>50.859375</c:v>
                </c:pt>
              </c:numCache>
            </c:numRef>
          </c:yVal>
          <c:smooth val="1"/>
          <c:extLst>
            <c:ext xmlns:c16="http://schemas.microsoft.com/office/drawing/2014/chart" uri="{C3380CC4-5D6E-409C-BE32-E72D297353CC}">
              <c16:uniqueId val="{0000001C-C69C-794A-BA18-91E6CAFA3664}"/>
            </c:ext>
          </c:extLst>
        </c:ser>
        <c:ser>
          <c:idx val="4"/>
          <c:order val="29"/>
          <c:tx>
            <c:strRef>
              <c:f>'Summary design chart (Fig 34)'!$AC$21:$AC$21</c:f>
              <c:strCache>
                <c:ptCount val="1"/>
                <c:pt idx="0">
                  <c:v>9</c:v>
                </c:pt>
              </c:strCache>
            </c:strRef>
          </c:tx>
          <c:spPr>
            <a:ln w="14604">
              <a:solidFill>
                <a:srgbClr val="4A7EBB"/>
              </a:solidFill>
            </a:ln>
          </c:spPr>
          <c:marker>
            <c:symbol val="none"/>
          </c:marker>
          <c:xVal>
            <c:numRef>
              <c:f>'Summary design chart (Fig 34)'!$AE$21:$AE$22</c:f>
              <c:numCache>
                <c:formatCode>General</c:formatCode>
                <c:ptCount val="2"/>
                <c:pt idx="0">
                  <c:v>0</c:v>
                </c:pt>
                <c:pt idx="1">
                  <c:v>2170</c:v>
                </c:pt>
              </c:numCache>
            </c:numRef>
          </c:xVal>
          <c:yVal>
            <c:numRef>
              <c:f>'Summary design chart (Fig 34)'!$AF$21:$AF$22</c:f>
              <c:numCache>
                <c:formatCode>0.0</c:formatCode>
                <c:ptCount val="2"/>
                <c:pt idx="0">
                  <c:v>0</c:v>
                </c:pt>
                <c:pt idx="1">
                  <c:v>40.185185185185183</c:v>
                </c:pt>
              </c:numCache>
            </c:numRef>
          </c:yVal>
          <c:smooth val="1"/>
          <c:extLst>
            <c:ext xmlns:c16="http://schemas.microsoft.com/office/drawing/2014/chart" uri="{C3380CC4-5D6E-409C-BE32-E72D297353CC}">
              <c16:uniqueId val="{0000001D-C69C-794A-BA18-91E6CAFA3664}"/>
            </c:ext>
          </c:extLst>
        </c:ser>
        <c:ser>
          <c:idx val="5"/>
          <c:order val="30"/>
          <c:tx>
            <c:strRef>
              <c:f>'Summary design chart (Fig 34)'!$AC$23:$AC$23</c:f>
              <c:strCache>
                <c:ptCount val="1"/>
                <c:pt idx="0">
                  <c:v>10</c:v>
                </c:pt>
              </c:strCache>
            </c:strRef>
          </c:tx>
          <c:spPr>
            <a:ln w="22225">
              <a:solidFill>
                <a:srgbClr val="4A7EBB"/>
              </a:solidFill>
            </a:ln>
          </c:spPr>
          <c:marker>
            <c:symbol val="none"/>
          </c:marker>
          <c:xVal>
            <c:numRef>
              <c:f>'Summary design chart (Fig 34)'!$AE$23:$AE$24</c:f>
              <c:numCache>
                <c:formatCode>General</c:formatCode>
                <c:ptCount val="2"/>
                <c:pt idx="0">
                  <c:v>0</c:v>
                </c:pt>
                <c:pt idx="1">
                  <c:v>2170</c:v>
                </c:pt>
              </c:numCache>
            </c:numRef>
          </c:xVal>
          <c:yVal>
            <c:numRef>
              <c:f>'Summary design chart (Fig 34)'!$AF$23:$AF$24</c:f>
              <c:numCache>
                <c:formatCode>0.0</c:formatCode>
                <c:ptCount val="2"/>
                <c:pt idx="0">
                  <c:v>0</c:v>
                </c:pt>
                <c:pt idx="1">
                  <c:v>32.549999999999997</c:v>
                </c:pt>
              </c:numCache>
            </c:numRef>
          </c:yVal>
          <c:smooth val="1"/>
          <c:extLst>
            <c:ext xmlns:c16="http://schemas.microsoft.com/office/drawing/2014/chart" uri="{C3380CC4-5D6E-409C-BE32-E72D297353CC}">
              <c16:uniqueId val="{0000001E-C69C-794A-BA18-91E6CAFA3664}"/>
            </c:ext>
          </c:extLst>
        </c:ser>
        <c:ser>
          <c:idx val="8"/>
          <c:order val="31"/>
          <c:tx>
            <c:strRef>
              <c:f>'Summary design chart (Fig 34)'!$AC$25:$AC$25</c:f>
              <c:strCache>
                <c:ptCount val="1"/>
                <c:pt idx="0">
                  <c:v>11</c:v>
                </c:pt>
              </c:strCache>
            </c:strRef>
          </c:tx>
          <c:spPr>
            <a:ln w="50800">
              <a:solidFill>
                <a:schemeClr val="accent1"/>
              </a:solidFill>
            </a:ln>
          </c:spPr>
          <c:marker>
            <c:symbol val="none"/>
          </c:marker>
          <c:xVal>
            <c:numRef>
              <c:f>'Summary design chart (Fig 34)'!$AE$25:$AE$26</c:f>
              <c:numCache>
                <c:formatCode>General</c:formatCode>
                <c:ptCount val="2"/>
                <c:pt idx="0">
                  <c:v>0</c:v>
                </c:pt>
                <c:pt idx="1">
                  <c:v>2170</c:v>
                </c:pt>
              </c:numCache>
            </c:numRef>
          </c:xVal>
          <c:yVal>
            <c:numRef>
              <c:f>'Summary design chart (Fig 34)'!$AF$25:$AF$26</c:f>
              <c:numCache>
                <c:formatCode>0.0</c:formatCode>
                <c:ptCount val="2"/>
                <c:pt idx="0">
                  <c:v>0</c:v>
                </c:pt>
                <c:pt idx="1">
                  <c:v>26.900826446280991</c:v>
                </c:pt>
              </c:numCache>
            </c:numRef>
          </c:yVal>
          <c:smooth val="1"/>
          <c:extLst>
            <c:ext xmlns:c16="http://schemas.microsoft.com/office/drawing/2014/chart" uri="{C3380CC4-5D6E-409C-BE32-E72D297353CC}">
              <c16:uniqueId val="{0000001F-C69C-794A-BA18-91E6CAFA3664}"/>
            </c:ext>
          </c:extLst>
        </c:ser>
        <c:dLbls>
          <c:showLegendKey val="0"/>
          <c:showVal val="0"/>
          <c:showCatName val="0"/>
          <c:showSerName val="0"/>
          <c:showPercent val="0"/>
          <c:showBubbleSize val="0"/>
        </c:dLbls>
        <c:axId val="-2092955784"/>
        <c:axId val="-2092921432"/>
      </c:scatterChart>
      <c:valAx>
        <c:axId val="-2092955784"/>
        <c:scaling>
          <c:orientation val="minMax"/>
          <c:max val="1400"/>
          <c:min val="0"/>
        </c:scaling>
        <c:delete val="0"/>
        <c:axPos val="b"/>
        <c:title>
          <c:tx>
            <c:rich>
              <a:bodyPr/>
              <a:lstStyle/>
              <a:p>
                <a:pPr>
                  <a:defRPr sz="2600"/>
                </a:pPr>
                <a:r>
                  <a:rPr lang="en-GB" sz="2600"/>
                  <a:t>Breaking strength</a:t>
                </a:r>
                <a:r>
                  <a:rPr lang="en-GB" sz="2600" baseline="0"/>
                  <a:t>, S [N]</a:t>
                </a:r>
                <a:endParaRPr lang="en-GB" sz="2600"/>
              </a:p>
            </c:rich>
          </c:tx>
          <c:overlay val="0"/>
        </c:title>
        <c:numFmt formatCode="0" sourceLinked="0"/>
        <c:majorTickMark val="out"/>
        <c:minorTickMark val="none"/>
        <c:tickLblPos val="nextTo"/>
        <c:spPr>
          <a:ln>
            <a:solidFill>
              <a:schemeClr val="tx1"/>
            </a:solidFill>
          </a:ln>
        </c:spPr>
        <c:txPr>
          <a:bodyPr/>
          <a:lstStyle/>
          <a:p>
            <a:pPr>
              <a:defRPr sz="2400" baseline="0"/>
            </a:pPr>
            <a:endParaRPr lang="en-US"/>
          </a:p>
        </c:txPr>
        <c:crossAx val="-2092921432"/>
        <c:crossesAt val="0"/>
        <c:crossBetween val="midCat"/>
        <c:majorUnit val="200"/>
      </c:valAx>
      <c:valAx>
        <c:axId val="-2092921432"/>
        <c:scaling>
          <c:orientation val="minMax"/>
          <c:max val="20"/>
          <c:min val="0"/>
        </c:scaling>
        <c:delete val="0"/>
        <c:axPos val="l"/>
        <c:title>
          <c:tx>
            <c:rich>
              <a:bodyPr/>
              <a:lstStyle/>
              <a:p>
                <a:pPr>
                  <a:defRPr sz="2600"/>
                </a:pPr>
                <a:r>
                  <a:rPr lang="en-GB" sz="2600"/>
                  <a:t>Modulus of Rupture [MPa]</a:t>
                </a:r>
              </a:p>
            </c:rich>
          </c:tx>
          <c:overlay val="0"/>
        </c:title>
        <c:numFmt formatCode="0" sourceLinked="0"/>
        <c:majorTickMark val="out"/>
        <c:minorTickMark val="none"/>
        <c:tickLblPos val="nextTo"/>
        <c:spPr>
          <a:ln>
            <a:solidFill>
              <a:schemeClr val="tx1"/>
            </a:solidFill>
          </a:ln>
        </c:spPr>
        <c:txPr>
          <a:bodyPr/>
          <a:lstStyle/>
          <a:p>
            <a:pPr>
              <a:defRPr sz="2400" baseline="0"/>
            </a:pPr>
            <a:endParaRPr lang="en-US"/>
          </a:p>
        </c:txPr>
        <c:crossAx val="-2092955784"/>
        <c:crosses val="autoZero"/>
        <c:crossBetween val="midCat"/>
        <c:majorUnit val="2"/>
        <c:minorUnit val="1"/>
      </c:valAx>
      <c:spPr>
        <a:ln w="19050" cmpd="sng">
          <a:solidFill>
            <a:schemeClr val="tx1"/>
          </a:solidFill>
        </a:ln>
      </c:spPr>
    </c:plotArea>
    <c:legend>
      <c:legendPos val="r"/>
      <c:legendEntry>
        <c:idx val="22"/>
        <c:txPr>
          <a:bodyPr/>
          <a:lstStyle/>
          <a:p>
            <a:pPr>
              <a:defRPr sz="2200">
                <a:solidFill>
                  <a:schemeClr val="bg1"/>
                </a:solidFill>
              </a:defRPr>
            </a:pPr>
            <a:endParaRPr lang="en-US"/>
          </a:p>
        </c:txPr>
      </c:legendEntry>
      <c:legendEntry>
        <c:idx val="23"/>
        <c:txPr>
          <a:bodyPr/>
          <a:lstStyle/>
          <a:p>
            <a:pPr>
              <a:defRPr sz="2200">
                <a:solidFill>
                  <a:schemeClr val="bg1"/>
                </a:solidFill>
              </a:defRPr>
            </a:pPr>
            <a:endParaRPr lang="en-US"/>
          </a:p>
        </c:txPr>
      </c:legendEntry>
      <c:legendEntry>
        <c:idx val="25"/>
        <c:txPr>
          <a:bodyPr/>
          <a:lstStyle/>
          <a:p>
            <a:pPr>
              <a:defRPr sz="2200">
                <a:solidFill>
                  <a:schemeClr val="bg1"/>
                </a:solidFill>
              </a:defRPr>
            </a:pPr>
            <a:endParaRPr lang="en-US"/>
          </a:p>
        </c:txPr>
      </c:legendEntry>
      <c:legendEntry>
        <c:idx val="26"/>
        <c:txPr>
          <a:bodyPr/>
          <a:lstStyle/>
          <a:p>
            <a:pPr>
              <a:defRPr sz="2200">
                <a:solidFill>
                  <a:schemeClr val="bg1"/>
                </a:solidFill>
              </a:defRPr>
            </a:pPr>
            <a:endParaRPr lang="en-US"/>
          </a:p>
        </c:txPr>
      </c:legendEntry>
      <c:legendEntry>
        <c:idx val="27"/>
        <c:txPr>
          <a:bodyPr/>
          <a:lstStyle/>
          <a:p>
            <a:pPr>
              <a:defRPr sz="2200">
                <a:solidFill>
                  <a:schemeClr val="bg1"/>
                </a:solidFill>
              </a:defRPr>
            </a:pPr>
            <a:endParaRPr lang="en-US"/>
          </a:p>
        </c:txPr>
      </c:legendEntry>
      <c:layout>
        <c:manualLayout>
          <c:xMode val="edge"/>
          <c:yMode val="edge"/>
          <c:x val="9.5126016116534443E-2"/>
          <c:y val="0.55075772957968128"/>
          <c:w val="0.42435953366490098"/>
          <c:h val="0.21160205557922884"/>
        </c:manualLayout>
      </c:layout>
      <c:overlay val="0"/>
      <c:txPr>
        <a:bodyPr/>
        <a:lstStyle/>
        <a:p>
          <a:pPr>
            <a:defRPr sz="2200"/>
          </a:pPr>
          <a:endParaRPr lang="en-US"/>
        </a:p>
      </c:txPr>
    </c:legend>
    <c:plotVisOnly val="1"/>
    <c:dispBlanksAs val="gap"/>
    <c:showDLblsOverMax val="0"/>
  </c:chart>
  <c:spPr>
    <a:ln w="19050" cmpd="sng">
      <a:no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11</xdr:col>
      <xdr:colOff>762000</xdr:colOff>
      <xdr:row>10</xdr:row>
      <xdr:rowOff>63500</xdr:rowOff>
    </xdr:to>
    <xdr:sp macro="" textlink="">
      <xdr:nvSpPr>
        <xdr:cNvPr id="2" name="TextBox 1">
          <a:extLst>
            <a:ext uri="{FF2B5EF4-FFF2-40B4-BE49-F238E27FC236}">
              <a16:creationId xmlns:a16="http://schemas.microsoft.com/office/drawing/2014/main" id="{5718737B-11AD-694D-8D35-1DC105CD452F}"/>
            </a:ext>
          </a:extLst>
        </xdr:cNvPr>
        <xdr:cNvSpPr txBox="1"/>
      </xdr:nvSpPr>
      <xdr:spPr>
        <a:xfrm>
          <a:off x="822960" y="396240"/>
          <a:ext cx="10789920" cy="16078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a:latin typeface="Aptos" panose="020B0004020202020204" pitchFamily="34" charset="0"/>
            </a:rPr>
            <a:t>Determin</a:t>
          </a:r>
          <a:r>
            <a:rPr lang="en-GB" baseline="0">
              <a:latin typeface="Aptos" panose="020B0004020202020204" pitchFamily="34" charset="0"/>
            </a:rPr>
            <a:t>e if the mechanical strength of geopolymerized tiles (geo-tiles) met technical feasibility criteria by developing and using a design chart based on ISO and SANS standards to validate strength performance.</a:t>
          </a:r>
        </a:p>
        <a:p>
          <a:endParaRPr lang="en-GB" sz="1100" b="0" i="0" u="none" strike="noStrike" baseline="0">
            <a:solidFill>
              <a:schemeClr val="dk1"/>
            </a:solidFill>
            <a:effectLst/>
            <a:latin typeface="Aptos" panose="020B0004020202020204" pitchFamily="34" charset="0"/>
            <a:ea typeface="+mn-ea"/>
            <a:cs typeface="+mn-cs"/>
          </a:endParaRPr>
        </a:p>
        <a:p>
          <a:r>
            <a:rPr lang="en-GB" sz="1100" b="0" i="0" u="none" strike="noStrike">
              <a:solidFill>
                <a:schemeClr val="dk1"/>
              </a:solidFill>
              <a:effectLst/>
              <a:latin typeface="Aptos" panose="020B0004020202020204" pitchFamily="34" charset="0"/>
              <a:ea typeface="+mn-ea"/>
              <a:cs typeface="+mn-cs"/>
            </a:rPr>
            <a:t>This was the</a:t>
          </a:r>
          <a:r>
            <a:rPr lang="en-GB" sz="1100" b="0" i="0" u="none" strike="noStrike" baseline="0">
              <a:solidFill>
                <a:schemeClr val="dk1"/>
              </a:solidFill>
              <a:effectLst/>
              <a:latin typeface="Aptos" panose="020B0004020202020204" pitchFamily="34" charset="0"/>
              <a:ea typeface="+mn-ea"/>
              <a:cs typeface="+mn-cs"/>
            </a:rPr>
            <a:t> main</a:t>
          </a:r>
          <a:r>
            <a:rPr lang="en-GB" sz="1100" b="0" i="0" u="none" strike="noStrike">
              <a:solidFill>
                <a:schemeClr val="dk1"/>
              </a:solidFill>
              <a:effectLst/>
              <a:latin typeface="Aptos" panose="020B0004020202020204" pitchFamily="34" charset="0"/>
              <a:ea typeface="+mn-ea"/>
              <a:cs typeface="+mn-cs"/>
            </a:rPr>
            <a:t> objective</a:t>
          </a:r>
          <a:r>
            <a:rPr lang="en-GB" sz="1100" b="0" i="0" u="none" strike="noStrike" baseline="0">
              <a:solidFill>
                <a:schemeClr val="dk1"/>
              </a:solidFill>
              <a:effectLst/>
              <a:latin typeface="Aptos" panose="020B0004020202020204" pitchFamily="34" charset="0"/>
              <a:ea typeface="+mn-ea"/>
              <a:cs typeface="+mn-cs"/>
            </a:rPr>
            <a:t> of the</a:t>
          </a:r>
          <a:r>
            <a:rPr lang="en-GB" sz="1100" b="0" i="0" u="none" strike="noStrike">
              <a:solidFill>
                <a:schemeClr val="dk1"/>
              </a:solidFill>
              <a:effectLst/>
              <a:latin typeface="Aptos" panose="020B0004020202020204" pitchFamily="34" charset="0"/>
              <a:ea typeface="+mn-ea"/>
              <a:cs typeface="+mn-cs"/>
            </a:rPr>
            <a:t> study, to</a:t>
          </a:r>
          <a:r>
            <a:rPr lang="en-GB" sz="1100" b="0" i="0" u="none" strike="noStrike" baseline="0">
              <a:solidFill>
                <a:schemeClr val="dk1"/>
              </a:solidFill>
              <a:effectLst/>
              <a:latin typeface="Aptos" panose="020B0004020202020204" pitchFamily="34" charset="0"/>
              <a:ea typeface="+mn-ea"/>
              <a:cs typeface="+mn-cs"/>
            </a:rPr>
            <a:t> use </a:t>
          </a:r>
          <a:r>
            <a:rPr lang="en-GB" sz="1100" b="0" i="0" u="none" strike="noStrike">
              <a:solidFill>
                <a:schemeClr val="dk1"/>
              </a:solidFill>
              <a:effectLst/>
              <a:latin typeface="Aptos" panose="020B0004020202020204" pitchFamily="34" charset="0"/>
              <a:ea typeface="+mn-ea"/>
              <a:cs typeface="+mn-cs"/>
            </a:rPr>
            <a:t>the geopolymerization process to  form tiles from copper mine tailings.</a:t>
          </a:r>
          <a:r>
            <a:rPr lang="en-GB">
              <a:latin typeface="Aptos" panose="020B0004020202020204" pitchFamily="34" charset="0"/>
            </a:rPr>
            <a:t> </a:t>
          </a:r>
        </a:p>
        <a:p>
          <a:r>
            <a:rPr lang="en-GB" sz="1100" b="0" i="0" u="none" strike="noStrike">
              <a:solidFill>
                <a:schemeClr val="dk1"/>
              </a:solidFill>
              <a:effectLst/>
              <a:latin typeface="Aptos" panose="020B0004020202020204" pitchFamily="34" charset="0"/>
              <a:ea typeface="+mn-ea"/>
              <a:cs typeface="+mn-cs"/>
            </a:rPr>
            <a:t>Geopolymerization involves combining aluminosilicate materials with an alkali activator, then curing the mixture of precursors at elevated temperatures.</a:t>
          </a:r>
          <a:r>
            <a:rPr lang="en-GB">
              <a:latin typeface="Aptos" panose="020B0004020202020204" pitchFamily="34" charset="0"/>
            </a:rPr>
            <a:t> </a:t>
          </a:r>
        </a:p>
        <a:p>
          <a:r>
            <a:rPr lang="en-GB" sz="1100" b="0" i="0" u="none" strike="noStrike">
              <a:solidFill>
                <a:schemeClr val="dk1"/>
              </a:solidFill>
              <a:effectLst/>
              <a:latin typeface="Aptos" panose="020B0004020202020204" pitchFamily="34" charset="0"/>
              <a:ea typeface="+mn-ea"/>
              <a:cs typeface="+mn-cs"/>
            </a:rPr>
            <a:t>For this primary experiment the aluminosilicate and alkali activator were, respectively, copper mine tailings and a 15 M solution of NaOH.</a:t>
          </a:r>
          <a:r>
            <a:rPr lang="en-GB">
              <a:latin typeface="Aptos" panose="020B0004020202020204" pitchFamily="34" charset="0"/>
            </a:rPr>
            <a:t> </a:t>
          </a:r>
        </a:p>
      </xdr:txBody>
    </xdr:sp>
    <xdr:clientData/>
  </xdr:twoCellAnchor>
  <xdr:twoCellAnchor editAs="oneCell">
    <xdr:from>
      <xdr:col>1</xdr:col>
      <xdr:colOff>15240</xdr:colOff>
      <xdr:row>12</xdr:row>
      <xdr:rowOff>25399</xdr:rowOff>
    </xdr:from>
    <xdr:to>
      <xdr:col>11</xdr:col>
      <xdr:colOff>777240</xdr:colOff>
      <xdr:row>25</xdr:row>
      <xdr:rowOff>71120</xdr:rowOff>
    </xdr:to>
    <xdr:sp macro="" textlink="">
      <xdr:nvSpPr>
        <xdr:cNvPr id="3" name="TextBox 2">
          <a:extLst>
            <a:ext uri="{FF2B5EF4-FFF2-40B4-BE49-F238E27FC236}">
              <a16:creationId xmlns:a16="http://schemas.microsoft.com/office/drawing/2014/main" id="{E28DC280-CAE5-BD4A-BFD8-7245596ED35E}"/>
            </a:ext>
          </a:extLst>
        </xdr:cNvPr>
        <xdr:cNvSpPr txBox="1"/>
      </xdr:nvSpPr>
      <xdr:spPr>
        <a:xfrm>
          <a:off x="838200" y="2555239"/>
          <a:ext cx="10789920" cy="255524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"Blank design chart"</a:t>
          </a:r>
          <a:r>
            <a:rPr lang="en-GB" sz="1100" baseline="0">
              <a:solidFill>
                <a:schemeClr val="dk1"/>
              </a:solidFill>
              <a:effectLst/>
              <a:latin typeface="+mn-lt"/>
              <a:ea typeface="+mn-ea"/>
              <a:cs typeface="+mn-cs"/>
            </a:rPr>
            <a:t> sheet contains the data points used to plot the blank geo-tile design chart (</a:t>
          </a:r>
          <a:r>
            <a:rPr lang="en-GB" sz="1100" b="1" baseline="0">
              <a:solidFill>
                <a:schemeClr val="dk1"/>
              </a:solidFill>
              <a:effectLst/>
              <a:latin typeface="+mn-lt"/>
              <a:ea typeface="+mn-ea"/>
              <a:cs typeface="+mn-cs"/>
            </a:rPr>
            <a:t>Figure 22</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The target for MOR is 16 MPa, so a point on the y-intercept at MOR = 16 MPa was taken as the first point. The second point was selected at an arbitrary point along the x-axis where S = 2400 N and MOR = 16 MPa. The value 2400 N is higher than the terminal point of the x-axis (1400 N) but was chosen to ensure there was no break in the target line on the visible graph.</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The target breaking strength value is 800 N. A similar approach was employed to plot this line where the first point was at S = 800 N on the x-axis. The second was chosen directly above it at S = 800 N and MOR = 25 MPa. The highest visible y-axis value is 20 MPa, thus 25 MPa was selected arbitrarily so that the target line would be continuous on the visible part of the graph.</a:t>
          </a:r>
          <a:endParaRPr lang="en-GB" sz="1100" baseline="0">
            <a:solidFill>
              <a:schemeClr val="dk1"/>
            </a:solidFill>
            <a:effectLst/>
            <a:latin typeface="+mn-lt"/>
            <a:ea typeface="+mn-ea"/>
            <a:cs typeface="+mn-cs"/>
          </a:endParaRPr>
        </a:p>
        <a:p>
          <a:endParaRPr lang="en-GB" sz="1100" baseline="0">
            <a:solidFill>
              <a:schemeClr val="dk1"/>
            </a:solidFill>
            <a:effectLst/>
            <a:latin typeface="+mn-lt"/>
            <a:ea typeface="+mn-ea"/>
            <a:cs typeface="+mn-cs"/>
          </a:endParaRPr>
        </a:p>
        <a:p>
          <a:r>
            <a:rPr lang="en-GB" sz="1100">
              <a:solidFill>
                <a:schemeClr val="dk1"/>
              </a:solidFill>
              <a:effectLst/>
              <a:latin typeface="+mn-lt"/>
              <a:ea typeface="+mn-ea"/>
              <a:cs typeface="+mn-cs"/>
            </a:rPr>
            <a:t>For the theoretical thickness (d) lines the origin was used for the first point for all of them. To define the second point, the x-axis value was calculated using equation (3) where the span between the supports in </a:t>
          </a:r>
          <a:r>
            <a:rPr lang="en-GB" sz="1100" b="1">
              <a:solidFill>
                <a:schemeClr val="dk1"/>
              </a:solidFill>
              <a:effectLst/>
              <a:latin typeface="+mn-lt"/>
              <a:ea typeface="+mn-ea"/>
              <a:cs typeface="+mn-cs"/>
            </a:rPr>
            <a:t>Figure 21</a:t>
          </a:r>
          <a:r>
            <a:rPr lang="en-GB" sz="1100">
              <a:solidFill>
                <a:schemeClr val="dk1"/>
              </a:solidFill>
              <a:effectLst/>
              <a:latin typeface="+mn-lt"/>
              <a:ea typeface="+mn-ea"/>
              <a:cs typeface="+mn-cs"/>
            </a:rPr>
            <a:t>, L</a:t>
          </a:r>
          <a:r>
            <a:rPr lang="en-GB" sz="1100" baseline="-25000">
              <a:solidFill>
                <a:schemeClr val="dk1"/>
              </a:solidFill>
              <a:effectLst/>
              <a:latin typeface="+mn-lt"/>
              <a:ea typeface="+mn-ea"/>
              <a:cs typeface="+mn-cs"/>
            </a:rPr>
            <a:t>1</a:t>
          </a:r>
          <a:r>
            <a:rPr lang="en-GB" sz="1100">
              <a:solidFill>
                <a:schemeClr val="dk1"/>
              </a:solidFill>
              <a:effectLst/>
              <a:latin typeface="+mn-lt"/>
              <a:ea typeface="+mn-ea"/>
              <a:cs typeface="+mn-cs"/>
            </a:rPr>
            <a:t> = 62 mm was used along with the tile width b = 100 mm. For the value of F, an arbitrary breaking force of 3500 N was used. This resulted in a sufficiently high value for breaking strength (S = 2170 N) such that all the thickness lines would remain continuous over the range of visible values of the design chart’s x-axis as this peaked at S = 1400 N. The y-axis values were calculated using equation (4), where S was as calculated in the previous step, and d took on a range of values which varied the gradients of the theoretical thickness lines.</a:t>
          </a:r>
        </a:p>
        <a:p>
          <a:endParaRPr lang="en-GB" sz="1100">
            <a:solidFill>
              <a:schemeClr val="dk1"/>
            </a:solidFill>
            <a:effectLst/>
            <a:latin typeface="Aptos" panose="020B0004020202020204" pitchFamily="34" charset="0"/>
            <a:ea typeface="+mn-ea"/>
            <a:cs typeface="+mn-cs"/>
          </a:endParaRPr>
        </a:p>
        <a:p>
          <a:r>
            <a:rPr lang="en-GB" sz="1100">
              <a:solidFill>
                <a:schemeClr val="dk1"/>
              </a:solidFill>
              <a:effectLst/>
              <a:latin typeface="Aptos" panose="020B0004020202020204" pitchFamily="34" charset="0"/>
              <a:ea typeface="+mn-ea"/>
              <a:cs typeface="+mn-cs"/>
            </a:rPr>
            <a:t>The</a:t>
          </a:r>
          <a:r>
            <a:rPr lang="en-GB" sz="1100" baseline="0">
              <a:solidFill>
                <a:schemeClr val="dk1"/>
              </a:solidFill>
              <a:effectLst/>
              <a:latin typeface="Aptos" panose="020B0004020202020204" pitchFamily="34" charset="0"/>
              <a:ea typeface="+mn-ea"/>
              <a:cs typeface="+mn-cs"/>
            </a:rPr>
            <a:t> procedures and calculations used to</a:t>
          </a:r>
          <a:r>
            <a:rPr lang="en-GB" sz="1100">
              <a:solidFill>
                <a:schemeClr val="dk1"/>
              </a:solidFill>
              <a:effectLst/>
              <a:latin typeface="Aptos" panose="020B0004020202020204" pitchFamily="34" charset="0"/>
              <a:ea typeface="+mn-ea"/>
              <a:cs typeface="+mn-cs"/>
            </a:rPr>
            <a:t> fill in the data points on</a:t>
          </a:r>
          <a:r>
            <a:rPr lang="en-GB" sz="1100" baseline="0">
              <a:solidFill>
                <a:schemeClr val="dk1"/>
              </a:solidFill>
              <a:effectLst/>
              <a:latin typeface="Aptos" panose="020B0004020202020204" pitchFamily="34" charset="0"/>
              <a:ea typeface="+mn-ea"/>
              <a:cs typeface="+mn-cs"/>
            </a:rPr>
            <a:t> the design chart can be found in the "Summary design chart" sheet. Descriptions of the headers used and relevant equations are listed below. Next to the table with the calculations, the populated design chart (</a:t>
          </a:r>
          <a:r>
            <a:rPr lang="en-GB" sz="1100" b="1" baseline="0">
              <a:solidFill>
                <a:schemeClr val="dk1"/>
              </a:solidFill>
              <a:effectLst/>
              <a:latin typeface="Aptos" panose="020B0004020202020204" pitchFamily="34" charset="0"/>
              <a:ea typeface="+mn-ea"/>
              <a:cs typeface="+mn-cs"/>
            </a:rPr>
            <a:t>Figure 34</a:t>
          </a:r>
          <a:r>
            <a:rPr lang="en-GB" sz="1100" baseline="0">
              <a:solidFill>
                <a:schemeClr val="dk1"/>
              </a:solidFill>
              <a:effectLst/>
              <a:latin typeface="Aptos" panose="020B0004020202020204" pitchFamily="34" charset="0"/>
              <a:ea typeface="+mn-ea"/>
              <a:cs typeface="+mn-cs"/>
            </a:rPr>
            <a:t>) is shown.</a:t>
          </a:r>
          <a:endParaRPr lang="en-GB" sz="1100">
            <a:solidFill>
              <a:schemeClr val="dk1"/>
            </a:solidFill>
            <a:effectLst/>
            <a:latin typeface="Aptos" panose="020B0004020202020204" pitchFamily="34" charset="0"/>
            <a:ea typeface="+mn-ea"/>
            <a:cs typeface="+mn-cs"/>
          </a:endParaRPr>
        </a:p>
        <a:p>
          <a:endParaRPr lang="en-GB" sz="1100">
            <a:solidFill>
              <a:schemeClr val="dk1"/>
            </a:solidFill>
            <a:effectLst/>
            <a:latin typeface="Aptos" panose="020B0004020202020204" pitchFamily="34" charset="0"/>
            <a:ea typeface="+mn-ea"/>
            <a:cs typeface="+mn-cs"/>
          </a:endParaRPr>
        </a:p>
      </xdr:txBody>
    </xdr:sp>
    <xdr:clientData/>
  </xdr:twoCellAnchor>
  <xdr:twoCellAnchor editAs="oneCell">
    <xdr:from>
      <xdr:col>3</xdr:col>
      <xdr:colOff>28165</xdr:colOff>
      <xdr:row>54</xdr:row>
      <xdr:rowOff>31866</xdr:rowOff>
    </xdr:from>
    <xdr:to>
      <xdr:col>4</xdr:col>
      <xdr:colOff>202210</xdr:colOff>
      <xdr:row>57</xdr:row>
      <xdr:rowOff>96213</xdr:rowOff>
    </xdr:to>
    <xdr:pic>
      <xdr:nvPicPr>
        <xdr:cNvPr id="7" name="Picture 6">
          <a:extLst>
            <a:ext uri="{FF2B5EF4-FFF2-40B4-BE49-F238E27FC236}">
              <a16:creationId xmlns:a16="http://schemas.microsoft.com/office/drawing/2014/main" id="{907C25C1-A561-684C-B160-441CFF2D6D5C}"/>
            </a:ext>
          </a:extLst>
        </xdr:cNvPr>
        <xdr:cNvPicPr>
          <a:picLocks noChangeAspect="1"/>
        </xdr:cNvPicPr>
      </xdr:nvPicPr>
      <xdr:blipFill>
        <a:blip xmlns:r="http://schemas.openxmlformats.org/officeDocument/2006/relationships" r:embed="rId1"/>
        <a:stretch>
          <a:fillRect/>
        </a:stretch>
      </xdr:blipFill>
      <xdr:spPr>
        <a:xfrm>
          <a:off x="4295365" y="12376266"/>
          <a:ext cx="997005" cy="673947"/>
        </a:xfrm>
        <a:prstGeom prst="rect">
          <a:avLst/>
        </a:prstGeom>
      </xdr:spPr>
    </xdr:pic>
    <xdr:clientData/>
  </xdr:twoCellAnchor>
  <xdr:twoCellAnchor editAs="oneCell">
    <xdr:from>
      <xdr:col>2</xdr:col>
      <xdr:colOff>2036616</xdr:colOff>
      <xdr:row>59</xdr:row>
      <xdr:rowOff>20485</xdr:rowOff>
    </xdr:from>
    <xdr:to>
      <xdr:col>6</xdr:col>
      <xdr:colOff>334817</xdr:colOff>
      <xdr:row>65</xdr:row>
      <xdr:rowOff>12855</xdr:rowOff>
    </xdr:to>
    <xdr:pic>
      <xdr:nvPicPr>
        <xdr:cNvPr id="8" name="Picture 7">
          <a:extLst>
            <a:ext uri="{FF2B5EF4-FFF2-40B4-BE49-F238E27FC236}">
              <a16:creationId xmlns:a16="http://schemas.microsoft.com/office/drawing/2014/main" id="{A6A3DEDB-B30C-FF48-A853-6CBAFFE35612}"/>
            </a:ext>
          </a:extLst>
        </xdr:cNvPr>
        <xdr:cNvPicPr>
          <a:picLocks noChangeAspect="1"/>
        </xdr:cNvPicPr>
      </xdr:nvPicPr>
      <xdr:blipFill>
        <a:blip xmlns:r="http://schemas.openxmlformats.org/officeDocument/2006/relationships" r:embed="rId2"/>
        <a:stretch>
          <a:fillRect/>
        </a:stretch>
      </xdr:blipFill>
      <xdr:spPr>
        <a:xfrm>
          <a:off x="3682536" y="13380885"/>
          <a:ext cx="3388361" cy="1211570"/>
        </a:xfrm>
        <a:prstGeom prst="rect">
          <a:avLst/>
        </a:prstGeom>
      </xdr:spPr>
    </xdr:pic>
    <xdr:clientData/>
  </xdr:twoCellAnchor>
  <xdr:twoCellAnchor editAs="oneCell">
    <xdr:from>
      <xdr:col>9</xdr:col>
      <xdr:colOff>11545</xdr:colOff>
      <xdr:row>54</xdr:row>
      <xdr:rowOff>6926</xdr:rowOff>
    </xdr:from>
    <xdr:to>
      <xdr:col>11</xdr:col>
      <xdr:colOff>523888</xdr:colOff>
      <xdr:row>57</xdr:row>
      <xdr:rowOff>79662</xdr:rowOff>
    </xdr:to>
    <xdr:pic>
      <xdr:nvPicPr>
        <xdr:cNvPr id="9" name="Picture 8">
          <a:extLst>
            <a:ext uri="{FF2B5EF4-FFF2-40B4-BE49-F238E27FC236}">
              <a16:creationId xmlns:a16="http://schemas.microsoft.com/office/drawing/2014/main" id="{1420552A-CCAC-7943-BE9B-E97772528D61}"/>
            </a:ext>
          </a:extLst>
        </xdr:cNvPr>
        <xdr:cNvPicPr>
          <a:picLocks noChangeAspect="1"/>
        </xdr:cNvPicPr>
      </xdr:nvPicPr>
      <xdr:blipFill>
        <a:blip xmlns:r="http://schemas.openxmlformats.org/officeDocument/2006/relationships" r:embed="rId3"/>
        <a:stretch>
          <a:fillRect/>
        </a:stretch>
      </xdr:blipFill>
      <xdr:spPr>
        <a:xfrm>
          <a:off x="9216505" y="12351326"/>
          <a:ext cx="2158263" cy="682336"/>
        </a:xfrm>
        <a:prstGeom prst="rect">
          <a:avLst/>
        </a:prstGeom>
      </xdr:spPr>
    </xdr:pic>
    <xdr:clientData/>
  </xdr:twoCellAnchor>
  <xdr:twoCellAnchor editAs="oneCell">
    <xdr:from>
      <xdr:col>9</xdr:col>
      <xdr:colOff>7791</xdr:colOff>
      <xdr:row>58</xdr:row>
      <xdr:rowOff>158882</xdr:rowOff>
    </xdr:from>
    <xdr:to>
      <xdr:col>13</xdr:col>
      <xdr:colOff>248319</xdr:colOff>
      <xdr:row>66</xdr:row>
      <xdr:rowOff>155886</xdr:rowOff>
    </xdr:to>
    <xdr:pic>
      <xdr:nvPicPr>
        <xdr:cNvPr id="4" name="Picture 3">
          <a:extLst>
            <a:ext uri="{FF2B5EF4-FFF2-40B4-BE49-F238E27FC236}">
              <a16:creationId xmlns:a16="http://schemas.microsoft.com/office/drawing/2014/main" id="{3B4790BC-68FA-E046-A455-75963C10C2F0}"/>
            </a:ext>
          </a:extLst>
        </xdr:cNvPr>
        <xdr:cNvPicPr>
          <a:picLocks noChangeAspect="1"/>
        </xdr:cNvPicPr>
      </xdr:nvPicPr>
      <xdr:blipFill>
        <a:blip xmlns:r="http://schemas.openxmlformats.org/officeDocument/2006/relationships" r:embed="rId4"/>
        <a:stretch>
          <a:fillRect/>
        </a:stretch>
      </xdr:blipFill>
      <xdr:spPr>
        <a:xfrm>
          <a:off x="9212751" y="13316082"/>
          <a:ext cx="3532368" cy="1622604"/>
        </a:xfrm>
        <a:prstGeom prst="rect">
          <a:avLst/>
        </a:prstGeom>
      </xdr:spPr>
    </xdr:pic>
    <xdr:clientData/>
  </xdr:twoCellAnchor>
  <xdr:twoCellAnchor editAs="oneCell">
    <xdr:from>
      <xdr:col>16</xdr:col>
      <xdr:colOff>91440</xdr:colOff>
      <xdr:row>54</xdr:row>
      <xdr:rowOff>111760</xdr:rowOff>
    </xdr:from>
    <xdr:to>
      <xdr:col>21</xdr:col>
      <xdr:colOff>568960</xdr:colOff>
      <xdr:row>66</xdr:row>
      <xdr:rowOff>177871</xdr:rowOff>
    </xdr:to>
    <xdr:pic>
      <xdr:nvPicPr>
        <xdr:cNvPr id="6" name="Picture 5">
          <a:extLst>
            <a:ext uri="{FF2B5EF4-FFF2-40B4-BE49-F238E27FC236}">
              <a16:creationId xmlns:a16="http://schemas.microsoft.com/office/drawing/2014/main" id="{830D996E-980C-6116-1986-AED6B3D72C62}"/>
            </a:ext>
          </a:extLst>
        </xdr:cNvPr>
        <xdr:cNvPicPr>
          <a:picLocks noChangeAspect="1"/>
        </xdr:cNvPicPr>
      </xdr:nvPicPr>
      <xdr:blipFill>
        <a:blip xmlns:r="http://schemas.openxmlformats.org/officeDocument/2006/relationships" r:embed="rId5"/>
        <a:stretch>
          <a:fillRect/>
        </a:stretch>
      </xdr:blipFill>
      <xdr:spPr>
        <a:xfrm>
          <a:off x="15057120" y="15179040"/>
          <a:ext cx="4592320" cy="25045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315099</xdr:colOff>
      <xdr:row>26</xdr:row>
      <xdr:rowOff>151088</xdr:rowOff>
    </xdr:from>
    <xdr:to>
      <xdr:col>7</xdr:col>
      <xdr:colOff>952390</xdr:colOff>
      <xdr:row>49</xdr:row>
      <xdr:rowOff>145322</xdr:rowOff>
    </xdr:to>
    <xdr:graphicFrame macro="">
      <xdr:nvGraphicFramePr>
        <xdr:cNvPr id="2" name="Chart 1">
          <a:extLst>
            <a:ext uri="{FF2B5EF4-FFF2-40B4-BE49-F238E27FC236}">
              <a16:creationId xmlns:a16="http://schemas.microsoft.com/office/drawing/2014/main" id="{16484497-0E34-614D-8487-5877E8B7ACAC}"/>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absolute">
    <xdr:from>
      <xdr:col>3</xdr:col>
      <xdr:colOff>1240318</xdr:colOff>
      <xdr:row>29</xdr:row>
      <xdr:rowOff>21266</xdr:rowOff>
    </xdr:from>
    <xdr:to>
      <xdr:col>6</xdr:col>
      <xdr:colOff>788818</xdr:colOff>
      <xdr:row>42</xdr:row>
      <xdr:rowOff>63107</xdr:rowOff>
    </xdr:to>
    <xdr:sp macro="" textlink="">
      <xdr:nvSpPr>
        <xdr:cNvPr id="5" name="L-Shape 17">
          <a:extLst>
            <a:ext uri="{FF2B5EF4-FFF2-40B4-BE49-F238E27FC236}">
              <a16:creationId xmlns:a16="http://schemas.microsoft.com/office/drawing/2014/main" id="{E58536D0-3BAC-7D44-9330-04917B07F0D1}"/>
            </a:ext>
          </a:extLst>
        </xdr:cNvPr>
        <xdr:cNvSpPr/>
      </xdr:nvSpPr>
      <xdr:spPr>
        <a:xfrm>
          <a:off x="3464790" y="6024185"/>
          <a:ext cx="4581171" cy="2708052"/>
        </a:xfrm>
        <a:prstGeom prst="corner">
          <a:avLst>
            <a:gd name="adj1" fmla="val 80153"/>
            <a:gd name="adj2" fmla="val 96427"/>
          </a:avLst>
        </a:prstGeom>
        <a:solidFill>
          <a:srgbClr val="C0504D">
            <a:alpha val="15364"/>
          </a:srgbClr>
        </a:solidFill>
        <a:ln>
          <a:noFill/>
        </a:ln>
      </xdr:spPr>
      <xdr:style>
        <a:lnRef idx="1">
          <a:schemeClr val="accent1"/>
        </a:lnRef>
        <a:fillRef idx="3">
          <a:schemeClr val="accent1"/>
        </a:fillRef>
        <a:effectRef idx="2">
          <a:schemeClr val="accent1"/>
        </a:effectRef>
        <a:fontRef idx="minor">
          <a:schemeClr val="lt1"/>
        </a:fontRef>
      </xdr:style>
      <xdr:txBody>
        <a:bodyPr wrap="square"/>
        <a:lstStyle/>
        <a:p>
          <a:endParaRPr lang="en-US"/>
        </a:p>
      </xdr:txBody>
    </xdr:sp>
    <xdr:clientData/>
  </xdr:twoCellAnchor>
  <xdr:twoCellAnchor editAs="absolute">
    <xdr:from>
      <xdr:col>4</xdr:col>
      <xdr:colOff>987182</xdr:colOff>
      <xdr:row>29</xdr:row>
      <xdr:rowOff>31554</xdr:rowOff>
    </xdr:from>
    <xdr:to>
      <xdr:col>6</xdr:col>
      <xdr:colOff>765154</xdr:colOff>
      <xdr:row>31</xdr:row>
      <xdr:rowOff>157519</xdr:rowOff>
    </xdr:to>
    <xdr:sp macro="" textlink="">
      <xdr:nvSpPr>
        <xdr:cNvPr id="6" name="Rectangle 5">
          <a:extLst>
            <a:ext uri="{FF2B5EF4-FFF2-40B4-BE49-F238E27FC236}">
              <a16:creationId xmlns:a16="http://schemas.microsoft.com/office/drawing/2014/main" id="{B2309124-6704-8C49-8809-DEEE926A79CD}"/>
            </a:ext>
          </a:extLst>
        </xdr:cNvPr>
        <xdr:cNvSpPr/>
      </xdr:nvSpPr>
      <xdr:spPr>
        <a:xfrm>
          <a:off x="6082958" y="6034473"/>
          <a:ext cx="1939339" cy="536152"/>
        </a:xfrm>
        <a:prstGeom prst="rect">
          <a:avLst/>
        </a:prstGeom>
        <a:solidFill>
          <a:srgbClr val="008000">
            <a:alpha val="15000"/>
          </a:srgbClr>
        </a:solidFill>
        <a:ln w="28575" cmpd="sng">
          <a:noFill/>
        </a:ln>
        <a:effectLst/>
      </xdr:spPr>
      <xdr:style>
        <a:lnRef idx="1">
          <a:schemeClr val="accent1"/>
        </a:lnRef>
        <a:fillRef idx="3">
          <a:schemeClr val="accent1"/>
        </a:fillRef>
        <a:effectRef idx="2">
          <a:schemeClr val="accent1"/>
        </a:effectRef>
        <a:fontRef idx="minor">
          <a:schemeClr val="lt1"/>
        </a:fontRef>
      </xdr:style>
      <xdr:txBody>
        <a:bodyPr wrap="square"/>
        <a:lstStyle/>
        <a:p>
          <a:endParaRPr lang="en-US"/>
        </a:p>
      </xdr:txBody>
    </xdr:sp>
    <xdr:clientData fLocksWithSheet="0"/>
  </xdr:twoCellAnchor>
  <xdr:twoCellAnchor editAs="absolute">
    <xdr:from>
      <xdr:col>68</xdr:col>
      <xdr:colOff>440581</xdr:colOff>
      <xdr:row>102</xdr:row>
      <xdr:rowOff>118194</xdr:rowOff>
    </xdr:from>
    <xdr:to>
      <xdr:col>81</xdr:col>
      <xdr:colOff>155538</xdr:colOff>
      <xdr:row>126</xdr:row>
      <xdr:rowOff>1665</xdr:rowOff>
    </xdr:to>
    <xdr:graphicFrame macro="">
      <xdr:nvGraphicFramePr>
        <xdr:cNvPr id="7" name="Chart 6">
          <a:extLst>
            <a:ext uri="{FF2B5EF4-FFF2-40B4-BE49-F238E27FC236}">
              <a16:creationId xmlns:a16="http://schemas.microsoft.com/office/drawing/2014/main" id="{EC28891E-44B0-5A4F-94CB-C5AB4E5C14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68</xdr:col>
      <xdr:colOff>727281</xdr:colOff>
      <xdr:row>128</xdr:row>
      <xdr:rowOff>81324</xdr:rowOff>
    </xdr:from>
    <xdr:to>
      <xdr:col>82</xdr:col>
      <xdr:colOff>52087</xdr:colOff>
      <xdr:row>151</xdr:row>
      <xdr:rowOff>156982</xdr:rowOff>
    </xdr:to>
    <xdr:graphicFrame macro="">
      <xdr:nvGraphicFramePr>
        <xdr:cNvPr id="8" name="Chart 7">
          <a:extLst>
            <a:ext uri="{FF2B5EF4-FFF2-40B4-BE49-F238E27FC236}">
              <a16:creationId xmlns:a16="http://schemas.microsoft.com/office/drawing/2014/main" id="{B55EE1A1-EDE6-1146-8BFC-58223FDF9B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82</xdr:col>
      <xdr:colOff>793039</xdr:colOff>
      <xdr:row>102</xdr:row>
      <xdr:rowOff>61573</xdr:rowOff>
    </xdr:from>
    <xdr:to>
      <xdr:col>95</xdr:col>
      <xdr:colOff>284313</xdr:colOff>
      <xdr:row>125</xdr:row>
      <xdr:rowOff>136945</xdr:rowOff>
    </xdr:to>
    <xdr:graphicFrame macro="">
      <xdr:nvGraphicFramePr>
        <xdr:cNvPr id="9" name="Chart 8">
          <a:extLst>
            <a:ext uri="{FF2B5EF4-FFF2-40B4-BE49-F238E27FC236}">
              <a16:creationId xmlns:a16="http://schemas.microsoft.com/office/drawing/2014/main" id="{0A796EDA-8F7E-594F-A087-A9C6E55F24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82</xdr:col>
      <xdr:colOff>793039</xdr:colOff>
      <xdr:row>128</xdr:row>
      <xdr:rowOff>81324</xdr:rowOff>
    </xdr:from>
    <xdr:to>
      <xdr:col>95</xdr:col>
      <xdr:colOff>650927</xdr:colOff>
      <xdr:row>151</xdr:row>
      <xdr:rowOff>156982</xdr:rowOff>
    </xdr:to>
    <xdr:graphicFrame macro="">
      <xdr:nvGraphicFramePr>
        <xdr:cNvPr id="10" name="Chart 9">
          <a:extLst>
            <a:ext uri="{FF2B5EF4-FFF2-40B4-BE49-F238E27FC236}">
              <a16:creationId xmlns:a16="http://schemas.microsoft.com/office/drawing/2014/main" id="{F884E93C-1E22-F14B-B982-5BB1DE1637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27</xdr:col>
      <xdr:colOff>281595</xdr:colOff>
      <xdr:row>30</xdr:row>
      <xdr:rowOff>30235</xdr:rowOff>
    </xdr:from>
    <xdr:to>
      <xdr:col>46</xdr:col>
      <xdr:colOff>590060</xdr:colOff>
      <xdr:row>100</xdr:row>
      <xdr:rowOff>213610</xdr:rowOff>
    </xdr:to>
    <xdr:graphicFrame macro="">
      <xdr:nvGraphicFramePr>
        <xdr:cNvPr id="2" name="Chart 1">
          <a:extLst>
            <a:ext uri="{FF2B5EF4-FFF2-40B4-BE49-F238E27FC236}">
              <a16:creationId xmlns:a16="http://schemas.microsoft.com/office/drawing/2014/main" id="{7F70B36C-FD47-8647-AE9C-31C4C91461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29</xdr:col>
      <xdr:colOff>1866559</xdr:colOff>
      <xdr:row>34</xdr:row>
      <xdr:rowOff>197113</xdr:rowOff>
    </xdr:from>
    <xdr:to>
      <xdr:col>35</xdr:col>
      <xdr:colOff>1219514</xdr:colOff>
      <xdr:row>63</xdr:row>
      <xdr:rowOff>41097</xdr:rowOff>
    </xdr:to>
    <xdr:sp macro="" textlink="">
      <xdr:nvSpPr>
        <xdr:cNvPr id="6" name="L-Shape 17">
          <a:extLst>
            <a:ext uri="{FF2B5EF4-FFF2-40B4-BE49-F238E27FC236}">
              <a16:creationId xmlns:a16="http://schemas.microsoft.com/office/drawing/2014/main" id="{DCCACBCE-3356-A645-B2AB-994BE556BD70}"/>
            </a:ext>
          </a:extLst>
        </xdr:cNvPr>
        <xdr:cNvSpPr/>
      </xdr:nvSpPr>
      <xdr:spPr>
        <a:xfrm>
          <a:off x="33281741" y="8024931"/>
          <a:ext cx="8981864" cy="5893802"/>
        </a:xfrm>
        <a:prstGeom prst="corner">
          <a:avLst>
            <a:gd name="adj1" fmla="val 80444"/>
            <a:gd name="adj2" fmla="val 87070"/>
          </a:avLst>
        </a:prstGeom>
        <a:solidFill>
          <a:srgbClr val="C0504D">
            <a:alpha val="15364"/>
          </a:srgbClr>
        </a:solidFill>
        <a:ln>
          <a:noFill/>
        </a:ln>
      </xdr:spPr>
      <xdr:style>
        <a:lnRef idx="1">
          <a:schemeClr val="accent1"/>
        </a:lnRef>
        <a:fillRef idx="3">
          <a:schemeClr val="accent1"/>
        </a:fillRef>
        <a:effectRef idx="2">
          <a:schemeClr val="accent1"/>
        </a:effectRef>
        <a:fontRef idx="minor">
          <a:schemeClr val="lt1"/>
        </a:fontRef>
      </xdr:style>
      <xdr:txBody>
        <a:bodyPr wrap="square"/>
        <a:lstStyle/>
        <a:p>
          <a:endParaRPr lang="en-US"/>
        </a:p>
      </xdr:txBody>
    </xdr:sp>
    <xdr:clientData/>
  </xdr:twoCellAnchor>
  <xdr:twoCellAnchor editAs="oneCell">
    <xdr:from>
      <xdr:col>32</xdr:col>
      <xdr:colOff>1100604</xdr:colOff>
      <xdr:row>34</xdr:row>
      <xdr:rowOff>188645</xdr:rowOff>
    </xdr:from>
    <xdr:to>
      <xdr:col>35</xdr:col>
      <xdr:colOff>1222700</xdr:colOff>
      <xdr:row>40</xdr:row>
      <xdr:rowOff>104163</xdr:rowOff>
    </xdr:to>
    <xdr:sp macro="" textlink="">
      <xdr:nvSpPr>
        <xdr:cNvPr id="7" name="Rectangle 6">
          <a:extLst>
            <a:ext uri="{FF2B5EF4-FFF2-40B4-BE49-F238E27FC236}">
              <a16:creationId xmlns:a16="http://schemas.microsoft.com/office/drawing/2014/main" id="{1B949EE8-0997-9F4C-B519-057E64FCD030}"/>
            </a:ext>
          </a:extLst>
        </xdr:cNvPr>
        <xdr:cNvSpPr/>
      </xdr:nvSpPr>
      <xdr:spPr>
        <a:xfrm>
          <a:off x="38403968" y="8016463"/>
          <a:ext cx="3862823" cy="1162427"/>
        </a:xfrm>
        <a:prstGeom prst="rect">
          <a:avLst/>
        </a:prstGeom>
        <a:solidFill>
          <a:srgbClr val="008000">
            <a:alpha val="15000"/>
          </a:srgbClr>
        </a:solidFill>
        <a:ln w="28575" cmpd="sng">
          <a:noFill/>
        </a:ln>
        <a:effectLst/>
      </xdr:spPr>
      <xdr:style>
        <a:lnRef idx="1">
          <a:schemeClr val="accent1"/>
        </a:lnRef>
        <a:fillRef idx="3">
          <a:schemeClr val="accent1"/>
        </a:fillRef>
        <a:effectRef idx="2">
          <a:schemeClr val="accent1"/>
        </a:effectRef>
        <a:fontRef idx="minor">
          <a:schemeClr val="lt1"/>
        </a:fontRef>
      </xdr:style>
      <xdr:txBody>
        <a:bodyPr wrap="square"/>
        <a:lstStyle/>
        <a:p>
          <a:endParaRPr lang="en-US"/>
        </a:p>
      </xdr:txBody>
    </xdr:sp>
    <xdr:clientData fLocksWithSheet="0"/>
  </xdr:twoCellAnchor>
  <xdr:twoCellAnchor>
    <xdr:from>
      <xdr:col>13</xdr:col>
      <xdr:colOff>9648</xdr:colOff>
      <xdr:row>5</xdr:row>
      <xdr:rowOff>10160</xdr:rowOff>
    </xdr:from>
    <xdr:to>
      <xdr:col>17</xdr:col>
      <xdr:colOff>469580</xdr:colOff>
      <xdr:row>11</xdr:row>
      <xdr:rowOff>192101</xdr:rowOff>
    </xdr:to>
    <xdr:sp macro="" textlink="">
      <xdr:nvSpPr>
        <xdr:cNvPr id="8" name="TextBox 7">
          <a:extLst>
            <a:ext uri="{FF2B5EF4-FFF2-40B4-BE49-F238E27FC236}">
              <a16:creationId xmlns:a16="http://schemas.microsoft.com/office/drawing/2014/main" id="{ACB6EFD8-5BEB-9446-8A58-8655DB50DE35}"/>
            </a:ext>
          </a:extLst>
        </xdr:cNvPr>
        <xdr:cNvSpPr txBox="1"/>
      </xdr:nvSpPr>
      <xdr:spPr>
        <a:xfrm>
          <a:off x="12965782" y="13681336"/>
          <a:ext cx="3490857" cy="14092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i="0" u="sng" strike="noStrike">
              <a:solidFill>
                <a:schemeClr val="dk1"/>
              </a:solidFill>
              <a:effectLst/>
              <a:latin typeface="Aptos Narrow" panose="020B0004020202020204" pitchFamily="34" charset="0"/>
              <a:ea typeface="+mn-ea"/>
              <a:cs typeface="+mn-cs"/>
            </a:rPr>
            <a:t>Comment:</a:t>
          </a:r>
        </a:p>
        <a:p>
          <a:r>
            <a:rPr lang="en-GB" sz="1000" b="0" i="0" u="none" strike="noStrike">
              <a:solidFill>
                <a:schemeClr val="dk1"/>
              </a:solidFill>
              <a:effectLst/>
              <a:latin typeface="Aptos Narrow" panose="020B0004020202020204" pitchFamily="34" charset="0"/>
              <a:ea typeface="+mn-ea"/>
              <a:cs typeface="+mn-cs"/>
            </a:rPr>
            <a:t>A minimum of 3 specimens</a:t>
          </a:r>
          <a:r>
            <a:rPr lang="en-GB" sz="1000" b="0" i="0" u="none" strike="noStrike" baseline="0">
              <a:solidFill>
                <a:schemeClr val="dk1"/>
              </a:solidFill>
              <a:effectLst/>
              <a:latin typeface="Aptos Narrow" panose="020B0004020202020204" pitchFamily="34" charset="0"/>
              <a:ea typeface="+mn-ea"/>
              <a:cs typeface="+mn-cs"/>
            </a:rPr>
            <a:t> was considered a single run. </a:t>
          </a:r>
          <a:r>
            <a:rPr lang="en-GB" sz="1000" b="0" i="0" u="none" strike="noStrike">
              <a:solidFill>
                <a:schemeClr val="dk1"/>
              </a:solidFill>
              <a:effectLst/>
              <a:latin typeface="Aptos Narrow" panose="020B0004020202020204" pitchFamily="34" charset="0"/>
              <a:ea typeface="+mn-ea"/>
              <a:cs typeface="+mn-cs"/>
            </a:rPr>
            <a:t>This</a:t>
          </a:r>
          <a:r>
            <a:rPr lang="en-GB" sz="1000" b="0" i="0" u="none" strike="noStrike" baseline="0">
              <a:solidFill>
                <a:schemeClr val="dk1"/>
              </a:solidFill>
              <a:effectLst/>
              <a:latin typeface="Aptos Narrow" panose="020B0004020202020204" pitchFamily="34" charset="0"/>
              <a:ea typeface="+mn-ea"/>
              <a:cs typeface="+mn-cs"/>
            </a:rPr>
            <a:t> forming condition was replicated as required by the RSM F-test. </a:t>
          </a:r>
        </a:p>
        <a:p>
          <a:pPr marL="0" marR="0" lvl="0" indent="0" defTabSz="914400" eaLnBrk="1" fontAlgn="auto" latinLnBrk="0" hangingPunct="1">
            <a:lnSpc>
              <a:spcPct val="100000"/>
            </a:lnSpc>
            <a:spcBef>
              <a:spcPts val="0"/>
            </a:spcBef>
            <a:spcAft>
              <a:spcPts val="0"/>
            </a:spcAft>
            <a:buClrTx/>
            <a:buSzTx/>
            <a:buFontTx/>
            <a:buNone/>
            <a:tabLst/>
            <a:defRPr/>
          </a:pPr>
          <a:r>
            <a:rPr lang="en-GB" sz="1000" b="0" i="0" u="none" strike="noStrike" baseline="0">
              <a:solidFill>
                <a:schemeClr val="dk1"/>
              </a:solidFill>
              <a:effectLst/>
              <a:latin typeface="Aptos Narrow" panose="020B0004020202020204" pitchFamily="34" charset="0"/>
              <a:ea typeface="+mn-ea"/>
              <a:cs typeface="+mn-cs"/>
            </a:rPr>
            <a:t>The first 6 specimens had an initial MOR error of 15%. None could be stastically excluded so the experimental conditions were repeated. From the 9 specimens the initial MOR error reduced to 12%. It was further found that specimen 50C could be excluded as a statistical outlier resulting in a final MOR error of 3.9%</a:t>
          </a:r>
        </a:p>
      </xdr:txBody>
    </xdr:sp>
    <xdr:clientData/>
  </xdr:twoCellAnchor>
  <xdr:twoCellAnchor>
    <xdr:from>
      <xdr:col>13</xdr:col>
      <xdr:colOff>10673</xdr:colOff>
      <xdr:row>23</xdr:row>
      <xdr:rowOff>10673</xdr:rowOff>
    </xdr:from>
    <xdr:to>
      <xdr:col>18</xdr:col>
      <xdr:colOff>10671</xdr:colOff>
      <xdr:row>27</xdr:row>
      <xdr:rowOff>181429</xdr:rowOff>
    </xdr:to>
    <xdr:sp macro="" textlink="">
      <xdr:nvSpPr>
        <xdr:cNvPr id="9" name="TextBox 8">
          <a:extLst>
            <a:ext uri="{FF2B5EF4-FFF2-40B4-BE49-F238E27FC236}">
              <a16:creationId xmlns:a16="http://schemas.microsoft.com/office/drawing/2014/main" id="{81DF36E1-9263-8944-93BA-8B5D3EC15453}"/>
            </a:ext>
          </a:extLst>
        </xdr:cNvPr>
        <xdr:cNvSpPr txBox="1"/>
      </xdr:nvSpPr>
      <xdr:spPr>
        <a:xfrm>
          <a:off x="12966807" y="17342438"/>
          <a:ext cx="3511175" cy="9818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u="sng" kern="1200">
              <a:latin typeface="Aptos Narrow" panose="020B0004020202020204" pitchFamily="34" charset="0"/>
            </a:rPr>
            <a:t>Comment:</a:t>
          </a:r>
          <a:br>
            <a:rPr lang="en-GB" sz="1000" b="1" u="sng" kern="1200">
              <a:latin typeface="Aptos Narrow" panose="020B0004020202020204" pitchFamily="34" charset="0"/>
            </a:rPr>
          </a:br>
          <a:r>
            <a:rPr lang="en-GB" sz="1000" kern="1200">
              <a:latin typeface="Aptos Narrow" panose="020B0004020202020204" pitchFamily="34" charset="0"/>
            </a:rPr>
            <a:t>This</a:t>
          </a:r>
          <a:r>
            <a:rPr lang="en-GB" sz="1000" kern="1200" baseline="0">
              <a:latin typeface="Aptos Narrow" panose="020B0004020202020204" pitchFamily="34" charset="0"/>
            </a:rPr>
            <a:t> experimental forming condition was replicated as required by the RSM  F-test. The initial MOR error was 36%. Specimens 34A and 52C could statistically be excluded resulting in a final MOR error of 9.9%.</a:t>
          </a:r>
        </a:p>
      </xdr:txBody>
    </xdr:sp>
    <xdr:clientData/>
  </xdr:twoCellAnchor>
  <xdr:twoCellAnchor>
    <xdr:from>
      <xdr:col>13</xdr:col>
      <xdr:colOff>9648</xdr:colOff>
      <xdr:row>47</xdr:row>
      <xdr:rowOff>9136</xdr:rowOff>
    </xdr:from>
    <xdr:to>
      <xdr:col>18</xdr:col>
      <xdr:colOff>0</xdr:colOff>
      <xdr:row>52</xdr:row>
      <xdr:rowOff>21345</xdr:rowOff>
    </xdr:to>
    <xdr:sp macro="" textlink="">
      <xdr:nvSpPr>
        <xdr:cNvPr id="11" name="TextBox 10">
          <a:extLst>
            <a:ext uri="{FF2B5EF4-FFF2-40B4-BE49-F238E27FC236}">
              <a16:creationId xmlns:a16="http://schemas.microsoft.com/office/drawing/2014/main" id="{CEFD0374-CDB1-8A47-855E-49009313440B}"/>
            </a:ext>
          </a:extLst>
        </xdr:cNvPr>
        <xdr:cNvSpPr txBox="1"/>
      </xdr:nvSpPr>
      <xdr:spPr>
        <a:xfrm>
          <a:off x="12965782" y="22207455"/>
          <a:ext cx="3501529" cy="10367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i="0" u="sng" strike="noStrike">
              <a:solidFill>
                <a:schemeClr val="dk1"/>
              </a:solidFill>
              <a:effectLst/>
              <a:latin typeface="Aptos Narrow" panose="020B0004020202020204" pitchFamily="34" charset="0"/>
              <a:ea typeface="+mn-ea"/>
              <a:cs typeface="+mn-cs"/>
            </a:rPr>
            <a:t>Comment:</a:t>
          </a:r>
          <a:r>
            <a:rPr lang="en-GB" sz="1000" b="0" i="0" u="none" strike="noStrike">
              <a:solidFill>
                <a:schemeClr val="dk1"/>
              </a:solidFill>
              <a:effectLst/>
              <a:latin typeface="Aptos Narrow" panose="020B0004020202020204" pitchFamily="34" charset="0"/>
              <a:ea typeface="+mn-ea"/>
              <a:cs typeface="+mn-cs"/>
            </a:rPr>
            <a:t> </a:t>
          </a:r>
        </a:p>
        <a:p>
          <a:r>
            <a:rPr lang="en-GB" sz="1000" b="0" i="0" u="none" strike="noStrike">
              <a:solidFill>
                <a:schemeClr val="dk1"/>
              </a:solidFill>
              <a:effectLst/>
              <a:latin typeface="Aptos Narrow" panose="020B0004020202020204" pitchFamily="34" charset="0"/>
              <a:ea typeface="+mn-ea"/>
              <a:cs typeface="+mn-cs"/>
            </a:rPr>
            <a:t>After</a:t>
          </a:r>
          <a:r>
            <a:rPr lang="en-GB" sz="1000" b="0" i="0" u="none" strike="noStrike" baseline="0">
              <a:solidFill>
                <a:schemeClr val="dk1"/>
              </a:solidFill>
              <a:effectLst/>
              <a:latin typeface="Aptos Narrow" panose="020B0004020202020204" pitchFamily="34" charset="0"/>
              <a:ea typeface="+mn-ea"/>
              <a:cs typeface="+mn-cs"/>
            </a:rPr>
            <a:t> the 1st run, an initial MOR error of 23% was observed. None could be stastically excluded so the experimental conditions were repeated. From the 6 specimens the initial MOR error reduced to 17%. It was found that specimen 48D could be statistically excluded resulting in a final MOR error reduction to 7.3%.</a:t>
          </a:r>
          <a:endParaRPr lang="en-GB" sz="1000" b="0" i="0" u="none" strike="noStrike">
            <a:solidFill>
              <a:schemeClr val="dk1"/>
            </a:solidFill>
            <a:effectLst/>
            <a:latin typeface="Aptos Narrow" panose="020B0004020202020204" pitchFamily="34" charset="0"/>
            <a:ea typeface="+mn-ea"/>
            <a:cs typeface="+mn-cs"/>
          </a:endParaRPr>
        </a:p>
      </xdr:txBody>
    </xdr:sp>
    <xdr:clientData/>
  </xdr:twoCellAnchor>
  <xdr:twoCellAnchor>
    <xdr:from>
      <xdr:col>13</xdr:col>
      <xdr:colOff>9648</xdr:colOff>
      <xdr:row>55</xdr:row>
      <xdr:rowOff>200725</xdr:rowOff>
    </xdr:from>
    <xdr:to>
      <xdr:col>18</xdr:col>
      <xdr:colOff>0</xdr:colOff>
      <xdr:row>61</xdr:row>
      <xdr:rowOff>0</xdr:rowOff>
    </xdr:to>
    <xdr:sp macro="" textlink="">
      <xdr:nvSpPr>
        <xdr:cNvPr id="12" name="TextBox 11">
          <a:extLst>
            <a:ext uri="{FF2B5EF4-FFF2-40B4-BE49-F238E27FC236}">
              <a16:creationId xmlns:a16="http://schemas.microsoft.com/office/drawing/2014/main" id="{D2792A07-84B0-E44C-A956-30203C23CD5C}"/>
            </a:ext>
          </a:extLst>
        </xdr:cNvPr>
        <xdr:cNvSpPr txBox="1"/>
      </xdr:nvSpPr>
      <xdr:spPr>
        <a:xfrm>
          <a:off x="12965782" y="24031901"/>
          <a:ext cx="3501529" cy="10265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i="0" u="sng" strike="noStrike">
              <a:solidFill>
                <a:schemeClr val="dk1"/>
              </a:solidFill>
              <a:effectLst/>
              <a:latin typeface="Aptos Narrow" panose="020B0004020202020204" pitchFamily="34" charset="0"/>
              <a:ea typeface="+mn-ea"/>
              <a:cs typeface="+mn-cs"/>
            </a:rPr>
            <a:t>Comment:</a:t>
          </a:r>
          <a:r>
            <a:rPr lang="en-GB" sz="1000" b="0" i="0" u="none" strike="noStrike">
              <a:solidFill>
                <a:schemeClr val="dk1"/>
              </a:solidFill>
              <a:effectLst/>
              <a:latin typeface="Aptos Narrow" panose="020B0004020202020204" pitchFamily="34" charset="0"/>
              <a:ea typeface="+mn-ea"/>
              <a:cs typeface="+mn-cs"/>
            </a:rPr>
            <a:t> </a:t>
          </a:r>
        </a:p>
        <a:p>
          <a:r>
            <a:rPr lang="en-GB" sz="1000" b="0" i="0" u="none" strike="noStrike">
              <a:solidFill>
                <a:schemeClr val="dk1"/>
              </a:solidFill>
              <a:effectLst/>
              <a:latin typeface="Aptos Narrow" panose="020B0004020202020204" pitchFamily="34" charset="0"/>
              <a:ea typeface="+mn-ea"/>
              <a:cs typeface="+mn-cs"/>
            </a:rPr>
            <a:t>After</a:t>
          </a:r>
          <a:r>
            <a:rPr lang="en-GB" sz="1000" b="0" i="0" u="none" strike="noStrike" baseline="0">
              <a:solidFill>
                <a:schemeClr val="dk1"/>
              </a:solidFill>
              <a:effectLst/>
              <a:latin typeface="Aptos Narrow" panose="020B0004020202020204" pitchFamily="34" charset="0"/>
              <a:ea typeface="+mn-ea"/>
              <a:cs typeface="+mn-cs"/>
            </a:rPr>
            <a:t> the 1st run, an initial MOR error of 25% was observed. None could be stastically excluded so the experimental conditions were repeated. From the 6 specimens the initial MOR error reduced to 17%. It was found that specimen 47A could be statistically excluded resulting in a final MOR error reduction to 11%.</a:t>
          </a:r>
          <a:endParaRPr lang="en-GB" sz="1000" b="0" i="0" u="none" strike="noStrike">
            <a:solidFill>
              <a:schemeClr val="dk1"/>
            </a:solidFill>
            <a:effectLst/>
            <a:latin typeface="Aptos Narrow" panose="020B0004020202020204" pitchFamily="34" charset="0"/>
            <a:ea typeface="+mn-ea"/>
            <a:cs typeface="+mn-cs"/>
          </a:endParaRPr>
        </a:p>
      </xdr:txBody>
    </xdr:sp>
    <xdr:clientData/>
  </xdr:twoCellAnchor>
  <xdr:twoCellAnchor>
    <xdr:from>
      <xdr:col>12</xdr:col>
      <xdr:colOff>896470</xdr:colOff>
      <xdr:row>65</xdr:row>
      <xdr:rowOff>20319</xdr:rowOff>
    </xdr:from>
    <xdr:to>
      <xdr:col>17</xdr:col>
      <xdr:colOff>467360</xdr:colOff>
      <xdr:row>69</xdr:row>
      <xdr:rowOff>192100</xdr:rowOff>
    </xdr:to>
    <xdr:sp macro="" textlink="">
      <xdr:nvSpPr>
        <xdr:cNvPr id="13" name="TextBox 12">
          <a:extLst>
            <a:ext uri="{FF2B5EF4-FFF2-40B4-BE49-F238E27FC236}">
              <a16:creationId xmlns:a16="http://schemas.microsoft.com/office/drawing/2014/main" id="{C37D0122-F7DF-1A45-974E-7EB8759E24FE}"/>
            </a:ext>
          </a:extLst>
        </xdr:cNvPr>
        <xdr:cNvSpPr txBox="1"/>
      </xdr:nvSpPr>
      <xdr:spPr>
        <a:xfrm>
          <a:off x="12956134" y="25889899"/>
          <a:ext cx="3498285" cy="98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i="0" u="sng" strike="noStrike">
              <a:solidFill>
                <a:schemeClr val="dk1"/>
              </a:solidFill>
              <a:effectLst/>
              <a:latin typeface="Aptos Narrow" panose="020B0004020202020204" pitchFamily="34" charset="0"/>
              <a:ea typeface="+mn-ea"/>
              <a:cs typeface="+mn-cs"/>
            </a:rPr>
            <a:t>Comment:</a:t>
          </a:r>
        </a:p>
        <a:p>
          <a:r>
            <a:rPr lang="en-GB" sz="1000" b="0" i="0" u="none" strike="noStrike">
              <a:solidFill>
                <a:schemeClr val="dk1"/>
              </a:solidFill>
              <a:effectLst/>
              <a:latin typeface="Aptos Narrow" panose="020B0004020202020204" pitchFamily="34" charset="0"/>
              <a:ea typeface="+mn-ea"/>
              <a:cs typeface="+mn-cs"/>
            </a:rPr>
            <a:t>This</a:t>
          </a:r>
          <a:r>
            <a:rPr lang="en-GB" sz="1000" b="0" i="0" u="none" strike="noStrike" baseline="0">
              <a:solidFill>
                <a:schemeClr val="dk1"/>
              </a:solidFill>
              <a:effectLst/>
              <a:latin typeface="Aptos Narrow" panose="020B0004020202020204" pitchFamily="34" charset="0"/>
              <a:ea typeface="+mn-ea"/>
              <a:cs typeface="+mn-cs"/>
            </a:rPr>
            <a:t> forming condition was replicated as required by the RSM F-test.  The first 6 specimens had an initial MOR error of 11%. No specimen could be statistically excluded which was not an issue since the initial MOR error was less than 15%.</a:t>
          </a:r>
        </a:p>
      </xdr:txBody>
    </xdr:sp>
    <xdr:clientData/>
  </xdr:twoCellAnchor>
  <xdr:twoCellAnchor>
    <xdr:from>
      <xdr:col>13</xdr:col>
      <xdr:colOff>10674</xdr:colOff>
      <xdr:row>74</xdr:row>
      <xdr:rowOff>19296</xdr:rowOff>
    </xdr:from>
    <xdr:to>
      <xdr:col>17</xdr:col>
      <xdr:colOff>467361</xdr:colOff>
      <xdr:row>79</xdr:row>
      <xdr:rowOff>0</xdr:rowOff>
    </xdr:to>
    <xdr:sp macro="" textlink="">
      <xdr:nvSpPr>
        <xdr:cNvPr id="14" name="TextBox 13">
          <a:extLst>
            <a:ext uri="{FF2B5EF4-FFF2-40B4-BE49-F238E27FC236}">
              <a16:creationId xmlns:a16="http://schemas.microsoft.com/office/drawing/2014/main" id="{885E07FB-EAAB-424F-9436-93D9357AB5D4}"/>
            </a:ext>
          </a:extLst>
        </xdr:cNvPr>
        <xdr:cNvSpPr txBox="1"/>
      </xdr:nvSpPr>
      <xdr:spPr>
        <a:xfrm>
          <a:off x="12966808" y="27713834"/>
          <a:ext cx="3487612" cy="10052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000" b="1" i="0" u="sng" strike="noStrike">
              <a:solidFill>
                <a:schemeClr val="dk1"/>
              </a:solidFill>
              <a:effectLst/>
              <a:latin typeface="Aptos Narrow" panose="020B0004020202020204" pitchFamily="34" charset="0"/>
              <a:ea typeface="+mn-ea"/>
              <a:cs typeface="+mn-cs"/>
            </a:rPr>
            <a:t>Comment:</a:t>
          </a:r>
          <a:r>
            <a:rPr lang="en-GB" sz="1000" b="0" i="0" u="none" strike="noStrike">
              <a:solidFill>
                <a:schemeClr val="dk1"/>
              </a:solidFill>
              <a:effectLst/>
              <a:latin typeface="Aptos Narrow" panose="020B0004020202020204" pitchFamily="34" charset="0"/>
              <a:ea typeface="+mn-ea"/>
              <a:cs typeface="+mn-cs"/>
            </a:rPr>
            <a:t> </a:t>
          </a:r>
        </a:p>
        <a:p>
          <a:r>
            <a:rPr lang="en-GB" sz="1000" b="0" i="0" u="none" strike="noStrike">
              <a:solidFill>
                <a:schemeClr val="dk1"/>
              </a:solidFill>
              <a:effectLst/>
              <a:latin typeface="Aptos Narrow" panose="020B0004020202020204" pitchFamily="34" charset="0"/>
              <a:ea typeface="+mn-ea"/>
              <a:cs typeface="+mn-cs"/>
            </a:rPr>
            <a:t>After</a:t>
          </a:r>
          <a:r>
            <a:rPr lang="en-GB" sz="1000" b="0" i="0" u="none" strike="noStrike" baseline="0">
              <a:solidFill>
                <a:schemeClr val="dk1"/>
              </a:solidFill>
              <a:effectLst/>
              <a:latin typeface="Aptos Narrow" panose="020B0004020202020204" pitchFamily="34" charset="0"/>
              <a:ea typeface="+mn-ea"/>
              <a:cs typeface="+mn-cs"/>
            </a:rPr>
            <a:t> the 1st run, an initial MOR error of 16% was observed. No specimens could be stastically excluded so the experimental conditions were repeated. From the 6 specimens the initial MOR error reduced to 14%. There were no outliers which was not an issue since the MOR error was less than 15%.</a:t>
          </a:r>
        </a:p>
      </xdr:txBody>
    </xdr:sp>
    <xdr:clientData/>
  </xdr:twoCellAnchor>
  <xdr:twoCellAnchor>
    <xdr:from>
      <xdr:col>13</xdr:col>
      <xdr:colOff>9648</xdr:colOff>
      <xdr:row>83</xdr:row>
      <xdr:rowOff>20320</xdr:rowOff>
    </xdr:from>
    <xdr:to>
      <xdr:col>17</xdr:col>
      <xdr:colOff>469580</xdr:colOff>
      <xdr:row>90</xdr:row>
      <xdr:rowOff>0</xdr:rowOff>
    </xdr:to>
    <xdr:sp macro="" textlink="">
      <xdr:nvSpPr>
        <xdr:cNvPr id="15" name="TextBox 14">
          <a:extLst>
            <a:ext uri="{FF2B5EF4-FFF2-40B4-BE49-F238E27FC236}">
              <a16:creationId xmlns:a16="http://schemas.microsoft.com/office/drawing/2014/main" id="{0D05B7CF-1538-4140-94FA-4771639F3E2C}"/>
            </a:ext>
          </a:extLst>
        </xdr:cNvPr>
        <xdr:cNvSpPr txBox="1"/>
      </xdr:nvSpPr>
      <xdr:spPr>
        <a:xfrm>
          <a:off x="12965782" y="29550488"/>
          <a:ext cx="3490857" cy="13990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000" b="1" i="0" u="sng" strike="noStrike">
              <a:solidFill>
                <a:schemeClr val="dk1"/>
              </a:solidFill>
              <a:effectLst/>
              <a:latin typeface="Aptos Narrow" panose="020B0004020202020204" pitchFamily="34" charset="0"/>
              <a:ea typeface="+mn-ea"/>
              <a:cs typeface="+mn-cs"/>
            </a:rPr>
            <a:t>Comment:</a:t>
          </a:r>
        </a:p>
        <a:p>
          <a:r>
            <a:rPr lang="en-GB" sz="1000" b="0" i="0" u="none" strike="noStrike">
              <a:solidFill>
                <a:schemeClr val="dk1"/>
              </a:solidFill>
              <a:effectLst/>
              <a:latin typeface="Aptos Narrow" panose="020B0004020202020204" pitchFamily="34" charset="0"/>
              <a:ea typeface="+mn-ea"/>
              <a:cs typeface="+mn-cs"/>
            </a:rPr>
            <a:t>A minimum of 3 specimens</a:t>
          </a:r>
          <a:r>
            <a:rPr lang="en-GB" sz="1000" b="0" i="0" u="none" strike="noStrike" baseline="0">
              <a:solidFill>
                <a:schemeClr val="dk1"/>
              </a:solidFill>
              <a:effectLst/>
              <a:latin typeface="Aptos Narrow" panose="020B0004020202020204" pitchFamily="34" charset="0"/>
              <a:ea typeface="+mn-ea"/>
              <a:cs typeface="+mn-cs"/>
            </a:rPr>
            <a:t> was considered a single run. </a:t>
          </a:r>
          <a:r>
            <a:rPr lang="en-GB" sz="1000" b="0" i="0" u="none" strike="noStrike">
              <a:solidFill>
                <a:schemeClr val="dk1"/>
              </a:solidFill>
              <a:effectLst/>
              <a:latin typeface="Aptos Narrow" panose="020B0004020202020204" pitchFamily="34" charset="0"/>
              <a:ea typeface="+mn-ea"/>
              <a:cs typeface="+mn-cs"/>
            </a:rPr>
            <a:t>This</a:t>
          </a:r>
          <a:r>
            <a:rPr lang="en-GB" sz="1000" b="0" i="0" u="none" strike="noStrike" baseline="0">
              <a:solidFill>
                <a:schemeClr val="dk1"/>
              </a:solidFill>
              <a:effectLst/>
              <a:latin typeface="Aptos Narrow" panose="020B0004020202020204" pitchFamily="34" charset="0"/>
              <a:ea typeface="+mn-ea"/>
              <a:cs typeface="+mn-cs"/>
            </a:rPr>
            <a:t> forming condition was replicated 2 more times as required by the RSM F-test. These first 9 specimens had an initial MOR error of 16%.  It was found that specimen 55C was an outlier which was therefore statistically excluded. This resulted in a final MOR error of 11% which was deemed acceptable as it was less than 15%.</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11BF8-7B5E-F847-BFB9-ACCBCD660F17}">
  <dimension ref="B2:AA68"/>
  <sheetViews>
    <sheetView tabSelected="1" zoomScale="125" workbookViewId="0">
      <selection activeCell="B27" sqref="B27"/>
    </sheetView>
  </sheetViews>
  <sheetFormatPr baseColWidth="10" defaultRowHeight="15" x14ac:dyDescent="0.2"/>
  <cols>
    <col min="1" max="2" width="10.83203125" style="139"/>
    <col min="3" max="3" width="34.33203125" style="139" bestFit="1" customWidth="1"/>
    <col min="4" max="26" width="10.83203125" style="139"/>
    <col min="27" max="27" width="72.5" style="139" customWidth="1"/>
    <col min="28" max="16384" width="10.83203125" style="139"/>
  </cols>
  <sheetData>
    <row r="2" spans="2:2" ht="16" x14ac:dyDescent="0.2">
      <c r="B2" s="140" t="s">
        <v>195</v>
      </c>
    </row>
    <row r="12" spans="2:2" ht="16" x14ac:dyDescent="0.2">
      <c r="B12" s="140" t="s">
        <v>205</v>
      </c>
    </row>
    <row r="27" spans="2:27" ht="16" thickBot="1" x14ac:dyDescent="0.25"/>
    <row r="28" spans="2:27" ht="17" thickBot="1" x14ac:dyDescent="0.25">
      <c r="B28" s="142" t="s">
        <v>202</v>
      </c>
      <c r="C28" s="143"/>
      <c r="D28" s="143"/>
      <c r="E28" s="143"/>
      <c r="F28" s="143"/>
      <c r="G28" s="143"/>
      <c r="H28" s="144"/>
      <c r="I28" s="29"/>
      <c r="J28" s="29"/>
      <c r="K28" s="29"/>
      <c r="L28" s="29"/>
      <c r="M28"/>
      <c r="N28"/>
      <c r="O28"/>
      <c r="P28"/>
      <c r="Q28"/>
      <c r="R28"/>
      <c r="S28"/>
      <c r="T28"/>
      <c r="U28"/>
      <c r="V28" t="s">
        <v>150</v>
      </c>
      <c r="W28"/>
      <c r="X28"/>
      <c r="Y28"/>
      <c r="Z28"/>
      <c r="AA28"/>
    </row>
    <row r="29" spans="2:27" ht="16" x14ac:dyDescent="0.2">
      <c r="B29" s="109"/>
      <c r="C29" s="110"/>
      <c r="D29" s="110"/>
      <c r="E29" s="110"/>
      <c r="F29" s="110"/>
      <c r="G29" s="110"/>
      <c r="H29" s="110"/>
      <c r="I29" s="110"/>
      <c r="J29" s="110"/>
      <c r="K29" s="110"/>
      <c r="L29" s="110"/>
      <c r="M29" s="6"/>
      <c r="N29" s="6"/>
      <c r="O29" s="6"/>
      <c r="P29" s="6"/>
      <c r="Q29" s="6"/>
      <c r="R29" s="6"/>
      <c r="S29" s="6"/>
      <c r="T29" s="6"/>
      <c r="U29" s="6"/>
      <c r="V29" s="6"/>
      <c r="W29" s="6"/>
      <c r="X29" s="6"/>
      <c r="Y29" s="6"/>
      <c r="Z29" s="6"/>
      <c r="AA29" s="103"/>
    </row>
    <row r="30" spans="2:27" ht="16" x14ac:dyDescent="0.2">
      <c r="B30" s="111"/>
      <c r="C30" s="136" t="s">
        <v>1</v>
      </c>
      <c r="D30" s="42" t="s">
        <v>198</v>
      </c>
      <c r="E30" s="18"/>
      <c r="F30" s="42"/>
      <c r="G30" s="42"/>
      <c r="H30" s="42"/>
      <c r="I30" s="42"/>
      <c r="J30" s="42"/>
      <c r="K30" s="42"/>
      <c r="L30" s="42"/>
      <c r="M30" s="18"/>
      <c r="N30" s="18"/>
      <c r="O30" s="18"/>
      <c r="P30" s="18"/>
      <c r="Q30" s="18"/>
      <c r="R30" s="18"/>
      <c r="S30" s="18"/>
      <c r="T30" s="18"/>
      <c r="U30" s="18"/>
      <c r="V30" s="18"/>
      <c r="W30" s="18"/>
      <c r="X30" s="18"/>
      <c r="Y30" s="18"/>
      <c r="Z30" s="18"/>
      <c r="AA30" s="133"/>
    </row>
    <row r="31" spans="2:27" ht="16" x14ac:dyDescent="0.2">
      <c r="B31" s="111"/>
      <c r="C31" s="137" t="s">
        <v>149</v>
      </c>
      <c r="D31" s="29" t="s">
        <v>151</v>
      </c>
      <c r="E31"/>
      <c r="F31" s="29"/>
      <c r="G31" s="29"/>
      <c r="H31" s="29"/>
      <c r="I31" s="29"/>
      <c r="J31" s="29"/>
      <c r="K31" s="29"/>
      <c r="L31" s="29"/>
      <c r="M31"/>
      <c r="N31"/>
      <c r="O31"/>
      <c r="P31"/>
      <c r="Q31"/>
      <c r="R31"/>
      <c r="S31"/>
      <c r="T31"/>
      <c r="U31"/>
      <c r="V31"/>
      <c r="W31"/>
      <c r="X31"/>
      <c r="Y31"/>
      <c r="Z31"/>
      <c r="AA31" s="105"/>
    </row>
    <row r="32" spans="2:27" ht="16" x14ac:dyDescent="0.2">
      <c r="B32" s="111"/>
      <c r="C32" s="137" t="s">
        <v>4</v>
      </c>
      <c r="D32" s="29" t="s">
        <v>157</v>
      </c>
      <c r="E32"/>
      <c r="F32" s="29"/>
      <c r="G32" s="29"/>
      <c r="H32" s="29"/>
      <c r="I32" s="29"/>
      <c r="J32" s="29"/>
      <c r="K32" s="29"/>
      <c r="L32" s="29"/>
      <c r="M32"/>
      <c r="N32"/>
      <c r="O32"/>
      <c r="P32"/>
      <c r="Q32"/>
      <c r="R32"/>
      <c r="S32"/>
      <c r="T32"/>
      <c r="U32"/>
      <c r="V32"/>
      <c r="W32"/>
      <c r="X32"/>
      <c r="Y32"/>
      <c r="Z32"/>
      <c r="AA32" s="105"/>
    </row>
    <row r="33" spans="2:27" ht="16" x14ac:dyDescent="0.2">
      <c r="B33" s="111"/>
      <c r="C33" s="137" t="s">
        <v>21</v>
      </c>
      <c r="D33" s="29" t="s">
        <v>154</v>
      </c>
      <c r="E33"/>
      <c r="F33" s="29"/>
      <c r="G33" s="29"/>
      <c r="H33" s="29"/>
      <c r="I33" s="29"/>
      <c r="J33" s="29"/>
      <c r="K33" s="29"/>
      <c r="L33" s="29"/>
      <c r="M33"/>
      <c r="N33"/>
      <c r="O33"/>
      <c r="P33"/>
      <c r="Q33"/>
      <c r="R33"/>
      <c r="S33"/>
      <c r="T33"/>
      <c r="U33"/>
      <c r="V33"/>
      <c r="W33"/>
      <c r="X33"/>
      <c r="Y33"/>
      <c r="Z33"/>
      <c r="AA33" s="105"/>
    </row>
    <row r="34" spans="2:27" ht="16" x14ac:dyDescent="0.2">
      <c r="B34" s="111"/>
      <c r="C34" s="137" t="s">
        <v>121</v>
      </c>
      <c r="D34" s="29" t="s">
        <v>201</v>
      </c>
      <c r="E34"/>
      <c r="F34" s="29"/>
      <c r="G34" s="29"/>
      <c r="H34" s="29"/>
      <c r="I34" s="29"/>
      <c r="J34" s="29"/>
      <c r="K34" s="29"/>
      <c r="L34" s="29"/>
      <c r="M34"/>
      <c r="N34"/>
      <c r="O34"/>
      <c r="P34"/>
      <c r="Q34"/>
      <c r="R34"/>
      <c r="S34"/>
      <c r="T34"/>
      <c r="U34"/>
      <c r="V34"/>
      <c r="W34"/>
      <c r="X34"/>
      <c r="Y34"/>
      <c r="Z34"/>
      <c r="AA34" s="105"/>
    </row>
    <row r="35" spans="2:27" ht="16" x14ac:dyDescent="0.2">
      <c r="B35" s="111"/>
      <c r="C35" s="137" t="s">
        <v>2</v>
      </c>
      <c r="D35" s="29" t="s">
        <v>158</v>
      </c>
      <c r="E35"/>
      <c r="F35" s="29"/>
      <c r="G35" s="29"/>
      <c r="H35" s="29"/>
      <c r="I35" s="29"/>
      <c r="J35" s="29"/>
      <c r="K35" s="29"/>
      <c r="L35" s="29"/>
      <c r="M35"/>
      <c r="N35"/>
      <c r="O35"/>
      <c r="P35"/>
      <c r="Q35"/>
      <c r="R35"/>
      <c r="S35"/>
      <c r="T35"/>
      <c r="U35"/>
      <c r="V35"/>
      <c r="W35"/>
      <c r="X35"/>
      <c r="Y35"/>
      <c r="Z35" s="1"/>
      <c r="AA35" s="105"/>
    </row>
    <row r="36" spans="2:27" ht="18" x14ac:dyDescent="0.25">
      <c r="B36" s="111"/>
      <c r="C36" s="137" t="s">
        <v>120</v>
      </c>
      <c r="D36" s="29" t="s">
        <v>199</v>
      </c>
      <c r="E36"/>
      <c r="F36" s="29"/>
      <c r="G36" s="29"/>
      <c r="H36" s="29"/>
      <c r="I36" s="29"/>
      <c r="J36" s="29"/>
      <c r="K36" s="29"/>
      <c r="L36" s="29"/>
      <c r="M36"/>
      <c r="N36"/>
      <c r="O36"/>
      <c r="P36"/>
      <c r="Q36"/>
      <c r="R36"/>
      <c r="S36"/>
      <c r="T36"/>
      <c r="U36"/>
      <c r="V36"/>
      <c r="W36"/>
      <c r="X36"/>
      <c r="Y36"/>
      <c r="Z36" s="1"/>
      <c r="AA36" s="105"/>
    </row>
    <row r="37" spans="2:27" ht="18" x14ac:dyDescent="0.25">
      <c r="B37" s="111"/>
      <c r="C37" s="137" t="s">
        <v>122</v>
      </c>
      <c r="D37" s="29" t="s">
        <v>200</v>
      </c>
      <c r="E37"/>
      <c r="F37" s="29"/>
      <c r="G37" s="29"/>
      <c r="H37" s="29"/>
      <c r="I37" s="29"/>
      <c r="J37" s="29"/>
      <c r="K37" s="29"/>
      <c r="L37" s="29"/>
      <c r="M37"/>
      <c r="N37"/>
      <c r="O37"/>
      <c r="P37"/>
      <c r="Q37"/>
      <c r="R37"/>
      <c r="S37"/>
      <c r="T37"/>
      <c r="U37"/>
      <c r="V37"/>
      <c r="W37"/>
      <c r="X37"/>
      <c r="Y37"/>
      <c r="Z37" s="1"/>
      <c r="AA37" s="105"/>
    </row>
    <row r="38" spans="2:27" ht="16" x14ac:dyDescent="0.2">
      <c r="B38" s="111"/>
      <c r="C38" s="137" t="s">
        <v>137</v>
      </c>
      <c r="D38" s="29" t="s">
        <v>160</v>
      </c>
      <c r="E38"/>
      <c r="F38" s="29"/>
      <c r="G38" s="29"/>
      <c r="H38" s="29"/>
      <c r="I38" s="29"/>
      <c r="J38" s="29"/>
      <c r="K38" s="29"/>
      <c r="L38" s="29"/>
      <c r="M38"/>
      <c r="N38"/>
      <c r="O38"/>
      <c r="P38"/>
      <c r="Q38"/>
      <c r="R38"/>
      <c r="S38"/>
      <c r="T38"/>
      <c r="U38"/>
      <c r="V38"/>
      <c r="W38"/>
      <c r="X38"/>
      <c r="Y38"/>
      <c r="Z38" s="1"/>
      <c r="AA38" s="105"/>
    </row>
    <row r="39" spans="2:27" ht="16" x14ac:dyDescent="0.2">
      <c r="B39" s="111"/>
      <c r="C39" s="137" t="s">
        <v>163</v>
      </c>
      <c r="D39" s="29" t="s">
        <v>164</v>
      </c>
      <c r="E39"/>
      <c r="F39" s="29"/>
      <c r="G39" s="29"/>
      <c r="H39" s="29"/>
      <c r="I39" s="29"/>
      <c r="J39" s="29"/>
      <c r="K39" s="29"/>
      <c r="L39" s="29"/>
      <c r="M39"/>
      <c r="N39"/>
      <c r="O39"/>
      <c r="P39"/>
      <c r="Q39"/>
      <c r="R39"/>
      <c r="S39"/>
      <c r="T39"/>
      <c r="U39"/>
      <c r="V39"/>
      <c r="W39"/>
      <c r="X39"/>
      <c r="Y39"/>
      <c r="Z39" s="1"/>
      <c r="AA39" s="105"/>
    </row>
    <row r="40" spans="2:27" ht="16" x14ac:dyDescent="0.2">
      <c r="B40" s="111"/>
      <c r="C40" s="137" t="s">
        <v>165</v>
      </c>
      <c r="D40" s="29" t="s">
        <v>178</v>
      </c>
      <c r="E40"/>
      <c r="F40" s="29"/>
      <c r="G40" s="29"/>
      <c r="H40" s="29"/>
      <c r="I40" s="29"/>
      <c r="J40" s="29"/>
      <c r="K40" s="29"/>
      <c r="L40" s="29"/>
      <c r="M40"/>
      <c r="N40"/>
      <c r="O40"/>
      <c r="P40"/>
      <c r="Q40"/>
      <c r="R40"/>
      <c r="S40"/>
      <c r="T40"/>
      <c r="U40"/>
      <c r="V40"/>
      <c r="W40"/>
      <c r="X40"/>
      <c r="Y40"/>
      <c r="Z40" s="1"/>
      <c r="AA40" s="105"/>
    </row>
    <row r="41" spans="2:27" ht="16" x14ac:dyDescent="0.2">
      <c r="B41" s="111"/>
      <c r="C41" s="137" t="s">
        <v>139</v>
      </c>
      <c r="D41" s="29" t="s">
        <v>166</v>
      </c>
      <c r="E41"/>
      <c r="F41" s="29"/>
      <c r="G41" s="29"/>
      <c r="H41" s="29"/>
      <c r="I41" s="29"/>
      <c r="J41" s="29"/>
      <c r="K41" s="29"/>
      <c r="L41" s="29"/>
      <c r="M41"/>
      <c r="N41"/>
      <c r="O41"/>
      <c r="P41"/>
      <c r="Q41"/>
      <c r="R41"/>
      <c r="S41"/>
      <c r="T41"/>
      <c r="U41"/>
      <c r="V41"/>
      <c r="W41"/>
      <c r="X41"/>
      <c r="Y41"/>
      <c r="Z41" s="1"/>
      <c r="AA41" s="105"/>
    </row>
    <row r="42" spans="2:27" ht="16" x14ac:dyDescent="0.2">
      <c r="B42" s="111"/>
      <c r="C42" s="137" t="s">
        <v>169</v>
      </c>
      <c r="D42" s="29" t="s">
        <v>168</v>
      </c>
      <c r="E42"/>
      <c r="F42" s="29"/>
      <c r="G42" s="29"/>
      <c r="H42" s="29"/>
      <c r="I42" s="29"/>
      <c r="J42" s="29"/>
      <c r="K42" s="29"/>
      <c r="L42" s="29"/>
      <c r="M42"/>
      <c r="N42"/>
      <c r="O42"/>
      <c r="P42"/>
      <c r="Q42"/>
      <c r="R42"/>
      <c r="S42"/>
      <c r="T42"/>
      <c r="U42"/>
      <c r="V42"/>
      <c r="W42"/>
      <c r="X42"/>
      <c r="Y42"/>
      <c r="Z42" s="1"/>
      <c r="AA42" s="105"/>
    </row>
    <row r="43" spans="2:27" ht="16" x14ac:dyDescent="0.2">
      <c r="B43" s="111"/>
      <c r="C43" s="137" t="s">
        <v>170</v>
      </c>
      <c r="D43" s="29" t="s">
        <v>167</v>
      </c>
      <c r="E43"/>
      <c r="F43" s="29"/>
      <c r="G43" s="29"/>
      <c r="H43" s="29"/>
      <c r="I43" s="29"/>
      <c r="J43" s="29"/>
      <c r="K43" s="29"/>
      <c r="L43" s="29"/>
      <c r="M43"/>
      <c r="N43"/>
      <c r="O43"/>
      <c r="P43"/>
      <c r="Q43"/>
      <c r="R43"/>
      <c r="S43"/>
      <c r="T43"/>
      <c r="U43"/>
      <c r="V43"/>
      <c r="W43"/>
      <c r="X43"/>
      <c r="Y43"/>
      <c r="Z43" s="1"/>
      <c r="AA43" s="105"/>
    </row>
    <row r="44" spans="2:27" ht="16" x14ac:dyDescent="0.2">
      <c r="B44" s="111"/>
      <c r="C44" s="137" t="s">
        <v>140</v>
      </c>
      <c r="D44" s="29" t="s">
        <v>171</v>
      </c>
      <c r="E44"/>
      <c r="F44" s="29"/>
      <c r="G44" s="29"/>
      <c r="H44" s="29"/>
      <c r="I44" s="29"/>
      <c r="J44" s="29"/>
      <c r="K44" s="29"/>
      <c r="L44" s="29"/>
      <c r="M44"/>
      <c r="N44"/>
      <c r="O44"/>
      <c r="P44"/>
      <c r="Q44"/>
      <c r="R44"/>
      <c r="S44"/>
      <c r="T44"/>
      <c r="U44"/>
      <c r="V44"/>
      <c r="W44"/>
      <c r="X44"/>
      <c r="Y44"/>
      <c r="Z44" s="1"/>
      <c r="AA44" s="105"/>
    </row>
    <row r="45" spans="2:27" ht="16" x14ac:dyDescent="0.2">
      <c r="B45" s="111"/>
      <c r="C45" s="137" t="s">
        <v>141</v>
      </c>
      <c r="D45" s="29" t="s">
        <v>172</v>
      </c>
      <c r="E45"/>
      <c r="F45" s="29"/>
      <c r="G45" s="29"/>
      <c r="H45" s="29"/>
      <c r="I45" s="29"/>
      <c r="J45" s="29"/>
      <c r="K45" s="29"/>
      <c r="L45" s="29"/>
      <c r="M45"/>
      <c r="N45"/>
      <c r="O45"/>
      <c r="P45"/>
      <c r="Q45"/>
      <c r="R45"/>
      <c r="S45"/>
      <c r="T45"/>
      <c r="U45"/>
      <c r="V45"/>
      <c r="W45"/>
      <c r="X45"/>
      <c r="Y45" s="112"/>
      <c r="Z45" s="1"/>
      <c r="AA45" s="105"/>
    </row>
    <row r="46" spans="2:27" ht="16" x14ac:dyDescent="0.2">
      <c r="B46" s="111"/>
      <c r="C46" s="137" t="s">
        <v>142</v>
      </c>
      <c r="D46" s="29" t="s">
        <v>173</v>
      </c>
      <c r="E46"/>
      <c r="F46" s="29"/>
      <c r="G46" s="29"/>
      <c r="H46" s="29"/>
      <c r="I46" s="29"/>
      <c r="J46" s="29"/>
      <c r="K46" s="29"/>
      <c r="L46" s="29"/>
      <c r="M46"/>
      <c r="N46"/>
      <c r="O46"/>
      <c r="P46"/>
      <c r="Q46"/>
      <c r="R46"/>
      <c r="S46"/>
      <c r="T46"/>
      <c r="U46"/>
      <c r="V46"/>
      <c r="W46"/>
      <c r="X46"/>
      <c r="Y46" s="112"/>
      <c r="Z46" s="1"/>
      <c r="AA46" s="105"/>
    </row>
    <row r="47" spans="2:27" ht="16" x14ac:dyDescent="0.2">
      <c r="B47" s="111"/>
      <c r="C47" s="137" t="s">
        <v>89</v>
      </c>
      <c r="D47" s="29" t="s">
        <v>155</v>
      </c>
      <c r="E47"/>
      <c r="F47" s="29"/>
      <c r="G47" s="29"/>
      <c r="H47" s="29"/>
      <c r="I47" s="29"/>
      <c r="J47" s="29"/>
      <c r="K47" s="29"/>
      <c r="L47" s="29"/>
      <c r="M47"/>
      <c r="N47"/>
      <c r="O47"/>
      <c r="P47"/>
      <c r="Q47"/>
      <c r="R47"/>
      <c r="S47"/>
      <c r="T47"/>
      <c r="U47"/>
      <c r="V47"/>
      <c r="W47"/>
      <c r="X47"/>
      <c r="Y47"/>
      <c r="Z47" s="1"/>
      <c r="AA47" s="105"/>
    </row>
    <row r="48" spans="2:27" ht="16" x14ac:dyDescent="0.2">
      <c r="B48" s="111"/>
      <c r="C48" s="137" t="s">
        <v>176</v>
      </c>
      <c r="D48" s="29" t="s">
        <v>156</v>
      </c>
      <c r="E48"/>
      <c r="F48" s="29"/>
      <c r="G48" s="29"/>
      <c r="H48" s="29"/>
      <c r="I48" s="29"/>
      <c r="J48" s="29"/>
      <c r="K48" s="29"/>
      <c r="L48" s="29"/>
      <c r="M48"/>
      <c r="N48"/>
      <c r="O48"/>
      <c r="P48"/>
      <c r="Q48"/>
      <c r="R48"/>
      <c r="S48"/>
      <c r="T48"/>
      <c r="U48"/>
      <c r="V48"/>
      <c r="W48"/>
      <c r="X48"/>
      <c r="Y48"/>
      <c r="Z48" s="1"/>
      <c r="AA48" s="105"/>
    </row>
    <row r="49" spans="2:27" ht="16" x14ac:dyDescent="0.2">
      <c r="B49" s="111"/>
      <c r="C49" s="137" t="s">
        <v>3</v>
      </c>
      <c r="D49" s="29" t="s">
        <v>177</v>
      </c>
      <c r="E49"/>
      <c r="F49" s="29"/>
      <c r="G49" s="29"/>
      <c r="H49" s="29"/>
      <c r="I49" s="29"/>
      <c r="J49" s="29"/>
      <c r="K49" s="29"/>
      <c r="L49" s="29"/>
      <c r="M49"/>
      <c r="N49"/>
      <c r="O49"/>
      <c r="P49"/>
      <c r="Q49"/>
      <c r="R49"/>
      <c r="S49"/>
      <c r="T49"/>
      <c r="U49"/>
      <c r="V49"/>
      <c r="W49"/>
      <c r="X49"/>
      <c r="Y49"/>
      <c r="Z49" s="1"/>
      <c r="AA49" s="105"/>
    </row>
    <row r="50" spans="2:27" ht="16" x14ac:dyDescent="0.2">
      <c r="B50" s="111"/>
      <c r="C50" s="137" t="s">
        <v>144</v>
      </c>
      <c r="D50" s="29" t="s">
        <v>181</v>
      </c>
      <c r="E50"/>
      <c r="F50" s="29"/>
      <c r="G50" s="29"/>
      <c r="H50" s="29"/>
      <c r="I50" s="29"/>
      <c r="J50" s="29"/>
      <c r="K50" s="29"/>
      <c r="L50" s="29"/>
      <c r="M50"/>
      <c r="N50"/>
      <c r="O50"/>
      <c r="P50"/>
      <c r="Q50"/>
      <c r="R50"/>
      <c r="S50"/>
      <c r="T50"/>
      <c r="U50"/>
      <c r="V50"/>
      <c r="W50"/>
      <c r="X50"/>
      <c r="Y50"/>
      <c r="Z50" s="1"/>
      <c r="AA50" s="105"/>
    </row>
    <row r="51" spans="2:27" ht="16" x14ac:dyDescent="0.2">
      <c r="B51" s="111"/>
      <c r="C51" s="137" t="s">
        <v>145</v>
      </c>
      <c r="D51" s="29" t="s">
        <v>179</v>
      </c>
      <c r="E51"/>
      <c r="F51" s="29"/>
      <c r="G51" s="29"/>
      <c r="H51" s="29"/>
      <c r="I51" s="29"/>
      <c r="J51" s="29"/>
      <c r="K51" s="29"/>
      <c r="L51" s="29"/>
      <c r="M51"/>
      <c r="N51"/>
      <c r="O51"/>
      <c r="P51"/>
      <c r="Q51"/>
      <c r="R51"/>
      <c r="S51"/>
      <c r="T51"/>
      <c r="U51"/>
      <c r="V51"/>
      <c r="W51"/>
      <c r="X51"/>
      <c r="Y51"/>
      <c r="Z51" s="1"/>
      <c r="AA51" s="105"/>
    </row>
    <row r="52" spans="2:27" ht="16" x14ac:dyDescent="0.2">
      <c r="B52" s="111"/>
      <c r="C52" s="137" t="s">
        <v>146</v>
      </c>
      <c r="D52" s="29" t="s">
        <v>182</v>
      </c>
      <c r="E52"/>
      <c r="F52" s="29"/>
      <c r="G52" s="29"/>
      <c r="H52" s="29"/>
      <c r="I52" s="29"/>
      <c r="J52" s="29"/>
      <c r="K52" s="29"/>
      <c r="L52" s="29"/>
      <c r="M52"/>
      <c r="N52"/>
      <c r="O52"/>
      <c r="P52"/>
      <c r="Q52"/>
      <c r="R52"/>
      <c r="S52"/>
      <c r="T52"/>
      <c r="U52"/>
      <c r="V52"/>
      <c r="W52"/>
      <c r="X52"/>
      <c r="Y52"/>
      <c r="Z52" s="1"/>
      <c r="AA52" s="105"/>
    </row>
    <row r="53" spans="2:27" ht="16" x14ac:dyDescent="0.2">
      <c r="B53" s="111"/>
      <c r="C53" s="138" t="s">
        <v>148</v>
      </c>
      <c r="D53" s="36" t="s">
        <v>183</v>
      </c>
      <c r="E53" s="20"/>
      <c r="F53" s="36"/>
      <c r="G53" s="36"/>
      <c r="H53" s="36"/>
      <c r="I53" s="36"/>
      <c r="J53" s="36"/>
      <c r="K53" s="36"/>
      <c r="L53" s="36"/>
      <c r="M53" s="20"/>
      <c r="N53" s="20"/>
      <c r="O53" s="20"/>
      <c r="P53" s="20"/>
      <c r="Q53" s="20"/>
      <c r="R53" s="20"/>
      <c r="S53" s="20"/>
      <c r="T53" s="20"/>
      <c r="U53" s="20"/>
      <c r="V53" s="20"/>
      <c r="W53" s="20"/>
      <c r="X53" s="20"/>
      <c r="Y53" s="20"/>
      <c r="Z53" s="134"/>
      <c r="AA53" s="135"/>
    </row>
    <row r="54" spans="2:27" ht="16" x14ac:dyDescent="0.2">
      <c r="B54" s="28"/>
      <c r="C54" s="29"/>
      <c r="D54" s="29"/>
      <c r="E54" s="29"/>
      <c r="F54" s="29"/>
      <c r="G54" s="29"/>
      <c r="H54" s="29"/>
      <c r="I54" s="29"/>
      <c r="J54" s="29"/>
      <c r="K54" s="29"/>
      <c r="L54" s="29"/>
      <c r="M54"/>
      <c r="N54"/>
      <c r="O54"/>
      <c r="P54"/>
      <c r="Q54"/>
      <c r="R54"/>
      <c r="S54"/>
      <c r="T54"/>
      <c r="U54"/>
      <c r="V54"/>
      <c r="W54"/>
      <c r="X54"/>
      <c r="Y54"/>
      <c r="Z54" s="1"/>
      <c r="AA54" s="105"/>
    </row>
    <row r="55" spans="2:27" ht="16" x14ac:dyDescent="0.2">
      <c r="B55" s="111"/>
      <c r="C55" s="17" t="s">
        <v>193</v>
      </c>
      <c r="D55" s="42"/>
      <c r="E55" s="18"/>
      <c r="F55" s="18"/>
      <c r="G55" s="19"/>
      <c r="H55"/>
      <c r="I55" s="17" t="s">
        <v>194</v>
      </c>
      <c r="J55" s="18"/>
      <c r="K55" s="18"/>
      <c r="L55" s="18"/>
      <c r="M55" s="18"/>
      <c r="N55" s="19"/>
      <c r="O55"/>
      <c r="P55" s="17" t="s">
        <v>197</v>
      </c>
      <c r="Q55" s="18"/>
      <c r="R55" s="18"/>
      <c r="S55" s="18"/>
      <c r="T55" s="18"/>
      <c r="U55" s="18"/>
      <c r="V55" s="19"/>
      <c r="W55"/>
      <c r="X55"/>
      <c r="Y55"/>
      <c r="Z55" s="1"/>
      <c r="AA55" s="105"/>
    </row>
    <row r="56" spans="2:27" ht="16" x14ac:dyDescent="0.2">
      <c r="B56" s="111"/>
      <c r="C56" s="141"/>
      <c r="D56" s="271"/>
      <c r="E56" s="271"/>
      <c r="F56" s="271"/>
      <c r="G56" s="272"/>
      <c r="H56"/>
      <c r="I56" s="141"/>
      <c r="J56" s="271"/>
      <c r="K56" s="271"/>
      <c r="L56" s="271"/>
      <c r="M56" s="271"/>
      <c r="N56" s="272"/>
      <c r="O56"/>
      <c r="P56" s="141"/>
      <c r="Q56"/>
      <c r="R56"/>
      <c r="S56"/>
      <c r="T56"/>
      <c r="U56"/>
      <c r="V56" s="10"/>
      <c r="W56"/>
      <c r="X56"/>
      <c r="Y56"/>
      <c r="Z56" s="1"/>
      <c r="AA56" s="105"/>
    </row>
    <row r="57" spans="2:27" ht="16" x14ac:dyDescent="0.2">
      <c r="B57" s="111"/>
      <c r="C57" s="21"/>
      <c r="D57" s="29"/>
      <c r="E57"/>
      <c r="F57"/>
      <c r="G57" s="10"/>
      <c r="H57"/>
      <c r="I57" s="118"/>
      <c r="J57"/>
      <c r="K57"/>
      <c r="L57"/>
      <c r="M57"/>
      <c r="N57" s="10"/>
      <c r="O57"/>
      <c r="P57" s="118"/>
      <c r="Q57"/>
      <c r="R57"/>
      <c r="S57"/>
      <c r="T57"/>
      <c r="U57"/>
      <c r="V57" s="10"/>
      <c r="W57"/>
      <c r="X57"/>
      <c r="Y57"/>
      <c r="Z57" s="1"/>
      <c r="AA57" s="105"/>
    </row>
    <row r="58" spans="2:27" ht="16" x14ac:dyDescent="0.2">
      <c r="B58" s="111"/>
      <c r="C58" s="118"/>
      <c r="D58"/>
      <c r="E58"/>
      <c r="F58"/>
      <c r="G58" s="10"/>
      <c r="H58"/>
      <c r="I58" s="118"/>
      <c r="J58"/>
      <c r="K58"/>
      <c r="L58"/>
      <c r="M58"/>
      <c r="N58" s="10"/>
      <c r="O58"/>
      <c r="P58" s="118"/>
      <c r="Q58"/>
      <c r="R58"/>
      <c r="S58"/>
      <c r="T58"/>
      <c r="U58"/>
      <c r="V58" s="10"/>
      <c r="W58"/>
      <c r="X58"/>
      <c r="Y58"/>
      <c r="Z58"/>
      <c r="AA58" s="105"/>
    </row>
    <row r="59" spans="2:27" ht="16" x14ac:dyDescent="0.2">
      <c r="B59" s="111"/>
      <c r="C59" s="118"/>
      <c r="D59"/>
      <c r="E59"/>
      <c r="F59"/>
      <c r="G59" s="10"/>
      <c r="H59"/>
      <c r="I59" s="118"/>
      <c r="J59"/>
      <c r="K59"/>
      <c r="L59"/>
      <c r="M59"/>
      <c r="N59" s="10"/>
      <c r="O59"/>
      <c r="P59" s="118"/>
      <c r="Q59"/>
      <c r="R59"/>
      <c r="S59"/>
      <c r="T59"/>
      <c r="U59"/>
      <c r="V59" s="10"/>
      <c r="W59"/>
      <c r="X59"/>
      <c r="Y59"/>
      <c r="Z59"/>
      <c r="AA59" s="105"/>
    </row>
    <row r="60" spans="2:27" ht="16" x14ac:dyDescent="0.2">
      <c r="B60" s="111"/>
      <c r="C60" s="118"/>
      <c r="D60"/>
      <c r="E60"/>
      <c r="F60"/>
      <c r="G60" s="10"/>
      <c r="H60"/>
      <c r="I60" s="118"/>
      <c r="J60"/>
      <c r="K60"/>
      <c r="L60"/>
      <c r="M60"/>
      <c r="N60" s="10"/>
      <c r="O60"/>
      <c r="P60" s="118"/>
      <c r="Q60"/>
      <c r="R60"/>
      <c r="S60"/>
      <c r="T60"/>
      <c r="U60"/>
      <c r="V60" s="10"/>
      <c r="W60"/>
      <c r="X60"/>
      <c r="Y60"/>
      <c r="Z60" s="1"/>
      <c r="AA60" s="105"/>
    </row>
    <row r="61" spans="2:27" ht="16" x14ac:dyDescent="0.2">
      <c r="B61" s="111"/>
      <c r="C61" s="118"/>
      <c r="D61"/>
      <c r="E61"/>
      <c r="F61"/>
      <c r="G61" s="10"/>
      <c r="H61"/>
      <c r="I61" s="118"/>
      <c r="J61"/>
      <c r="K61"/>
      <c r="L61"/>
      <c r="M61"/>
      <c r="N61" s="10"/>
      <c r="O61"/>
      <c r="P61" s="118"/>
      <c r="Q61"/>
      <c r="R61"/>
      <c r="S61"/>
      <c r="T61"/>
      <c r="U61"/>
      <c r="V61" s="10"/>
      <c r="W61"/>
      <c r="X61"/>
      <c r="Y61"/>
      <c r="Z61" s="1"/>
      <c r="AA61" s="105"/>
    </row>
    <row r="62" spans="2:27" ht="16" x14ac:dyDescent="0.2">
      <c r="B62" s="111"/>
      <c r="C62" s="118"/>
      <c r="D62"/>
      <c r="E62"/>
      <c r="F62"/>
      <c r="G62" s="10"/>
      <c r="H62"/>
      <c r="I62" s="118"/>
      <c r="J62"/>
      <c r="K62"/>
      <c r="L62"/>
      <c r="M62"/>
      <c r="N62" s="10"/>
      <c r="O62"/>
      <c r="P62" s="118"/>
      <c r="Q62"/>
      <c r="R62"/>
      <c r="S62"/>
      <c r="T62"/>
      <c r="U62"/>
      <c r="V62" s="10"/>
      <c r="W62"/>
      <c r="X62"/>
      <c r="Y62"/>
      <c r="Z62" s="1"/>
      <c r="AA62" s="105"/>
    </row>
    <row r="63" spans="2:27" ht="16" x14ac:dyDescent="0.2">
      <c r="B63" s="111"/>
      <c r="C63" s="118"/>
      <c r="D63"/>
      <c r="E63"/>
      <c r="F63"/>
      <c r="G63" s="10"/>
      <c r="H63"/>
      <c r="I63" s="118"/>
      <c r="J63"/>
      <c r="K63"/>
      <c r="L63"/>
      <c r="M63"/>
      <c r="N63" s="10"/>
      <c r="O63"/>
      <c r="P63" s="118"/>
      <c r="Q63"/>
      <c r="R63"/>
      <c r="S63"/>
      <c r="T63"/>
      <c r="U63"/>
      <c r="V63" s="10"/>
      <c r="W63"/>
      <c r="X63"/>
      <c r="Y63"/>
      <c r="Z63" s="1"/>
      <c r="AA63" s="105"/>
    </row>
    <row r="64" spans="2:27" ht="16" x14ac:dyDescent="0.2">
      <c r="B64" s="111"/>
      <c r="C64" s="118"/>
      <c r="D64"/>
      <c r="E64"/>
      <c r="F64"/>
      <c r="G64" s="10"/>
      <c r="H64"/>
      <c r="I64" s="118"/>
      <c r="J64"/>
      <c r="K64"/>
      <c r="L64"/>
      <c r="M64"/>
      <c r="N64" s="10"/>
      <c r="O64"/>
      <c r="P64" s="118"/>
      <c r="Q64"/>
      <c r="R64"/>
      <c r="S64"/>
      <c r="T64"/>
      <c r="U64"/>
      <c r="V64" s="10"/>
      <c r="W64"/>
      <c r="X64"/>
      <c r="Y64"/>
      <c r="Z64" s="1"/>
      <c r="AA64" s="105"/>
    </row>
    <row r="65" spans="2:27" ht="16" x14ac:dyDescent="0.2">
      <c r="B65" s="111"/>
      <c r="C65" s="118"/>
      <c r="D65"/>
      <c r="E65"/>
      <c r="F65"/>
      <c r="G65" s="10"/>
      <c r="H65"/>
      <c r="I65" s="118"/>
      <c r="J65"/>
      <c r="K65"/>
      <c r="L65"/>
      <c r="M65"/>
      <c r="N65" s="10"/>
      <c r="O65"/>
      <c r="P65" s="118"/>
      <c r="Q65"/>
      <c r="R65"/>
      <c r="S65"/>
      <c r="T65"/>
      <c r="U65"/>
      <c r="V65" s="10"/>
      <c r="W65"/>
      <c r="X65"/>
      <c r="Y65"/>
      <c r="Z65" s="1"/>
      <c r="AA65" s="105"/>
    </row>
    <row r="66" spans="2:27" ht="16" x14ac:dyDescent="0.2">
      <c r="B66" s="111"/>
      <c r="C66" s="118"/>
      <c r="D66"/>
      <c r="E66"/>
      <c r="F66"/>
      <c r="G66" s="10"/>
      <c r="H66"/>
      <c r="I66" s="118"/>
      <c r="J66"/>
      <c r="K66"/>
      <c r="L66"/>
      <c r="M66"/>
      <c r="N66" s="10"/>
      <c r="O66"/>
      <c r="P66" s="118"/>
      <c r="Q66"/>
      <c r="R66"/>
      <c r="S66"/>
      <c r="T66"/>
      <c r="U66"/>
      <c r="V66" s="10"/>
      <c r="W66"/>
      <c r="X66"/>
      <c r="Y66"/>
      <c r="Z66" s="1"/>
      <c r="AA66" s="105"/>
    </row>
    <row r="67" spans="2:27" ht="16" x14ac:dyDescent="0.2">
      <c r="B67" s="111"/>
      <c r="C67" s="119"/>
      <c r="D67" s="20"/>
      <c r="E67" s="20"/>
      <c r="F67" s="20"/>
      <c r="G67" s="120"/>
      <c r="H67"/>
      <c r="I67" s="119"/>
      <c r="J67" s="20"/>
      <c r="K67" s="20"/>
      <c r="L67" s="20"/>
      <c r="M67" s="20"/>
      <c r="N67" s="120"/>
      <c r="O67"/>
      <c r="P67" s="119"/>
      <c r="Q67" s="20"/>
      <c r="R67" s="20"/>
      <c r="S67" s="20"/>
      <c r="T67" s="20"/>
      <c r="U67" s="20"/>
      <c r="V67" s="120"/>
      <c r="W67"/>
      <c r="X67"/>
      <c r="Y67"/>
      <c r="Z67" s="1"/>
      <c r="AA67" s="105"/>
    </row>
    <row r="68" spans="2:27" ht="17" thickBot="1" x14ac:dyDescent="0.25">
      <c r="B68" s="113"/>
      <c r="C68" s="7"/>
      <c r="D68" s="7"/>
      <c r="E68" s="7"/>
      <c r="F68" s="7"/>
      <c r="G68" s="7"/>
      <c r="H68" s="7"/>
      <c r="I68" s="7"/>
      <c r="J68" s="7"/>
      <c r="K68" s="7"/>
      <c r="L68" s="7"/>
      <c r="M68" s="7"/>
      <c r="N68" s="7"/>
      <c r="O68" s="7"/>
      <c r="P68" s="7"/>
      <c r="Q68" s="7"/>
      <c r="R68" s="7"/>
      <c r="S68" s="7"/>
      <c r="T68" s="7"/>
      <c r="U68" s="7"/>
      <c r="V68" s="7"/>
      <c r="W68" s="7"/>
      <c r="X68" s="7"/>
      <c r="Y68" s="7"/>
      <c r="Z68" s="7"/>
      <c r="AA68" s="10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B102B-3933-954C-AAB5-8B5FF55B6F94}">
  <dimension ref="C1:Z50"/>
  <sheetViews>
    <sheetView topLeftCell="A5" zoomScale="161" zoomScaleNormal="109" workbookViewId="0">
      <selection activeCell="C24" sqref="C24"/>
    </sheetView>
  </sheetViews>
  <sheetFormatPr baseColWidth="10" defaultRowHeight="16" x14ac:dyDescent="0.2"/>
  <cols>
    <col min="2" max="2" width="10.83203125" customWidth="1"/>
    <col min="3" max="3" width="7.5" bestFit="1" customWidth="1"/>
    <col min="4" max="4" width="37.6640625" bestFit="1" customWidth="1"/>
    <col min="5" max="5" width="19" bestFit="1" customWidth="1"/>
    <col min="6" max="6" width="9.33203125" bestFit="1" customWidth="1"/>
    <col min="7" max="7" width="21.5" bestFit="1" customWidth="1"/>
    <col min="8" max="8" width="21.1640625" customWidth="1"/>
    <col min="9" max="9" width="20.83203125" customWidth="1"/>
    <col min="10" max="10" width="18" customWidth="1"/>
    <col min="11" max="11" width="15" bestFit="1" customWidth="1"/>
    <col min="12" max="12" width="16.1640625" customWidth="1"/>
    <col min="13" max="13" width="15.83203125" bestFit="1" customWidth="1"/>
    <col min="14" max="14" width="16" customWidth="1"/>
    <col min="16" max="16" width="16.6640625" customWidth="1"/>
    <col min="18" max="18" width="17.5" customWidth="1"/>
    <col min="19" max="19" width="14.83203125" customWidth="1"/>
    <col min="20" max="22" width="16.1640625" customWidth="1"/>
    <col min="23" max="23" width="12.1640625" customWidth="1"/>
    <col min="24" max="24" width="16.83203125" customWidth="1"/>
    <col min="25" max="25" width="13" customWidth="1"/>
    <col min="26" max="26" width="16.1640625" bestFit="1" customWidth="1"/>
    <col min="27" max="27" width="14.1640625" bestFit="1" customWidth="1"/>
    <col min="28" max="28" width="13" bestFit="1" customWidth="1"/>
    <col min="31" max="31" width="19.33203125" customWidth="1"/>
    <col min="32" max="32" width="16.1640625" customWidth="1"/>
    <col min="33" max="33" width="13" customWidth="1"/>
    <col min="34" max="34" width="6.6640625" customWidth="1"/>
    <col min="35" max="35" width="12.1640625" customWidth="1"/>
    <col min="36" max="36" width="19.33203125" customWidth="1"/>
    <col min="37" max="37" width="10" customWidth="1"/>
    <col min="38" max="38" width="12.83203125" customWidth="1"/>
    <col min="39" max="39" width="9.5" customWidth="1"/>
  </cols>
  <sheetData>
    <row r="1" spans="3:26" ht="17" thickBot="1" x14ac:dyDescent="0.25"/>
    <row r="2" spans="3:26" x14ac:dyDescent="0.2">
      <c r="C2" s="193" t="s">
        <v>204</v>
      </c>
      <c r="D2" s="194"/>
      <c r="E2" s="194"/>
      <c r="F2" s="195"/>
    </row>
    <row r="3" spans="3:26" x14ac:dyDescent="0.2">
      <c r="C3" s="188" t="s">
        <v>130</v>
      </c>
      <c r="D3" s="196"/>
      <c r="E3" s="207" t="s">
        <v>6</v>
      </c>
      <c r="F3" s="208"/>
      <c r="H3" s="4"/>
      <c r="I3" s="12"/>
      <c r="J3" s="12"/>
      <c r="K3" s="4"/>
      <c r="L3" s="4"/>
      <c r="M3" s="12"/>
      <c r="N3" s="12"/>
      <c r="O3" s="5"/>
      <c r="P3" s="5"/>
      <c r="Q3" s="13"/>
      <c r="R3" s="13"/>
      <c r="S3" s="13"/>
      <c r="T3" s="13"/>
      <c r="U3" s="13"/>
      <c r="V3" s="13"/>
      <c r="W3" s="13"/>
      <c r="X3" s="8"/>
      <c r="Y3" s="8"/>
      <c r="Z3" s="8"/>
    </row>
    <row r="4" spans="3:26" x14ac:dyDescent="0.2">
      <c r="C4" s="197"/>
      <c r="D4" s="198"/>
      <c r="E4" s="145" t="s">
        <v>123</v>
      </c>
      <c r="F4" s="146" t="s">
        <v>122</v>
      </c>
      <c r="H4" s="4"/>
      <c r="I4" s="12"/>
      <c r="J4" s="12"/>
      <c r="K4" s="4"/>
      <c r="L4" s="4"/>
      <c r="M4" s="12"/>
      <c r="N4" s="12"/>
      <c r="O4" s="5"/>
      <c r="P4" s="5"/>
      <c r="Q4" s="13"/>
      <c r="R4" s="13"/>
      <c r="S4" s="13"/>
      <c r="T4" s="13"/>
      <c r="U4" s="13"/>
      <c r="V4" s="13"/>
      <c r="W4" s="13"/>
      <c r="X4" s="8"/>
      <c r="Y4" s="8"/>
      <c r="Z4" s="8"/>
    </row>
    <row r="5" spans="3:26" x14ac:dyDescent="0.2">
      <c r="C5" s="199" t="s">
        <v>125</v>
      </c>
      <c r="D5" s="200"/>
      <c r="E5" s="147">
        <v>0</v>
      </c>
      <c r="F5" s="148">
        <v>16</v>
      </c>
      <c r="I5" s="12"/>
      <c r="J5" s="12"/>
      <c r="K5" s="4"/>
      <c r="L5" s="4"/>
      <c r="M5" s="12"/>
      <c r="N5" s="12"/>
      <c r="O5" s="5"/>
      <c r="P5" s="5"/>
      <c r="Q5" s="13"/>
      <c r="R5" s="13"/>
      <c r="S5" s="13"/>
      <c r="T5" s="13"/>
      <c r="U5" s="13"/>
      <c r="V5" s="13"/>
      <c r="W5" s="13"/>
      <c r="X5" s="8"/>
      <c r="Y5" s="8"/>
      <c r="Z5" s="8"/>
    </row>
    <row r="6" spans="3:26" ht="17" thickBot="1" x14ac:dyDescent="0.25">
      <c r="C6" s="201" t="s">
        <v>126</v>
      </c>
      <c r="D6" s="202"/>
      <c r="E6" s="149">
        <v>2400</v>
      </c>
      <c r="F6" s="150">
        <v>16</v>
      </c>
      <c r="I6" s="12"/>
      <c r="J6" s="12"/>
      <c r="K6" s="4"/>
      <c r="L6" s="4"/>
      <c r="M6" s="12"/>
      <c r="N6" s="12"/>
      <c r="O6" s="5"/>
      <c r="P6" s="5"/>
      <c r="Q6" s="13"/>
      <c r="R6" s="13"/>
      <c r="S6" s="13"/>
      <c r="T6" s="13"/>
      <c r="U6" s="13"/>
      <c r="V6" s="13"/>
      <c r="W6" s="13"/>
      <c r="X6" s="8"/>
      <c r="Y6" s="8"/>
      <c r="Z6" s="8"/>
    </row>
    <row r="7" spans="3:26" x14ac:dyDescent="0.2">
      <c r="C7" s="205" t="s">
        <v>129</v>
      </c>
      <c r="D7" s="206"/>
      <c r="E7" s="209" t="s">
        <v>7</v>
      </c>
      <c r="F7" s="210"/>
      <c r="G7" s="12"/>
    </row>
    <row r="8" spans="3:26" x14ac:dyDescent="0.2">
      <c r="C8" s="197"/>
      <c r="D8" s="198"/>
      <c r="E8" s="145" t="s">
        <v>123</v>
      </c>
      <c r="F8" s="151" t="s">
        <v>122</v>
      </c>
    </row>
    <row r="9" spans="3:26" x14ac:dyDescent="0.2">
      <c r="C9" s="203" t="s">
        <v>125</v>
      </c>
      <c r="D9" s="204"/>
      <c r="E9" s="147">
        <v>800</v>
      </c>
      <c r="F9" s="152">
        <v>0</v>
      </c>
    </row>
    <row r="10" spans="3:26" ht="17" thickBot="1" x14ac:dyDescent="0.25">
      <c r="C10" s="201" t="s">
        <v>126</v>
      </c>
      <c r="D10" s="202"/>
      <c r="E10" s="149">
        <v>800</v>
      </c>
      <c r="F10" s="153">
        <v>25</v>
      </c>
    </row>
    <row r="11" spans="3:26" x14ac:dyDescent="0.2">
      <c r="C11" s="211" t="s">
        <v>131</v>
      </c>
      <c r="D11" s="212"/>
      <c r="E11" s="212"/>
      <c r="F11" s="210"/>
      <c r="I11" s="1"/>
      <c r="K11" s="1"/>
      <c r="M11" s="1"/>
      <c r="O11" s="1"/>
      <c r="Q11" s="1"/>
      <c r="S11" s="1"/>
      <c r="U11" s="1"/>
      <c r="W11" s="1"/>
    </row>
    <row r="12" spans="3:26" x14ac:dyDescent="0.2">
      <c r="C12" s="188" t="s">
        <v>132</v>
      </c>
      <c r="D12" s="189"/>
      <c r="E12" s="189"/>
      <c r="F12" s="162">
        <v>62</v>
      </c>
      <c r="I12" s="1"/>
      <c r="K12" s="1"/>
      <c r="M12" s="1"/>
      <c r="O12" s="1"/>
      <c r="Q12" s="1"/>
      <c r="S12" s="1"/>
      <c r="U12" s="1"/>
      <c r="W12" s="1"/>
    </row>
    <row r="13" spans="3:26" x14ac:dyDescent="0.2">
      <c r="C13" s="186" t="s">
        <v>124</v>
      </c>
      <c r="D13" s="187"/>
      <c r="E13" s="187"/>
      <c r="F13" s="162">
        <v>100</v>
      </c>
      <c r="I13" s="1"/>
      <c r="K13" s="1"/>
      <c r="M13" s="1"/>
      <c r="O13" s="1"/>
      <c r="Q13" s="1"/>
      <c r="S13" s="1"/>
      <c r="U13" s="1"/>
      <c r="W13" s="1"/>
    </row>
    <row r="14" spans="3:26" ht="17" thickBot="1" x14ac:dyDescent="0.25">
      <c r="C14" s="184" t="s">
        <v>127</v>
      </c>
      <c r="D14" s="185"/>
      <c r="E14" s="185"/>
      <c r="F14" s="163">
        <v>3500</v>
      </c>
      <c r="I14" s="1"/>
      <c r="K14" s="1"/>
      <c r="M14" s="1"/>
      <c r="O14" s="1"/>
      <c r="Q14" s="1"/>
      <c r="S14" s="1"/>
      <c r="U14" s="1"/>
      <c r="W14" s="1"/>
    </row>
    <row r="15" spans="3:26" x14ac:dyDescent="0.2">
      <c r="C15" s="154" t="s">
        <v>0</v>
      </c>
      <c r="D15" s="161" t="s">
        <v>128</v>
      </c>
      <c r="E15" s="155" t="s">
        <v>123</v>
      </c>
      <c r="F15" s="151" t="s">
        <v>122</v>
      </c>
      <c r="I15" s="1"/>
      <c r="K15" s="1"/>
      <c r="M15" s="1"/>
      <c r="O15" s="1"/>
      <c r="Q15" s="1"/>
      <c r="S15" s="1"/>
      <c r="U15" s="1"/>
      <c r="W15" s="1"/>
    </row>
    <row r="16" spans="3:26" x14ac:dyDescent="0.2">
      <c r="C16" s="213">
        <v>8</v>
      </c>
      <c r="D16" s="158" t="s">
        <v>125</v>
      </c>
      <c r="E16" s="147">
        <v>0</v>
      </c>
      <c r="F16" s="152">
        <f>(3*61/200)*(E16/($C$16^2))</f>
        <v>0</v>
      </c>
      <c r="I16" s="1"/>
      <c r="M16" s="1"/>
      <c r="O16" s="1"/>
      <c r="Q16" s="1"/>
      <c r="S16" s="1"/>
      <c r="U16" s="1"/>
      <c r="W16" s="1"/>
    </row>
    <row r="17" spans="3:23" x14ac:dyDescent="0.2">
      <c r="C17" s="214"/>
      <c r="D17" s="159" t="s">
        <v>126</v>
      </c>
      <c r="E17" s="156">
        <f>($F$14*$F$12)/($F$13)</f>
        <v>2170</v>
      </c>
      <c r="F17" s="157">
        <f>((3)/(2*(C$16)^2))*(E17)</f>
        <v>50.859375</v>
      </c>
      <c r="I17" s="1"/>
      <c r="K17" s="1"/>
      <c r="M17" s="1"/>
      <c r="O17" s="1"/>
      <c r="Q17" s="1"/>
      <c r="S17" s="1"/>
      <c r="U17" s="1"/>
      <c r="W17" s="1"/>
    </row>
    <row r="18" spans="3:23" x14ac:dyDescent="0.2">
      <c r="C18" s="181">
        <v>9</v>
      </c>
      <c r="D18" s="158" t="s">
        <v>125</v>
      </c>
      <c r="E18" s="147">
        <v>0</v>
      </c>
      <c r="F18" s="152">
        <f>(3*61/200)*(E18/($C$18^2))</f>
        <v>0</v>
      </c>
      <c r="I18" s="1"/>
      <c r="K18" s="1"/>
      <c r="M18" s="1"/>
      <c r="O18" s="1"/>
      <c r="Q18" s="1"/>
      <c r="S18" s="1"/>
      <c r="U18" s="1"/>
      <c r="W18" s="1"/>
    </row>
    <row r="19" spans="3:23" x14ac:dyDescent="0.2">
      <c r="C19" s="182"/>
      <c r="D19" s="159" t="s">
        <v>126</v>
      </c>
      <c r="E19" s="156">
        <f>($F$14*$F$12)/($F$13)</f>
        <v>2170</v>
      </c>
      <c r="F19" s="157">
        <f>((3)/(2*(C$18)^2))*(E19)</f>
        <v>40.185185185185183</v>
      </c>
      <c r="I19" s="1"/>
      <c r="K19" s="1"/>
      <c r="M19" s="1"/>
      <c r="O19" s="1"/>
      <c r="Q19" s="1"/>
      <c r="S19" s="1"/>
      <c r="U19" s="1"/>
      <c r="W19" s="1"/>
    </row>
    <row r="20" spans="3:23" x14ac:dyDescent="0.2">
      <c r="C20" s="181">
        <v>10</v>
      </c>
      <c r="D20" s="158" t="s">
        <v>125</v>
      </c>
      <c r="E20" s="147">
        <v>0</v>
      </c>
      <c r="F20" s="152">
        <f>(3*61/200)*(E20/($C$20^2))</f>
        <v>0</v>
      </c>
      <c r="I20" s="1"/>
      <c r="K20" s="1"/>
      <c r="M20" s="1"/>
      <c r="O20" s="1"/>
      <c r="Q20" s="1"/>
      <c r="R20" s="4"/>
      <c r="U20" s="4"/>
      <c r="W20" s="1"/>
    </row>
    <row r="21" spans="3:23" x14ac:dyDescent="0.2">
      <c r="C21" s="182"/>
      <c r="D21" s="159" t="s">
        <v>126</v>
      </c>
      <c r="E21" s="156">
        <f>($F$14*$F$12)/($F$13)</f>
        <v>2170</v>
      </c>
      <c r="F21" s="157">
        <f>((3)/(2*(C$20)^2))*(E21)</f>
        <v>32.549999999999997</v>
      </c>
      <c r="K21" s="1"/>
      <c r="M21" s="1"/>
      <c r="O21" s="1"/>
      <c r="Q21" s="1"/>
      <c r="R21" s="9"/>
      <c r="S21" s="2"/>
      <c r="W21" s="1"/>
    </row>
    <row r="22" spans="3:23" x14ac:dyDescent="0.2">
      <c r="C22" s="181">
        <v>11</v>
      </c>
      <c r="D22" s="158" t="s">
        <v>125</v>
      </c>
      <c r="E22" s="147">
        <v>0</v>
      </c>
      <c r="F22" s="152">
        <f>(3*61/200)*(E22/($C$22^2))</f>
        <v>0</v>
      </c>
      <c r="I22" s="1"/>
      <c r="K22" s="1"/>
      <c r="M22" s="1"/>
      <c r="O22" s="1"/>
      <c r="Q22" s="1"/>
      <c r="S22" s="1"/>
      <c r="U22" s="1"/>
      <c r="W22" s="1"/>
    </row>
    <row r="23" spans="3:23" ht="17" thickBot="1" x14ac:dyDescent="0.25">
      <c r="C23" s="183"/>
      <c r="D23" s="160" t="s">
        <v>126</v>
      </c>
      <c r="E23" s="149">
        <f>($F$14*$F$12)/($F$13)</f>
        <v>2170</v>
      </c>
      <c r="F23" s="153">
        <f>((3)/(2*(C$22)^2))*(E23)</f>
        <v>26.900826446280991</v>
      </c>
      <c r="I23" s="1"/>
      <c r="K23" s="1"/>
      <c r="M23" s="1"/>
      <c r="O23" s="1"/>
      <c r="Q23" s="1"/>
      <c r="S23" s="1"/>
      <c r="U23" s="1"/>
      <c r="W23" s="1"/>
    </row>
    <row r="24" spans="3:23" x14ac:dyDescent="0.2">
      <c r="I24" s="1"/>
      <c r="K24" s="1"/>
      <c r="M24" s="1"/>
      <c r="O24" s="1"/>
      <c r="Q24" s="1"/>
      <c r="S24" s="1"/>
      <c r="U24" s="1"/>
      <c r="W24" s="1"/>
    </row>
    <row r="25" spans="3:23" ht="17" thickBot="1" x14ac:dyDescent="0.25">
      <c r="I25" s="1"/>
      <c r="K25" s="1"/>
      <c r="M25" s="1"/>
      <c r="O25" s="1"/>
      <c r="Q25" s="1"/>
      <c r="S25" s="1"/>
      <c r="U25" s="1"/>
      <c r="W25" s="1"/>
    </row>
    <row r="26" spans="3:23" ht="17" thickBot="1" x14ac:dyDescent="0.25">
      <c r="C26" s="190" t="s">
        <v>196</v>
      </c>
      <c r="D26" s="191"/>
      <c r="E26" s="191"/>
      <c r="F26" s="191"/>
      <c r="G26" s="192"/>
      <c r="I26" s="1"/>
      <c r="K26" s="1"/>
      <c r="M26" s="1"/>
      <c r="O26" s="1"/>
      <c r="Q26" s="1"/>
      <c r="S26" s="1"/>
      <c r="U26" s="1"/>
      <c r="W26" s="1"/>
    </row>
    <row r="27" spans="3:23" x14ac:dyDescent="0.2">
      <c r="C27" s="102"/>
      <c r="D27" s="6"/>
      <c r="E27" s="6"/>
      <c r="F27" s="6"/>
      <c r="G27" s="6"/>
      <c r="H27" s="103"/>
      <c r="I27" s="1"/>
      <c r="K27" s="1"/>
      <c r="M27" s="1"/>
      <c r="O27" s="1"/>
      <c r="Q27" s="1"/>
      <c r="S27" s="1"/>
      <c r="U27" s="1"/>
      <c r="W27" s="1"/>
    </row>
    <row r="28" spans="3:23" x14ac:dyDescent="0.2">
      <c r="C28" s="111"/>
      <c r="G28" s="1"/>
      <c r="H28" s="105"/>
      <c r="I28" s="1"/>
      <c r="M28" s="1"/>
      <c r="O28" s="1"/>
      <c r="Q28" s="1"/>
      <c r="S28" s="1"/>
      <c r="U28" s="1"/>
      <c r="W28" s="1"/>
    </row>
    <row r="29" spans="3:23" x14ac:dyDescent="0.2">
      <c r="C29" s="111"/>
      <c r="G29" s="1"/>
      <c r="H29" s="105"/>
      <c r="I29" s="1"/>
      <c r="M29" s="1"/>
      <c r="O29" s="1"/>
      <c r="Q29" s="1"/>
      <c r="S29" s="1"/>
      <c r="U29" s="1"/>
      <c r="W29" s="1"/>
    </row>
    <row r="30" spans="3:23" x14ac:dyDescent="0.2">
      <c r="C30" s="111"/>
      <c r="G30" s="1"/>
      <c r="H30" s="105"/>
      <c r="I30" s="1"/>
      <c r="M30" s="1"/>
      <c r="O30" s="1"/>
      <c r="Q30" s="1"/>
      <c r="S30" s="1"/>
      <c r="U30" s="1"/>
      <c r="W30" s="1"/>
    </row>
    <row r="31" spans="3:23" x14ac:dyDescent="0.2">
      <c r="C31" s="111"/>
      <c r="G31" s="1"/>
      <c r="H31" s="105"/>
      <c r="I31" s="1"/>
      <c r="M31" s="1"/>
      <c r="O31" s="1"/>
      <c r="Q31" s="1"/>
      <c r="S31" s="1"/>
      <c r="U31" s="1"/>
      <c r="W31" s="1"/>
    </row>
    <row r="32" spans="3:23" x14ac:dyDescent="0.2">
      <c r="C32" s="111"/>
      <c r="G32" s="1"/>
      <c r="H32" s="105"/>
      <c r="I32" s="1"/>
      <c r="M32" s="1"/>
      <c r="O32" s="1"/>
      <c r="Q32" s="1"/>
      <c r="S32" s="1"/>
      <c r="U32" s="1"/>
      <c r="W32" s="1"/>
    </row>
    <row r="33" spans="3:23" x14ac:dyDescent="0.2">
      <c r="C33" s="111"/>
      <c r="G33" s="1"/>
      <c r="H33" s="105"/>
      <c r="I33" s="1"/>
      <c r="M33" s="1"/>
      <c r="O33" s="1"/>
      <c r="Q33" s="1"/>
      <c r="S33" s="1"/>
      <c r="U33" s="1"/>
      <c r="W33" s="1"/>
    </row>
    <row r="34" spans="3:23" x14ac:dyDescent="0.2">
      <c r="C34" s="111"/>
      <c r="G34" s="1"/>
      <c r="H34" s="105"/>
      <c r="I34" s="1"/>
      <c r="M34" s="1"/>
      <c r="O34" s="1"/>
      <c r="Q34" s="1"/>
      <c r="S34" s="1"/>
      <c r="U34" s="1"/>
      <c r="W34" s="1"/>
    </row>
    <row r="35" spans="3:23" x14ac:dyDescent="0.2">
      <c r="C35" s="111"/>
      <c r="G35" s="1"/>
      <c r="H35" s="105"/>
      <c r="I35" s="1"/>
      <c r="M35" s="1"/>
      <c r="O35" s="1"/>
      <c r="Q35" s="1"/>
      <c r="S35" s="1"/>
      <c r="U35" s="1"/>
      <c r="W35" s="1"/>
    </row>
    <row r="36" spans="3:23" x14ac:dyDescent="0.2">
      <c r="C36" s="111"/>
      <c r="G36" s="1"/>
      <c r="H36" s="105"/>
      <c r="I36" s="1"/>
      <c r="M36" s="1"/>
      <c r="O36" s="1"/>
      <c r="Q36" s="1"/>
      <c r="S36" s="1"/>
      <c r="U36" s="1"/>
      <c r="W36" s="1"/>
    </row>
    <row r="37" spans="3:23" x14ac:dyDescent="0.2">
      <c r="C37" s="111"/>
      <c r="G37" s="1"/>
      <c r="H37" s="105"/>
      <c r="I37" s="1"/>
      <c r="M37" s="1"/>
      <c r="O37" s="1"/>
      <c r="Q37" s="1"/>
      <c r="S37" s="1"/>
      <c r="U37" s="1"/>
      <c r="W37" s="1"/>
    </row>
    <row r="38" spans="3:23" x14ac:dyDescent="0.2">
      <c r="C38" s="111"/>
      <c r="H38" s="105"/>
    </row>
    <row r="39" spans="3:23" x14ac:dyDescent="0.2">
      <c r="C39" s="111"/>
      <c r="H39" s="105"/>
    </row>
    <row r="40" spans="3:23" x14ac:dyDescent="0.2">
      <c r="C40" s="111"/>
      <c r="H40" s="105"/>
    </row>
    <row r="41" spans="3:23" x14ac:dyDescent="0.2">
      <c r="C41" s="111"/>
      <c r="H41" s="105"/>
    </row>
    <row r="42" spans="3:23" x14ac:dyDescent="0.2">
      <c r="C42" s="111"/>
      <c r="H42" s="105"/>
    </row>
    <row r="43" spans="3:23" x14ac:dyDescent="0.2">
      <c r="C43" s="111"/>
      <c r="H43" s="105"/>
    </row>
    <row r="44" spans="3:23" x14ac:dyDescent="0.2">
      <c r="C44" s="111"/>
      <c r="H44" s="105"/>
    </row>
    <row r="45" spans="3:23" x14ac:dyDescent="0.2">
      <c r="C45" s="111"/>
      <c r="H45" s="105"/>
    </row>
    <row r="46" spans="3:23" x14ac:dyDescent="0.2">
      <c r="C46" s="111"/>
      <c r="H46" s="105"/>
    </row>
    <row r="47" spans="3:23" x14ac:dyDescent="0.2">
      <c r="C47" s="111"/>
      <c r="H47" s="105"/>
    </row>
    <row r="48" spans="3:23" x14ac:dyDescent="0.2">
      <c r="C48" s="111"/>
      <c r="H48" s="105"/>
    </row>
    <row r="49" spans="3:8" x14ac:dyDescent="0.2">
      <c r="C49" s="111"/>
      <c r="H49" s="105"/>
    </row>
    <row r="50" spans="3:8" ht="17" thickBot="1" x14ac:dyDescent="0.25">
      <c r="C50" s="113"/>
      <c r="D50" s="7"/>
      <c r="E50" s="7"/>
      <c r="F50" s="7"/>
      <c r="G50" s="7"/>
      <c r="H50" s="108"/>
    </row>
  </sheetData>
  <mergeCells count="18">
    <mergeCell ref="C26:G26"/>
    <mergeCell ref="C2:F2"/>
    <mergeCell ref="C3:D4"/>
    <mergeCell ref="C5:D5"/>
    <mergeCell ref="C6:D6"/>
    <mergeCell ref="C9:D9"/>
    <mergeCell ref="C7:D8"/>
    <mergeCell ref="E3:F3"/>
    <mergeCell ref="E7:F7"/>
    <mergeCell ref="C10:D10"/>
    <mergeCell ref="C11:F11"/>
    <mergeCell ref="C16:C17"/>
    <mergeCell ref="C18:C19"/>
    <mergeCell ref="C20:C21"/>
    <mergeCell ref="C22:C23"/>
    <mergeCell ref="C14:E14"/>
    <mergeCell ref="C13:E13"/>
    <mergeCell ref="C12:E12"/>
  </mergeCells>
  <pageMargins left="0.75" right="0.75" top="1" bottom="1" header="0.5" footer="0.5"/>
  <pageSetup paperSize="9" orientation="portrait"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F1B69-08B9-474A-9B20-E9A4F13A3547}">
  <dimension ref="A2:AU101"/>
  <sheetViews>
    <sheetView zoomScale="110" zoomScaleNormal="110" workbookViewId="0">
      <selection activeCell="AA29" sqref="AA29"/>
    </sheetView>
  </sheetViews>
  <sheetFormatPr baseColWidth="10" defaultRowHeight="16" x14ac:dyDescent="0.2"/>
  <cols>
    <col min="2" max="2" width="5.1640625" customWidth="1"/>
    <col min="3" max="3" width="11.5" bestFit="1" customWidth="1"/>
    <col min="4" max="4" width="27.6640625" bestFit="1" customWidth="1"/>
    <col min="5" max="5" width="8.1640625" customWidth="1"/>
    <col min="6" max="6" width="18" customWidth="1"/>
    <col min="7" max="7" width="15.6640625" customWidth="1"/>
    <col min="8" max="8" width="20.1640625" customWidth="1"/>
    <col min="9" max="9" width="12" customWidth="1"/>
    <col min="10" max="10" width="19.1640625" bestFit="1" customWidth="1"/>
    <col min="11" max="11" width="12.1640625" customWidth="1"/>
    <col min="12" max="12" width="6.5" customWidth="1"/>
    <col min="13" max="13" width="11.83203125" customWidth="1"/>
    <col min="14" max="14" width="15.5" bestFit="1" customWidth="1"/>
    <col min="15" max="15" width="15.6640625" bestFit="1" customWidth="1"/>
    <col min="16" max="16" width="4.1640625" bestFit="1" customWidth="1"/>
    <col min="17" max="17" width="7.33203125" customWidth="1"/>
    <col min="18" max="18" width="6.33203125" customWidth="1"/>
    <col min="19" max="19" width="12.1640625" bestFit="1" customWidth="1"/>
    <col min="20" max="20" width="9.83203125" customWidth="1"/>
    <col min="21" max="21" width="16.33203125" bestFit="1" customWidth="1"/>
    <col min="22" max="22" width="13.6640625" bestFit="1" customWidth="1"/>
    <col min="23" max="23" width="6.6640625" bestFit="1" customWidth="1"/>
    <col min="24" max="24" width="10.83203125" customWidth="1"/>
    <col min="25" max="25" width="12.5" bestFit="1" customWidth="1"/>
    <col min="26" max="26" width="17.33203125" customWidth="1"/>
    <col min="27" max="27" width="11.5" customWidth="1"/>
    <col min="28" max="28" width="15" customWidth="1"/>
    <col min="29" max="29" width="7.5" bestFit="1" customWidth="1"/>
    <col min="30" max="30" width="39.6640625" bestFit="1" customWidth="1"/>
    <col min="31" max="31" width="21.5" bestFit="1" customWidth="1"/>
    <col min="32" max="32" width="16" customWidth="1"/>
    <col min="33" max="33" width="16.6640625" customWidth="1"/>
    <col min="34" max="34" width="17.5" customWidth="1"/>
    <col min="35" max="35" width="14.83203125" customWidth="1"/>
    <col min="36" max="38" width="16.1640625" customWidth="1"/>
    <col min="39" max="39" width="12.1640625" customWidth="1"/>
    <col min="40" max="40" width="16.83203125" customWidth="1"/>
    <col min="41" max="41" width="13" customWidth="1"/>
    <col min="42" max="42" width="16.1640625" bestFit="1" customWidth="1"/>
    <col min="43" max="43" width="14.1640625" bestFit="1" customWidth="1"/>
    <col min="45" max="45" width="13" bestFit="1" customWidth="1"/>
    <col min="46" max="46" width="19.33203125" customWidth="1"/>
    <col min="48" max="48" width="16.1640625" customWidth="1"/>
    <col min="49" max="49" width="13" customWidth="1"/>
    <col min="50" max="50" width="6.6640625" customWidth="1"/>
    <col min="51" max="51" width="12.1640625" customWidth="1"/>
    <col min="52" max="52" width="19.33203125" customWidth="1"/>
    <col min="53" max="53" width="10" customWidth="1"/>
    <col min="54" max="54" width="12.83203125" customWidth="1"/>
    <col min="55" max="55" width="9.5" customWidth="1"/>
  </cols>
  <sheetData>
    <row r="2" spans="2:39" ht="17" thickBot="1" x14ac:dyDescent="0.25">
      <c r="V2" s="3"/>
      <c r="W2" s="2"/>
      <c r="X2" s="3"/>
      <c r="Y2" s="16"/>
      <c r="Z2" s="3"/>
    </row>
    <row r="3" spans="2:39" ht="17" thickBot="1" x14ac:dyDescent="0.25">
      <c r="B3" s="116" t="s">
        <v>186</v>
      </c>
      <c r="C3" s="114"/>
      <c r="D3" s="114"/>
      <c r="E3" s="115"/>
      <c r="J3" s="116" t="s">
        <v>185</v>
      </c>
      <c r="K3" s="114"/>
      <c r="L3" s="114"/>
      <c r="M3" s="115"/>
      <c r="Q3" s="29"/>
      <c r="U3" s="116" t="s">
        <v>187</v>
      </c>
      <c r="V3" s="114"/>
      <c r="W3" s="114"/>
      <c r="X3" s="114"/>
      <c r="Y3" s="114"/>
      <c r="Z3" s="115"/>
      <c r="AB3" s="249" t="s">
        <v>203</v>
      </c>
      <c r="AC3" s="250"/>
      <c r="AD3" s="250"/>
      <c r="AE3" s="250"/>
      <c r="AF3" s="250"/>
      <c r="AG3" s="251"/>
    </row>
    <row r="4" spans="2:39" x14ac:dyDescent="0.2">
      <c r="B4" s="252" t="s">
        <v>184</v>
      </c>
      <c r="C4" s="253"/>
      <c r="D4" s="253"/>
      <c r="E4" s="254"/>
      <c r="F4" s="255" t="s">
        <v>192</v>
      </c>
      <c r="G4" s="254"/>
      <c r="H4" s="255" t="s">
        <v>159</v>
      </c>
      <c r="I4" s="256"/>
      <c r="J4" s="102"/>
      <c r="K4" s="11" t="s">
        <v>161</v>
      </c>
      <c r="L4" s="11" t="s">
        <v>161</v>
      </c>
      <c r="M4" s="11" t="s">
        <v>162</v>
      </c>
      <c r="N4" s="6"/>
      <c r="O4" s="6"/>
      <c r="P4" s="6"/>
      <c r="Q4" s="11" t="s">
        <v>87</v>
      </c>
      <c r="R4" s="11" t="s">
        <v>88</v>
      </c>
      <c r="S4" s="6"/>
      <c r="T4" s="15" t="s">
        <v>175</v>
      </c>
      <c r="U4" s="121" t="s">
        <v>188</v>
      </c>
      <c r="V4" s="11" t="s">
        <v>191</v>
      </c>
      <c r="W4" s="11"/>
      <c r="X4" s="11" t="s">
        <v>174</v>
      </c>
      <c r="Y4" s="11" t="s">
        <v>174</v>
      </c>
      <c r="Z4" s="15" t="s">
        <v>174</v>
      </c>
      <c r="AB4" s="102"/>
      <c r="AC4" s="6"/>
      <c r="AD4" s="6"/>
      <c r="AE4" s="6"/>
      <c r="AF4" s="6"/>
      <c r="AG4" s="103"/>
    </row>
    <row r="5" spans="2:39" x14ac:dyDescent="0.2">
      <c r="B5" s="128" t="s">
        <v>1</v>
      </c>
      <c r="C5" s="129" t="s">
        <v>149</v>
      </c>
      <c r="D5" s="129" t="s">
        <v>4</v>
      </c>
      <c r="E5" s="27" t="s">
        <v>21</v>
      </c>
      <c r="F5" s="129" t="s">
        <v>121</v>
      </c>
      <c r="G5" s="130" t="s">
        <v>2</v>
      </c>
      <c r="H5" s="129" t="s">
        <v>120</v>
      </c>
      <c r="I5" s="131" t="s">
        <v>122</v>
      </c>
      <c r="J5" s="129" t="s">
        <v>137</v>
      </c>
      <c r="K5" s="129" t="s">
        <v>133</v>
      </c>
      <c r="L5" s="129" t="s">
        <v>134</v>
      </c>
      <c r="M5" s="129" t="s">
        <v>5</v>
      </c>
      <c r="N5" s="129" t="s">
        <v>169</v>
      </c>
      <c r="O5" s="129" t="s">
        <v>170</v>
      </c>
      <c r="P5" s="129" t="s">
        <v>86</v>
      </c>
      <c r="Q5" s="129" t="s">
        <v>152</v>
      </c>
      <c r="R5" s="129" t="s">
        <v>152</v>
      </c>
      <c r="S5" s="129" t="s">
        <v>89</v>
      </c>
      <c r="T5" s="129" t="s">
        <v>5</v>
      </c>
      <c r="U5" s="132" t="s">
        <v>189</v>
      </c>
      <c r="V5" s="129" t="s">
        <v>190</v>
      </c>
      <c r="W5" s="129" t="s">
        <v>143</v>
      </c>
      <c r="X5" s="129" t="s">
        <v>122</v>
      </c>
      <c r="Y5" s="129" t="s">
        <v>138</v>
      </c>
      <c r="Z5" s="131" t="s">
        <v>147</v>
      </c>
      <c r="AB5" s="104"/>
      <c r="AE5" s="1"/>
      <c r="AG5" s="105"/>
    </row>
    <row r="6" spans="2:39" x14ac:dyDescent="0.2">
      <c r="B6" s="28">
        <v>50</v>
      </c>
      <c r="C6" s="29" t="s">
        <v>83</v>
      </c>
      <c r="D6" s="30">
        <v>0.1</v>
      </c>
      <c r="E6" s="31">
        <v>150</v>
      </c>
      <c r="F6" s="126">
        <v>1242.8800000000001</v>
      </c>
      <c r="G6" s="127">
        <v>7.76</v>
      </c>
      <c r="H6" s="30">
        <f>(F6*62)/100</f>
        <v>770.58560000000011</v>
      </c>
      <c r="I6" s="33">
        <f t="shared" ref="I6:I90" si="0">(3*F6*62)/(2*100*(G6)^2)</f>
        <v>19.195026038898931</v>
      </c>
      <c r="J6" s="29" t="s">
        <v>136</v>
      </c>
      <c r="K6" s="225">
        <f>AVERAGE(I6:I11)</f>
        <v>17.711688567042827</v>
      </c>
      <c r="L6" s="257">
        <f>STDEV(I6:I11)</f>
        <v>2.5773921590869113</v>
      </c>
      <c r="M6" s="259">
        <f>(L6/K6)*100</f>
        <v>14.551927950465521</v>
      </c>
      <c r="N6" s="30"/>
      <c r="O6" s="30"/>
      <c r="P6" s="30"/>
      <c r="Q6" s="30"/>
      <c r="R6" s="30"/>
      <c r="S6" s="69" t="b">
        <f t="shared" ref="S6:S14" si="1">OR(I6&gt;$Q$13,I6&lt;$R$13)</f>
        <v>0</v>
      </c>
      <c r="T6" s="226">
        <f>(STDEV(I6:I7,I9:I14)/AVERAGE(I6:I7,I9:I14))*100</f>
        <v>3.9172906287867746</v>
      </c>
      <c r="U6" s="48"/>
      <c r="V6" s="29"/>
      <c r="W6" s="29"/>
      <c r="X6" s="29"/>
      <c r="Y6" s="29"/>
      <c r="Z6" s="79"/>
      <c r="AB6" s="104"/>
      <c r="AC6" s="267" t="s">
        <v>130</v>
      </c>
      <c r="AD6" s="268"/>
      <c r="AE6" s="221" t="s">
        <v>6</v>
      </c>
      <c r="AF6" s="222"/>
      <c r="AG6" s="105"/>
    </row>
    <row r="7" spans="2:39" x14ac:dyDescent="0.2">
      <c r="B7" s="28"/>
      <c r="C7" s="29" t="s">
        <v>84</v>
      </c>
      <c r="D7" s="30">
        <v>0.1</v>
      </c>
      <c r="E7" s="31">
        <v>150</v>
      </c>
      <c r="F7" s="32">
        <v>2009.23</v>
      </c>
      <c r="G7" s="93">
        <v>9.94</v>
      </c>
      <c r="H7" s="30">
        <f t="shared" ref="H7:H91" si="2">(F7*62)/100</f>
        <v>1245.7226000000001</v>
      </c>
      <c r="I7" s="33">
        <f t="shared" si="0"/>
        <v>18.912103405139089</v>
      </c>
      <c r="J7" s="29" t="s">
        <v>136</v>
      </c>
      <c r="K7" s="226"/>
      <c r="L7" s="257"/>
      <c r="M7" s="259"/>
      <c r="N7" s="30"/>
      <c r="O7" s="30"/>
      <c r="P7" s="30"/>
      <c r="Q7" s="30"/>
      <c r="R7" s="30"/>
      <c r="S7" s="69" t="b">
        <f t="shared" si="1"/>
        <v>0</v>
      </c>
      <c r="T7" s="226"/>
      <c r="U7" s="48"/>
      <c r="V7" s="29"/>
      <c r="W7" s="29"/>
      <c r="X7" s="29"/>
      <c r="Y7" s="29"/>
      <c r="Z7" s="79"/>
      <c r="AB7" s="104"/>
      <c r="AC7" s="265"/>
      <c r="AD7" s="266"/>
      <c r="AE7" s="164" t="s">
        <v>123</v>
      </c>
      <c r="AF7" s="165" t="s">
        <v>122</v>
      </c>
      <c r="AG7" s="105"/>
    </row>
    <row r="8" spans="2:39" x14ac:dyDescent="0.2">
      <c r="B8" s="28"/>
      <c r="C8" s="29" t="s">
        <v>85</v>
      </c>
      <c r="D8" s="30">
        <v>0.1</v>
      </c>
      <c r="E8" s="31">
        <v>150</v>
      </c>
      <c r="F8" s="34">
        <v>1225.1300000000001</v>
      </c>
      <c r="G8" s="94">
        <v>9.52</v>
      </c>
      <c r="H8" s="30">
        <f t="shared" si="2"/>
        <v>759.58060000000012</v>
      </c>
      <c r="I8" s="33">
        <f t="shared" si="0"/>
        <v>12.571619456606175</v>
      </c>
      <c r="J8" s="29" t="s">
        <v>136</v>
      </c>
      <c r="K8" s="226"/>
      <c r="L8" s="257"/>
      <c r="M8" s="259"/>
      <c r="N8" s="30"/>
      <c r="O8" s="30"/>
      <c r="P8" s="30"/>
      <c r="Q8" s="30"/>
      <c r="R8" s="30"/>
      <c r="S8" s="70" t="b">
        <f t="shared" si="1"/>
        <v>1</v>
      </c>
      <c r="T8" s="226"/>
      <c r="U8" s="48"/>
      <c r="V8" s="29"/>
      <c r="W8" s="29"/>
      <c r="X8" s="29"/>
      <c r="Y8" s="29"/>
      <c r="Z8" s="79"/>
      <c r="AB8" s="104"/>
      <c r="AC8" s="269" t="s">
        <v>125</v>
      </c>
      <c r="AD8" s="270"/>
      <c r="AE8" s="166">
        <v>0</v>
      </c>
      <c r="AF8" s="167">
        <v>16</v>
      </c>
      <c r="AG8" s="105"/>
    </row>
    <row r="9" spans="2:39" ht="17" thickBot="1" x14ac:dyDescent="0.25">
      <c r="B9" s="28">
        <v>52</v>
      </c>
      <c r="C9" s="29" t="s">
        <v>102</v>
      </c>
      <c r="D9" s="30">
        <v>0.1</v>
      </c>
      <c r="E9" s="31">
        <v>150</v>
      </c>
      <c r="F9" s="32">
        <v>1721.32</v>
      </c>
      <c r="G9" s="95">
        <v>9.24</v>
      </c>
      <c r="H9" s="30">
        <f>(F9*62)/100</f>
        <v>1067.2184</v>
      </c>
      <c r="I9" s="33">
        <f t="shared" si="0"/>
        <v>18.74997188958228</v>
      </c>
      <c r="J9" s="29" t="s">
        <v>135</v>
      </c>
      <c r="K9" s="226"/>
      <c r="L9" s="257"/>
      <c r="M9" s="259"/>
      <c r="N9" s="30"/>
      <c r="O9" s="30"/>
      <c r="P9" s="30"/>
      <c r="Q9" s="30"/>
      <c r="R9" s="30"/>
      <c r="S9" s="69" t="b">
        <f t="shared" si="1"/>
        <v>0</v>
      </c>
      <c r="T9" s="226"/>
      <c r="U9" s="48"/>
      <c r="V9" s="29"/>
      <c r="W9" s="29"/>
      <c r="X9" s="29"/>
      <c r="Y9" s="29"/>
      <c r="Z9" s="79"/>
      <c r="AB9" s="104"/>
      <c r="AC9" s="217" t="s">
        <v>126</v>
      </c>
      <c r="AD9" s="218"/>
      <c r="AE9" s="168">
        <v>2400</v>
      </c>
      <c r="AF9" s="169">
        <v>16</v>
      </c>
      <c r="AG9" s="105"/>
    </row>
    <row r="10" spans="2:39" x14ac:dyDescent="0.2">
      <c r="B10" s="28"/>
      <c r="C10" s="29" t="s">
        <v>103</v>
      </c>
      <c r="D10" s="30">
        <v>0.1</v>
      </c>
      <c r="E10" s="31">
        <v>150</v>
      </c>
      <c r="F10" s="32">
        <v>1712.86</v>
      </c>
      <c r="G10" s="95">
        <v>9.1199999999999992</v>
      </c>
      <c r="H10" s="30">
        <f t="shared" si="2"/>
        <v>1061.9731999999999</v>
      </c>
      <c r="I10" s="33">
        <f t="shared" si="0"/>
        <v>19.152044379039708</v>
      </c>
      <c r="J10" s="29" t="s">
        <v>135</v>
      </c>
      <c r="K10" s="226"/>
      <c r="L10" s="257"/>
      <c r="M10" s="259"/>
      <c r="N10" s="30"/>
      <c r="O10" s="30"/>
      <c r="P10" s="30"/>
      <c r="Q10" s="30"/>
      <c r="R10" s="30"/>
      <c r="S10" s="69" t="b">
        <f t="shared" si="1"/>
        <v>0</v>
      </c>
      <c r="T10" s="226"/>
      <c r="U10" s="122" t="s">
        <v>39</v>
      </c>
      <c r="V10" s="80">
        <f>AVERAGE(H6,H7,H9:H14)</f>
        <v>986.32544999999982</v>
      </c>
      <c r="W10" s="85">
        <f>STDEV(H6,H7,H9:H14)</f>
        <v>150.54139684165776</v>
      </c>
      <c r="X10" s="80">
        <f>AVERAGE(I6,I7,I9:I14)</f>
        <v>18.514361475362737</v>
      </c>
      <c r="Y10" s="81">
        <f>STDEV(I6,I7,I9:I14)</f>
        <v>0.72526134705409329</v>
      </c>
      <c r="Z10" s="82">
        <f>T6</f>
        <v>3.9172906287867746</v>
      </c>
      <c r="AB10" s="104"/>
      <c r="AC10" s="263" t="s">
        <v>129</v>
      </c>
      <c r="AD10" s="264"/>
      <c r="AE10" s="219" t="s">
        <v>7</v>
      </c>
      <c r="AF10" s="220"/>
      <c r="AG10" s="105"/>
    </row>
    <row r="11" spans="2:39" ht="17" thickBot="1" x14ac:dyDescent="0.25">
      <c r="B11" s="28"/>
      <c r="C11" s="29" t="s">
        <v>104</v>
      </c>
      <c r="D11" s="30">
        <v>0.1</v>
      </c>
      <c r="E11" s="31">
        <v>150</v>
      </c>
      <c r="F11" s="34">
        <v>1630.99</v>
      </c>
      <c r="G11" s="96">
        <v>9.26</v>
      </c>
      <c r="H11" s="30">
        <f t="shared" si="2"/>
        <v>1011.2138</v>
      </c>
      <c r="I11" s="33">
        <f t="shared" si="0"/>
        <v>17.689366232990782</v>
      </c>
      <c r="J11" s="29" t="s">
        <v>135</v>
      </c>
      <c r="K11" s="231"/>
      <c r="L11" s="258"/>
      <c r="M11" s="260"/>
      <c r="N11" s="30"/>
      <c r="O11" s="30"/>
      <c r="P11" s="30"/>
      <c r="Q11" s="30"/>
      <c r="R11" s="30"/>
      <c r="S11" s="69" t="b">
        <f t="shared" si="1"/>
        <v>0</v>
      </c>
      <c r="T11" s="226"/>
      <c r="U11" s="48"/>
      <c r="V11" s="29"/>
      <c r="W11" s="29"/>
      <c r="X11" s="29"/>
      <c r="Y11" s="29"/>
      <c r="Z11" s="79"/>
      <c r="AB11" s="104"/>
      <c r="AC11" s="265"/>
      <c r="AD11" s="266"/>
      <c r="AE11" s="170" t="s">
        <v>123</v>
      </c>
      <c r="AF11" s="171" t="s">
        <v>122</v>
      </c>
      <c r="AG11" s="105"/>
    </row>
    <row r="12" spans="2:39" x14ac:dyDescent="0.2">
      <c r="B12" s="28">
        <v>54</v>
      </c>
      <c r="C12" s="29" t="s">
        <v>105</v>
      </c>
      <c r="D12" s="30">
        <v>0.1</v>
      </c>
      <c r="E12" s="31">
        <v>150</v>
      </c>
      <c r="F12" s="32">
        <v>1311.33</v>
      </c>
      <c r="G12" s="95">
        <v>8.14</v>
      </c>
      <c r="H12" s="30">
        <f t="shared" si="2"/>
        <v>813.02459999999996</v>
      </c>
      <c r="I12" s="33">
        <f t="shared" si="0"/>
        <v>18.405437098926036</v>
      </c>
      <c r="J12" s="29" t="s">
        <v>180</v>
      </c>
      <c r="K12" s="245">
        <f>AVERAGE(I6:I14)</f>
        <v>17.854056806612007</v>
      </c>
      <c r="L12" s="261">
        <f>STDEV(I6:I14)</f>
        <v>2.0938657595475307</v>
      </c>
      <c r="M12" s="57"/>
      <c r="N12" s="30"/>
      <c r="O12" s="30"/>
      <c r="P12" s="30"/>
      <c r="Q12" s="30"/>
      <c r="R12" s="30"/>
      <c r="S12" s="69" t="b">
        <f t="shared" si="1"/>
        <v>0</v>
      </c>
      <c r="T12" s="226"/>
      <c r="U12" s="48"/>
      <c r="V12" s="29"/>
      <c r="W12" s="29"/>
      <c r="X12" s="29"/>
      <c r="Y12" s="29"/>
      <c r="Z12" s="79"/>
      <c r="AB12" s="104"/>
      <c r="AC12" s="269" t="s">
        <v>125</v>
      </c>
      <c r="AD12" s="270"/>
      <c r="AE12" s="172">
        <v>800</v>
      </c>
      <c r="AF12" s="173">
        <v>0</v>
      </c>
      <c r="AG12" s="105"/>
      <c r="AI12" s="1"/>
      <c r="AK12" s="1"/>
      <c r="AM12" s="1"/>
    </row>
    <row r="13" spans="2:39" ht="17" thickBot="1" x14ac:dyDescent="0.25">
      <c r="B13" s="28"/>
      <c r="C13" s="29" t="s">
        <v>106</v>
      </c>
      <c r="D13" s="30">
        <v>0.1</v>
      </c>
      <c r="E13" s="31">
        <v>150</v>
      </c>
      <c r="F13" s="32">
        <v>1522.37</v>
      </c>
      <c r="G13" s="95">
        <v>9.08</v>
      </c>
      <c r="H13" s="30">
        <f t="shared" si="2"/>
        <v>943.86939999999993</v>
      </c>
      <c r="I13" s="33">
        <f t="shared" si="0"/>
        <v>17.17241868656485</v>
      </c>
      <c r="J13" s="29" t="s">
        <v>180</v>
      </c>
      <c r="K13" s="226"/>
      <c r="L13" s="257"/>
      <c r="M13" s="58">
        <f>(L12/K12)*100</f>
        <v>11.727675016537956</v>
      </c>
      <c r="N13" s="30">
        <f>QUARTILE(I6:I14,1)</f>
        <v>17.689366232990782</v>
      </c>
      <c r="O13" s="30">
        <f>QUARTILE(I6:I14,3)</f>
        <v>18.912103405139089</v>
      </c>
      <c r="P13" s="30">
        <f>O13-N13</f>
        <v>1.2227371721483067</v>
      </c>
      <c r="Q13" s="30">
        <f>O13+(1.5*P13)</f>
        <v>20.746209163361549</v>
      </c>
      <c r="R13" s="30">
        <f>N13-(1.5*P13)</f>
        <v>15.855260474768322</v>
      </c>
      <c r="S13" s="69" t="b">
        <f t="shared" si="1"/>
        <v>0</v>
      </c>
      <c r="T13" s="226"/>
      <c r="U13" s="48"/>
      <c r="V13" s="29"/>
      <c r="W13" s="29"/>
      <c r="X13" s="29"/>
      <c r="Y13" s="29"/>
      <c r="Z13" s="79"/>
      <c r="AB13" s="104"/>
      <c r="AC13" s="217" t="s">
        <v>126</v>
      </c>
      <c r="AD13" s="218"/>
      <c r="AE13" s="168">
        <v>800</v>
      </c>
      <c r="AF13" s="174">
        <v>25</v>
      </c>
      <c r="AG13" s="105"/>
      <c r="AI13" s="1"/>
      <c r="AK13" s="1"/>
      <c r="AM13" s="1"/>
    </row>
    <row r="14" spans="2:39" x14ac:dyDescent="0.2">
      <c r="B14" s="35"/>
      <c r="C14" s="36" t="s">
        <v>107</v>
      </c>
      <c r="D14" s="37">
        <v>0.1</v>
      </c>
      <c r="E14" s="38">
        <v>150</v>
      </c>
      <c r="F14" s="39">
        <v>1575.8</v>
      </c>
      <c r="G14" s="97">
        <v>8.82</v>
      </c>
      <c r="H14" s="37">
        <f t="shared" si="2"/>
        <v>976.99599999999987</v>
      </c>
      <c r="I14" s="40">
        <f t="shared" si="0"/>
        <v>18.838524071760222</v>
      </c>
      <c r="J14" s="29" t="s">
        <v>180</v>
      </c>
      <c r="K14" s="227"/>
      <c r="L14" s="262"/>
      <c r="M14" s="59"/>
      <c r="N14" s="37"/>
      <c r="O14" s="37"/>
      <c r="P14" s="37"/>
      <c r="Q14" s="37"/>
      <c r="R14" s="37"/>
      <c r="S14" s="73" t="b">
        <f t="shared" si="1"/>
        <v>0</v>
      </c>
      <c r="T14" s="227"/>
      <c r="U14" s="49"/>
      <c r="V14" s="72"/>
      <c r="W14" s="36"/>
      <c r="X14" s="72"/>
      <c r="Y14" s="36"/>
      <c r="Z14" s="83"/>
      <c r="AB14" s="104"/>
      <c r="AC14" s="255" t="s">
        <v>131</v>
      </c>
      <c r="AD14" s="253"/>
      <c r="AE14" s="253"/>
      <c r="AF14" s="254"/>
      <c r="AG14" s="105"/>
      <c r="AI14" s="1"/>
      <c r="AK14" s="1"/>
      <c r="AM14" s="1"/>
    </row>
    <row r="15" spans="2:39" ht="18" x14ac:dyDescent="0.25">
      <c r="B15" s="41">
        <v>36</v>
      </c>
      <c r="C15" s="42" t="s">
        <v>32</v>
      </c>
      <c r="D15" s="43">
        <v>0.1</v>
      </c>
      <c r="E15" s="44">
        <v>212</v>
      </c>
      <c r="F15" s="45">
        <v>1648.27</v>
      </c>
      <c r="G15" s="98">
        <v>9.56</v>
      </c>
      <c r="H15" s="43">
        <f t="shared" si="2"/>
        <v>1021.9274</v>
      </c>
      <c r="I15" s="46">
        <f t="shared" si="0"/>
        <v>16.772411853784071</v>
      </c>
      <c r="J15" s="47"/>
      <c r="K15" s="225">
        <f>AVERAGE(I15:I17)</f>
        <v>16.057285253136225</v>
      </c>
      <c r="L15" s="228">
        <f>STDEV(I15:I17)</f>
        <v>1.0187004438295559</v>
      </c>
      <c r="M15" s="60"/>
      <c r="N15" s="43"/>
      <c r="O15" s="43"/>
      <c r="P15" s="43"/>
      <c r="Q15" s="43"/>
      <c r="R15" s="43"/>
      <c r="S15" s="68" t="b">
        <f>OR(I15&gt;$Q$16,I15&lt;$R$16)</f>
        <v>0</v>
      </c>
      <c r="T15" s="225">
        <f>M16</f>
        <v>6.3441635853768537</v>
      </c>
      <c r="U15" s="48"/>
      <c r="V15" s="71"/>
      <c r="W15" s="29"/>
      <c r="X15" s="71"/>
      <c r="Y15" s="29"/>
      <c r="Z15" s="84"/>
      <c r="AB15" s="104"/>
      <c r="AC15" s="17" t="s">
        <v>153</v>
      </c>
      <c r="AE15" s="24"/>
      <c r="AF15" s="19">
        <v>62</v>
      </c>
      <c r="AG15" s="105"/>
      <c r="AI15" s="1"/>
      <c r="AK15" s="1"/>
      <c r="AM15" s="1"/>
    </row>
    <row r="16" spans="2:39" x14ac:dyDescent="0.2">
      <c r="B16" s="28"/>
      <c r="C16" s="29" t="s">
        <v>33</v>
      </c>
      <c r="D16" s="30">
        <v>0.1</v>
      </c>
      <c r="E16" s="31">
        <v>212</v>
      </c>
      <c r="F16" s="32">
        <v>1548.53</v>
      </c>
      <c r="G16" s="95">
        <v>9.34</v>
      </c>
      <c r="H16" s="30">
        <f t="shared" si="2"/>
        <v>960.08860000000004</v>
      </c>
      <c r="I16" s="33">
        <f t="shared" si="0"/>
        <v>16.508545823035551</v>
      </c>
      <c r="J16" s="48"/>
      <c r="K16" s="226"/>
      <c r="L16" s="229"/>
      <c r="M16" s="61">
        <f>(L15/K15)*100</f>
        <v>6.3441635853768537</v>
      </c>
      <c r="N16" s="30">
        <f>QUARTILE(I15:I17,1)</f>
        <v>15.699721952812297</v>
      </c>
      <c r="O16" s="30">
        <f>QUARTILE(I15:I17,3)</f>
        <v>16.640478838409813</v>
      </c>
      <c r="P16" s="30">
        <f>O16-N16</f>
        <v>0.94075688559751569</v>
      </c>
      <c r="Q16" s="30">
        <f>O16+(1.5*P16)</f>
        <v>18.051614166806086</v>
      </c>
      <c r="R16" s="30">
        <f>N16-(1.5*P16)</f>
        <v>14.288586624416023</v>
      </c>
      <c r="S16" s="69" t="b">
        <f>OR(I16&gt;$Q$16,I16&lt;$R$16)</f>
        <v>0</v>
      </c>
      <c r="T16" s="226"/>
      <c r="U16" s="122" t="s">
        <v>37</v>
      </c>
      <c r="V16" s="80">
        <f>AVERAGE(H15:H17)</f>
        <v>918.09393333333344</v>
      </c>
      <c r="W16" s="85">
        <f>STDEV(H15:H17)</f>
        <v>130.02073930713146</v>
      </c>
      <c r="X16" s="80">
        <f>AVERAGE(I15:I17)</f>
        <v>16.057285253136225</v>
      </c>
      <c r="Y16" s="81">
        <f>STDEV(I15:I17)</f>
        <v>1.0187004438295559</v>
      </c>
      <c r="Z16" s="82">
        <f>T15</f>
        <v>6.3441635853768537</v>
      </c>
      <c r="AB16" s="104"/>
      <c r="AC16" s="21" t="s">
        <v>124</v>
      </c>
      <c r="AE16" s="4"/>
      <c r="AF16" s="10">
        <v>100</v>
      </c>
      <c r="AG16" s="105"/>
      <c r="AI16" s="1"/>
      <c r="AK16" s="1"/>
      <c r="AM16" s="1"/>
    </row>
    <row r="17" spans="1:47" ht="17" thickBot="1" x14ac:dyDescent="0.25">
      <c r="B17" s="35"/>
      <c r="C17" s="36" t="s">
        <v>34</v>
      </c>
      <c r="D17" s="37">
        <v>0.1</v>
      </c>
      <c r="E17" s="38">
        <v>212</v>
      </c>
      <c r="F17" s="39">
        <v>1245.5899999999999</v>
      </c>
      <c r="G17" s="97">
        <v>8.82</v>
      </c>
      <c r="H17" s="37">
        <f t="shared" si="2"/>
        <v>772.26580000000001</v>
      </c>
      <c r="I17" s="40">
        <f t="shared" si="0"/>
        <v>14.890898082589043</v>
      </c>
      <c r="J17" s="49"/>
      <c r="K17" s="227"/>
      <c r="L17" s="230"/>
      <c r="M17" s="62"/>
      <c r="N17" s="37"/>
      <c r="O17" s="37"/>
      <c r="P17" s="37"/>
      <c r="Q17" s="37"/>
      <c r="R17" s="37"/>
      <c r="S17" s="73" t="b">
        <f>OR(I17&gt;$Q$16,I17&lt;$R$16)</f>
        <v>0</v>
      </c>
      <c r="T17" s="227"/>
      <c r="U17" s="48"/>
      <c r="V17" s="71"/>
      <c r="W17" s="29"/>
      <c r="X17" s="71"/>
      <c r="Y17" s="29"/>
      <c r="Z17" s="84"/>
      <c r="AB17" s="104"/>
      <c r="AC17" s="26" t="s">
        <v>127</v>
      </c>
      <c r="AE17" s="25"/>
      <c r="AF17" s="23">
        <v>3500</v>
      </c>
      <c r="AG17" s="105"/>
      <c r="AI17" s="1"/>
      <c r="AK17" s="1"/>
      <c r="AM17" s="1"/>
    </row>
    <row r="18" spans="1:47" x14ac:dyDescent="0.2">
      <c r="B18" s="41">
        <v>31</v>
      </c>
      <c r="C18" s="42" t="s">
        <v>8</v>
      </c>
      <c r="D18" s="43">
        <v>0.1</v>
      </c>
      <c r="E18" s="44">
        <v>300</v>
      </c>
      <c r="F18" s="45">
        <v>1467.87</v>
      </c>
      <c r="G18" s="99">
        <v>9.7799999999999994</v>
      </c>
      <c r="H18" s="43">
        <f t="shared" si="2"/>
        <v>910.07939999999985</v>
      </c>
      <c r="I18" s="46">
        <f t="shared" si="0"/>
        <v>14.272262787459072</v>
      </c>
      <c r="J18" s="29"/>
      <c r="K18" s="225">
        <f>AVERAGE(I18:I20)</f>
        <v>14.069945068121731</v>
      </c>
      <c r="L18" s="228">
        <f>STDEV(I18:I20)</f>
        <v>0.55964085768395455</v>
      </c>
      <c r="M18" s="60"/>
      <c r="N18" s="43"/>
      <c r="O18" s="43"/>
      <c r="P18" s="43"/>
      <c r="Q18" s="43"/>
      <c r="R18" s="43"/>
      <c r="S18" s="68" t="b">
        <f>OR(I18&gt;$Q$19,I18&lt;$R$19)</f>
        <v>0</v>
      </c>
      <c r="T18" s="225">
        <f>M19</f>
        <v>3.9775624920663879</v>
      </c>
      <c r="U18" s="47"/>
      <c r="V18" s="74"/>
      <c r="W18" s="42"/>
      <c r="X18" s="74"/>
      <c r="Y18" s="42"/>
      <c r="Z18" s="86"/>
      <c r="AB18" s="104"/>
      <c r="AC18" s="176" t="s">
        <v>0</v>
      </c>
      <c r="AD18" s="11" t="s">
        <v>128</v>
      </c>
      <c r="AE18" s="177" t="s">
        <v>123</v>
      </c>
      <c r="AF18" s="175" t="s">
        <v>122</v>
      </c>
      <c r="AG18" s="105"/>
      <c r="AI18" s="1"/>
      <c r="AK18" s="1"/>
      <c r="AM18" s="1"/>
    </row>
    <row r="19" spans="1:47" x14ac:dyDescent="0.2">
      <c r="B19" s="28"/>
      <c r="C19" s="29" t="s">
        <v>9</v>
      </c>
      <c r="D19" s="30">
        <v>0.1</v>
      </c>
      <c r="E19" s="31">
        <v>300</v>
      </c>
      <c r="F19" s="32">
        <v>1538.82</v>
      </c>
      <c r="G19" s="93">
        <v>10.32</v>
      </c>
      <c r="H19" s="30">
        <f t="shared" si="2"/>
        <v>954.0684</v>
      </c>
      <c r="I19" s="33">
        <f t="shared" si="0"/>
        <v>13.437280286641426</v>
      </c>
      <c r="J19" s="29"/>
      <c r="K19" s="226"/>
      <c r="L19" s="229"/>
      <c r="M19" s="63">
        <f>(L18/K18)*100</f>
        <v>3.9775624920663879</v>
      </c>
      <c r="N19" s="30">
        <f>QUARTILE(I18:I20,1)</f>
        <v>13.854771537050249</v>
      </c>
      <c r="O19" s="30">
        <f>QUARTILE(I18:I20,3)</f>
        <v>14.386277458861883</v>
      </c>
      <c r="P19" s="30">
        <f>O19-N19</f>
        <v>0.53150592181163425</v>
      </c>
      <c r="Q19" s="30">
        <f>O19+(1.5*P19)</f>
        <v>15.183536341579334</v>
      </c>
      <c r="R19" s="30">
        <f>N19-(1.5*P19)</f>
        <v>13.057512654332797</v>
      </c>
      <c r="S19" s="69" t="b">
        <f>OR(I19&gt;$Q$19,I19&lt;$R$19)</f>
        <v>0</v>
      </c>
      <c r="T19" s="226"/>
      <c r="U19" s="122" t="s">
        <v>69</v>
      </c>
      <c r="V19" s="80">
        <f>AVERAGE(H18:H20)</f>
        <v>925.8191333333333</v>
      </c>
      <c r="W19" s="85">
        <f>STDEV(H18:H20)</f>
        <v>24.517837351881923</v>
      </c>
      <c r="X19" s="80">
        <f>AVERAGE(I18:I20)</f>
        <v>14.069945068121731</v>
      </c>
      <c r="Y19" s="81">
        <f>STDEV(I18:I20)</f>
        <v>0.55964085768395455</v>
      </c>
      <c r="Z19" s="82">
        <f>T18</f>
        <v>3.9775624920663879</v>
      </c>
      <c r="AB19" s="104"/>
      <c r="AC19" s="223">
        <v>8</v>
      </c>
      <c r="AD19" s="18" t="s">
        <v>125</v>
      </c>
      <c r="AE19" s="172">
        <v>0</v>
      </c>
      <c r="AF19" s="173">
        <f>(3*61/200)*(AE19/($AC$19^2))</f>
        <v>0</v>
      </c>
      <c r="AG19" s="105"/>
      <c r="AI19" s="1"/>
      <c r="AK19" s="1"/>
      <c r="AM19" s="1"/>
    </row>
    <row r="20" spans="1:47" x14ac:dyDescent="0.2">
      <c r="B20" s="35"/>
      <c r="C20" s="36" t="s">
        <v>10</v>
      </c>
      <c r="D20" s="37">
        <v>0.1</v>
      </c>
      <c r="E20" s="38">
        <v>300</v>
      </c>
      <c r="F20" s="39">
        <v>1473.08</v>
      </c>
      <c r="G20" s="100">
        <v>9.7200000000000006</v>
      </c>
      <c r="H20" s="37">
        <f t="shared" si="2"/>
        <v>913.30959999999993</v>
      </c>
      <c r="I20" s="40">
        <f t="shared" si="0"/>
        <v>14.500292130264695</v>
      </c>
      <c r="J20" s="29"/>
      <c r="K20" s="227"/>
      <c r="L20" s="230"/>
      <c r="M20" s="62"/>
      <c r="N20" s="37"/>
      <c r="O20" s="37"/>
      <c r="P20" s="37"/>
      <c r="Q20" s="37"/>
      <c r="R20" s="37"/>
      <c r="S20" s="73" t="b">
        <f>OR(I20&gt;$Q$19,I20&lt;$R$19)</f>
        <v>0</v>
      </c>
      <c r="T20" s="227"/>
      <c r="U20" s="49"/>
      <c r="V20" s="72"/>
      <c r="W20" s="36"/>
      <c r="X20" s="72"/>
      <c r="Y20" s="36"/>
      <c r="Z20" s="83"/>
      <c r="AB20" s="104"/>
      <c r="AC20" s="224"/>
      <c r="AD20" s="20" t="s">
        <v>126</v>
      </c>
      <c r="AE20" s="178">
        <f>($AF$17*$AF$15)/($AF$16)</f>
        <v>2170</v>
      </c>
      <c r="AF20" s="179">
        <f>((3)/(2*(AC$19)^2))*(AE20)</f>
        <v>50.859375</v>
      </c>
      <c r="AG20" s="105"/>
      <c r="AI20" s="1"/>
      <c r="AK20" s="1"/>
      <c r="AM20" s="1"/>
    </row>
    <row r="21" spans="1:47" x14ac:dyDescent="0.2">
      <c r="B21" s="41">
        <v>46</v>
      </c>
      <c r="C21" s="42" t="s">
        <v>50</v>
      </c>
      <c r="D21" s="43">
        <v>0.1</v>
      </c>
      <c r="E21" s="44">
        <v>425</v>
      </c>
      <c r="F21" s="45">
        <v>1023.66</v>
      </c>
      <c r="G21" s="99">
        <v>9.14</v>
      </c>
      <c r="H21" s="43">
        <f t="shared" si="2"/>
        <v>634.66919999999993</v>
      </c>
      <c r="I21" s="46">
        <f t="shared" si="0"/>
        <v>11.395838620247163</v>
      </c>
      <c r="J21" s="47"/>
      <c r="K21" s="225">
        <f>AVERAGE(I21:I23)</f>
        <v>13.814169244035126</v>
      </c>
      <c r="L21" s="228">
        <f>STDEV(I22:I23)</f>
        <v>0.17558315278622647</v>
      </c>
      <c r="M21" s="60"/>
      <c r="N21" s="43"/>
      <c r="O21" s="43"/>
      <c r="P21" s="43"/>
      <c r="Q21" s="43"/>
      <c r="R21" s="43"/>
      <c r="S21" s="68" t="b">
        <f>OR(I21&gt;$Q$22,I21&lt;$R$22)</f>
        <v>0</v>
      </c>
      <c r="T21" s="225">
        <f>M22</f>
        <v>1.2710366413242129</v>
      </c>
      <c r="U21" s="48"/>
      <c r="V21" s="71"/>
      <c r="W21" s="29"/>
      <c r="X21" s="71"/>
      <c r="Y21" s="29"/>
      <c r="Z21" s="84"/>
      <c r="AB21" s="104"/>
      <c r="AC21" s="215">
        <v>9</v>
      </c>
      <c r="AD21" t="s">
        <v>125</v>
      </c>
      <c r="AE21" s="166">
        <v>0</v>
      </c>
      <c r="AF21" s="180">
        <f>(3*61/200)*(AE21/($AC$21^2))</f>
        <v>0</v>
      </c>
      <c r="AG21" s="105"/>
      <c r="AI21" s="1"/>
      <c r="AK21" s="1"/>
      <c r="AM21" s="1"/>
    </row>
    <row r="22" spans="1:47" x14ac:dyDescent="0.2">
      <c r="A22" s="3"/>
      <c r="B22" s="28"/>
      <c r="C22" s="29" t="s">
        <v>51</v>
      </c>
      <c r="D22" s="30">
        <v>0.1</v>
      </c>
      <c r="E22" s="31">
        <v>425</v>
      </c>
      <c r="F22" s="32">
        <v>1488.79</v>
      </c>
      <c r="G22" s="93">
        <v>9.64</v>
      </c>
      <c r="H22" s="30">
        <f t="shared" si="2"/>
        <v>923.0498</v>
      </c>
      <c r="I22" s="33">
        <f t="shared" si="0"/>
        <v>14.899178517931853</v>
      </c>
      <c r="J22" s="48"/>
      <c r="K22" s="226"/>
      <c r="L22" s="229"/>
      <c r="M22" s="22">
        <f>(L21/K21)*100</f>
        <v>1.2710366413242129</v>
      </c>
      <c r="N22" s="30">
        <f>QUARTILE(I21:I23,1)</f>
        <v>13.147508569089508</v>
      </c>
      <c r="O22" s="30">
        <f>QUARTILE(I21:I23,3)</f>
        <v>15.023334555929107</v>
      </c>
      <c r="P22" s="30">
        <f>O22-N22</f>
        <v>1.8758259868395992</v>
      </c>
      <c r="Q22" s="30">
        <f>O22+(1.5*P22)</f>
        <v>17.837073536188505</v>
      </c>
      <c r="R22" s="30">
        <f>N22-(1.5*P22)</f>
        <v>10.333769588830108</v>
      </c>
      <c r="S22" s="69" t="b">
        <f>OR(I22&gt;$Q$22,I22&lt;$R$22)</f>
        <v>0</v>
      </c>
      <c r="T22" s="226"/>
      <c r="U22" s="122" t="s">
        <v>53</v>
      </c>
      <c r="V22" s="80">
        <f>AVERAGE(H21:H23)</f>
        <v>839.88713333333328</v>
      </c>
      <c r="W22" s="85">
        <f>STDEV(H21:H23)</f>
        <v>178.78467133648019</v>
      </c>
      <c r="X22" s="80">
        <f>AVERAGE(I21:I23)</f>
        <v>13.814169244035126</v>
      </c>
      <c r="Y22" s="81">
        <f>STDEV(I21:I23)</f>
        <v>2.0980126253753149</v>
      </c>
      <c r="Z22" s="82">
        <f>T21</f>
        <v>1.2710366413242129</v>
      </c>
      <c r="AB22" s="104"/>
      <c r="AC22" s="216"/>
      <c r="AD22" s="20" t="s">
        <v>126</v>
      </c>
      <c r="AE22" s="178">
        <f>($AF$17*$AF$15)/($AF$16)</f>
        <v>2170</v>
      </c>
      <c r="AF22" s="179">
        <f>((3)/(2*(AC$21)^2))*(AE22)</f>
        <v>40.185185185185183</v>
      </c>
      <c r="AG22" s="105"/>
      <c r="AI22" s="1"/>
      <c r="AK22" s="1"/>
      <c r="AM22" s="1"/>
    </row>
    <row r="23" spans="1:47" x14ac:dyDescent="0.2">
      <c r="B23" s="35"/>
      <c r="C23" s="36" t="s">
        <v>52</v>
      </c>
      <c r="D23" s="37">
        <v>0.1</v>
      </c>
      <c r="E23" s="38">
        <v>425</v>
      </c>
      <c r="F23" s="39">
        <v>1551.52</v>
      </c>
      <c r="G23" s="100">
        <v>9.76</v>
      </c>
      <c r="H23" s="37">
        <f t="shared" si="2"/>
        <v>961.94240000000002</v>
      </c>
      <c r="I23" s="40">
        <f t="shared" si="0"/>
        <v>15.147490593926362</v>
      </c>
      <c r="J23" s="49"/>
      <c r="K23" s="227"/>
      <c r="L23" s="230"/>
      <c r="M23" s="62"/>
      <c r="N23" s="37"/>
      <c r="O23" s="37"/>
      <c r="P23" s="37"/>
      <c r="Q23" s="37"/>
      <c r="R23" s="37"/>
      <c r="S23" s="73" t="b">
        <f>OR(I23&gt;$Q$22,I23&lt;$R$22)</f>
        <v>0</v>
      </c>
      <c r="T23" s="227"/>
      <c r="U23" s="48"/>
      <c r="V23" s="71"/>
      <c r="W23" s="29"/>
      <c r="X23" s="71"/>
      <c r="Y23" s="29"/>
      <c r="Z23" s="84"/>
      <c r="AB23" s="104"/>
      <c r="AC23" s="215">
        <v>10</v>
      </c>
      <c r="AD23" t="s">
        <v>125</v>
      </c>
      <c r="AE23" s="166">
        <v>0</v>
      </c>
      <c r="AF23" s="180">
        <f>(3*61/200)*(AE23/($AC$23^2))</f>
        <v>0</v>
      </c>
      <c r="AG23" s="105"/>
      <c r="AI23" s="1"/>
      <c r="AK23" s="1"/>
      <c r="AM23" s="1"/>
    </row>
    <row r="24" spans="1:47" x14ac:dyDescent="0.2">
      <c r="B24" s="41">
        <v>34</v>
      </c>
      <c r="C24" s="42" t="s">
        <v>20</v>
      </c>
      <c r="D24" s="43">
        <v>0.1</v>
      </c>
      <c r="E24" s="44">
        <v>600</v>
      </c>
      <c r="F24" s="45">
        <v>1792.25</v>
      </c>
      <c r="G24" s="99">
        <v>9.6199999999999992</v>
      </c>
      <c r="H24" s="43">
        <f t="shared" si="2"/>
        <v>1111.1949999999999</v>
      </c>
      <c r="I24" s="46">
        <f t="shared" si="0"/>
        <v>18.010733226429696</v>
      </c>
      <c r="J24" s="29" t="s">
        <v>136</v>
      </c>
      <c r="K24" s="225">
        <f>AVERAGE(I24:I29)</f>
        <v>12.273006292909388</v>
      </c>
      <c r="L24" s="228">
        <f>STDEV(I24:I29)</f>
        <v>4.4331357675611551</v>
      </c>
      <c r="M24" s="240">
        <f>(L24/K24)*100</f>
        <v>36.121025784223356</v>
      </c>
      <c r="N24" s="43"/>
      <c r="O24" s="43"/>
      <c r="P24" s="43"/>
      <c r="Q24" s="43"/>
      <c r="R24" s="43"/>
      <c r="S24" s="75" t="b">
        <f t="shared" ref="S24:S29" si="3">OR(I24&gt;$Q$29,I24&lt;$R$29)</f>
        <v>1</v>
      </c>
      <c r="T24" s="225">
        <f>(STDEV(I25:I28)/AVERAGE(I25:I28))*100</f>
        <v>9.8537991605631099</v>
      </c>
      <c r="U24" s="47"/>
      <c r="V24" s="42"/>
      <c r="W24" s="42"/>
      <c r="X24" s="42"/>
      <c r="Y24" s="42"/>
      <c r="Z24" s="78"/>
      <c r="AB24" s="104"/>
      <c r="AC24" s="216"/>
      <c r="AD24" s="20" t="s">
        <v>126</v>
      </c>
      <c r="AE24" s="178">
        <f>($AF$17*$AF$15)/($AF$16)</f>
        <v>2170</v>
      </c>
      <c r="AF24" s="179">
        <f>((3)/(2*(AC$23)^2))*(AE24)</f>
        <v>32.549999999999997</v>
      </c>
      <c r="AG24" s="105"/>
      <c r="AI24" s="1"/>
      <c r="AK24" s="1"/>
      <c r="AM24" s="1"/>
    </row>
    <row r="25" spans="1:47" x14ac:dyDescent="0.2">
      <c r="B25" s="28"/>
      <c r="C25" s="29" t="s">
        <v>24</v>
      </c>
      <c r="D25" s="30">
        <v>0.1</v>
      </c>
      <c r="E25" s="31">
        <v>600</v>
      </c>
      <c r="F25" s="32">
        <v>1419.28</v>
      </c>
      <c r="G25" s="93">
        <v>9.64</v>
      </c>
      <c r="H25" s="30">
        <f t="shared" si="2"/>
        <v>879.95360000000005</v>
      </c>
      <c r="I25" s="33">
        <f t="shared" si="0"/>
        <v>14.203551936089253</v>
      </c>
      <c r="J25" s="29" t="s">
        <v>136</v>
      </c>
      <c r="K25" s="226"/>
      <c r="L25" s="229"/>
      <c r="M25" s="241"/>
      <c r="N25" s="30"/>
      <c r="O25" s="30"/>
      <c r="P25" s="30"/>
      <c r="Q25" s="30"/>
      <c r="R25" s="30"/>
      <c r="S25" s="69" t="b">
        <f t="shared" si="3"/>
        <v>0</v>
      </c>
      <c r="T25" s="226"/>
      <c r="U25" s="48"/>
      <c r="V25" s="71"/>
      <c r="W25" s="71"/>
      <c r="X25" s="71"/>
      <c r="Y25" s="71"/>
      <c r="Z25" s="84"/>
      <c r="AB25" s="104"/>
      <c r="AC25" s="215">
        <v>11</v>
      </c>
      <c r="AD25" s="18" t="s">
        <v>125</v>
      </c>
      <c r="AE25" s="172">
        <v>0</v>
      </c>
      <c r="AF25" s="173">
        <f>(3*61/200)*(AE25/($AC$25^2))</f>
        <v>0</v>
      </c>
      <c r="AG25" s="105"/>
      <c r="AI25" s="1"/>
      <c r="AK25" s="1"/>
      <c r="AM25" s="1"/>
    </row>
    <row r="26" spans="1:47" x14ac:dyDescent="0.2">
      <c r="B26" s="28"/>
      <c r="C26" s="29" t="s">
        <v>25</v>
      </c>
      <c r="D26" s="30">
        <v>0.1</v>
      </c>
      <c r="E26" s="31">
        <v>600</v>
      </c>
      <c r="F26" s="34">
        <v>1430.56</v>
      </c>
      <c r="G26" s="94">
        <v>9.9600000000000009</v>
      </c>
      <c r="H26" s="30">
        <f t="shared" si="2"/>
        <v>886.94720000000007</v>
      </c>
      <c r="I26" s="33">
        <f t="shared" si="0"/>
        <v>13.411283688972757</v>
      </c>
      <c r="J26" s="29" t="s">
        <v>136</v>
      </c>
      <c r="K26" s="226"/>
      <c r="L26" s="229"/>
      <c r="M26" s="241"/>
      <c r="N26" s="30"/>
      <c r="O26" s="30"/>
      <c r="P26" s="30"/>
      <c r="Q26" s="30"/>
      <c r="R26" s="30"/>
      <c r="S26" s="69" t="b">
        <f t="shared" si="3"/>
        <v>0</v>
      </c>
      <c r="T26" s="226"/>
      <c r="U26" s="122" t="s">
        <v>38</v>
      </c>
      <c r="V26" s="80">
        <f>AVERAGE(H25:H28)</f>
        <v>796.3931</v>
      </c>
      <c r="W26" s="85">
        <f>STDEV(H25:H28)</f>
        <v>113.91957727502304</v>
      </c>
      <c r="X26" s="80">
        <f>AVERAGE(I25:I28)</f>
        <v>12.768756256435443</v>
      </c>
      <c r="Y26" s="81">
        <f>STDEV(I25:I28)</f>
        <v>1.2582075968109852</v>
      </c>
      <c r="Z26" s="82">
        <f>T24</f>
        <v>9.8537991605631099</v>
      </c>
      <c r="AB26" s="104"/>
      <c r="AC26" s="216"/>
      <c r="AD26" s="20" t="s">
        <v>126</v>
      </c>
      <c r="AE26" s="178">
        <f>($AF$17*$AF$15)/($AF$16)</f>
        <v>2170</v>
      </c>
      <c r="AF26" s="179">
        <f>((3)/(2*(AC$25)^2))*(AE26)</f>
        <v>26.900826446280991</v>
      </c>
      <c r="AG26" s="105"/>
      <c r="AI26" s="1"/>
      <c r="AK26" s="1"/>
      <c r="AM26" s="1"/>
    </row>
    <row r="27" spans="1:47" ht="17" thickBot="1" x14ac:dyDescent="0.25">
      <c r="B27" s="28">
        <v>52</v>
      </c>
      <c r="C27" s="29" t="s">
        <v>99</v>
      </c>
      <c r="D27" s="30">
        <v>0.1</v>
      </c>
      <c r="E27" s="31">
        <v>600</v>
      </c>
      <c r="F27" s="32">
        <v>1038.3699999999999</v>
      </c>
      <c r="G27" s="95">
        <v>8.98</v>
      </c>
      <c r="H27" s="30">
        <f t="shared" si="2"/>
        <v>643.7894</v>
      </c>
      <c r="I27" s="33">
        <f t="shared" si="0"/>
        <v>11.975189855209047</v>
      </c>
      <c r="J27" s="29" t="s">
        <v>135</v>
      </c>
      <c r="K27" s="226"/>
      <c r="L27" s="229"/>
      <c r="M27" s="241"/>
      <c r="N27" s="30"/>
      <c r="O27" s="30"/>
      <c r="P27" s="30"/>
      <c r="Q27" s="30"/>
      <c r="R27" s="30"/>
      <c r="S27" s="69" t="b">
        <f t="shared" si="3"/>
        <v>0</v>
      </c>
      <c r="T27" s="226"/>
      <c r="U27" s="48"/>
      <c r="V27" s="71"/>
      <c r="W27" s="29"/>
      <c r="X27" s="71"/>
      <c r="Y27" s="29"/>
      <c r="Z27" s="84"/>
      <c r="AB27" s="106"/>
      <c r="AC27" s="7"/>
      <c r="AD27" s="107"/>
      <c r="AE27" s="107"/>
      <c r="AF27" s="7"/>
      <c r="AG27" s="108"/>
      <c r="AI27" s="1"/>
      <c r="AK27" s="1"/>
      <c r="AM27" s="1"/>
    </row>
    <row r="28" spans="1:47" x14ac:dyDescent="0.2">
      <c r="B28" s="28"/>
      <c r="C28" s="29" t="s">
        <v>100</v>
      </c>
      <c r="D28" s="30">
        <v>0.1</v>
      </c>
      <c r="E28" s="31">
        <v>600</v>
      </c>
      <c r="F28" s="32">
        <v>1249.81</v>
      </c>
      <c r="G28" s="95">
        <v>10.06</v>
      </c>
      <c r="H28" s="30">
        <f t="shared" si="2"/>
        <v>774.88220000000001</v>
      </c>
      <c r="I28" s="33">
        <f t="shared" si="0"/>
        <v>11.484999545470714</v>
      </c>
      <c r="J28" s="29" t="s">
        <v>135</v>
      </c>
      <c r="K28" s="226"/>
      <c r="L28" s="229"/>
      <c r="M28" s="241"/>
      <c r="N28" s="30"/>
      <c r="O28" s="30"/>
      <c r="P28" s="30"/>
      <c r="Q28" s="30"/>
      <c r="R28" s="30"/>
      <c r="S28" s="69" t="b">
        <f t="shared" si="3"/>
        <v>0</v>
      </c>
      <c r="T28" s="226"/>
      <c r="U28" s="48"/>
      <c r="V28" s="29"/>
      <c r="W28" s="29"/>
      <c r="X28" s="29"/>
      <c r="Y28" s="29"/>
      <c r="Z28" s="79"/>
      <c r="AI28" s="1"/>
      <c r="AK28" s="1"/>
      <c r="AM28" s="1"/>
    </row>
    <row r="29" spans="1:47" ht="17" thickBot="1" x14ac:dyDescent="0.25">
      <c r="B29" s="35"/>
      <c r="C29" s="36" t="s">
        <v>101</v>
      </c>
      <c r="D29" s="37">
        <v>0.1</v>
      </c>
      <c r="E29" s="38">
        <v>600</v>
      </c>
      <c r="F29" s="39">
        <v>401.79300000000001</v>
      </c>
      <c r="G29" s="97">
        <v>9.06</v>
      </c>
      <c r="H29" s="37">
        <f t="shared" si="2"/>
        <v>249.11166</v>
      </c>
      <c r="I29" s="40">
        <f t="shared" si="0"/>
        <v>4.5522795052848553</v>
      </c>
      <c r="J29" s="29" t="s">
        <v>135</v>
      </c>
      <c r="K29" s="227"/>
      <c r="L29" s="230"/>
      <c r="M29" s="248"/>
      <c r="N29" s="30">
        <f>QUARTILE(I24:I29,1)</f>
        <v>11.607547122905297</v>
      </c>
      <c r="O29" s="30">
        <f>QUARTILE(I24:I29,3)</f>
        <v>14.005484874310129</v>
      </c>
      <c r="P29" s="30">
        <f>O29-N29</f>
        <v>2.3979377514048323</v>
      </c>
      <c r="Q29" s="30">
        <f>O29+(1.5*P29)</f>
        <v>17.60239150141738</v>
      </c>
      <c r="R29" s="30">
        <f>N29-(1.5*P29)</f>
        <v>8.0106404957980484</v>
      </c>
      <c r="S29" s="76" t="b">
        <f t="shared" si="3"/>
        <v>1</v>
      </c>
      <c r="T29" s="227"/>
      <c r="U29" s="49"/>
      <c r="V29" s="72"/>
      <c r="W29" s="36"/>
      <c r="X29" s="72"/>
      <c r="Y29" s="36"/>
      <c r="Z29" s="83"/>
      <c r="AI29" s="1"/>
      <c r="AK29" s="1"/>
      <c r="AM29" s="1"/>
    </row>
    <row r="30" spans="1:47" ht="17" thickBot="1" x14ac:dyDescent="0.25">
      <c r="B30" s="41">
        <v>49</v>
      </c>
      <c r="C30" s="42" t="s">
        <v>77</v>
      </c>
      <c r="D30" s="43">
        <v>0.2</v>
      </c>
      <c r="E30" s="44">
        <v>150</v>
      </c>
      <c r="F30" s="45">
        <v>1476.35</v>
      </c>
      <c r="G30" s="98">
        <v>9.98</v>
      </c>
      <c r="H30" s="43">
        <f t="shared" si="2"/>
        <v>915.33699999999999</v>
      </c>
      <c r="I30" s="46">
        <f t="shared" si="0"/>
        <v>13.785140421122804</v>
      </c>
      <c r="J30" s="47"/>
      <c r="K30" s="225">
        <f>AVERAGE(I30:I32)</f>
        <v>15.927348527776635</v>
      </c>
      <c r="L30" s="228">
        <f>STDEV(I30:I32)</f>
        <v>2.0589377584977688</v>
      </c>
      <c r="M30" s="60"/>
      <c r="N30" s="43"/>
      <c r="O30" s="43"/>
      <c r="P30" s="43"/>
      <c r="Q30" s="43"/>
      <c r="R30" s="43"/>
      <c r="S30" s="68" t="b">
        <f>OR(I30&gt;$Q$31,I30&lt;$R$31)</f>
        <v>0</v>
      </c>
      <c r="T30" s="233">
        <f>M31</f>
        <v>12.927059107842506</v>
      </c>
      <c r="U30" s="48"/>
      <c r="V30" s="71"/>
      <c r="W30" s="29"/>
      <c r="X30" s="71"/>
      <c r="Y30" s="29"/>
      <c r="Z30" s="84"/>
      <c r="AB30" s="14" t="s">
        <v>206</v>
      </c>
      <c r="AC30" s="6"/>
      <c r="AD30" s="103"/>
      <c r="AI30" s="1"/>
      <c r="AK30" s="1"/>
      <c r="AM30" s="1"/>
    </row>
    <row r="31" spans="1:47" x14ac:dyDescent="0.2">
      <c r="B31" s="28"/>
      <c r="C31" s="29" t="s">
        <v>78</v>
      </c>
      <c r="D31" s="30">
        <v>0.2</v>
      </c>
      <c r="E31" s="31">
        <v>150</v>
      </c>
      <c r="F31" s="32">
        <v>1510.72</v>
      </c>
      <c r="G31" s="95">
        <v>9.34</v>
      </c>
      <c r="H31" s="30">
        <f t="shared" si="2"/>
        <v>936.64639999999997</v>
      </c>
      <c r="I31" s="33">
        <f t="shared" si="0"/>
        <v>16.105461531759971</v>
      </c>
      <c r="J31" s="48"/>
      <c r="K31" s="226"/>
      <c r="L31" s="229"/>
      <c r="M31" s="58">
        <f>(L30/K30)*100</f>
        <v>12.927059107842506</v>
      </c>
      <c r="N31" s="30">
        <f>QUARTILE(I30:I32,1)</f>
        <v>14.945300976441388</v>
      </c>
      <c r="O31" s="30">
        <f>QUARTILE(I30:I32,3)</f>
        <v>16.99845258110355</v>
      </c>
      <c r="P31" s="30">
        <f>O31-N31</f>
        <v>2.0531516046621618</v>
      </c>
      <c r="Q31" s="30">
        <f>O31+(1.5*P31)</f>
        <v>20.078179988096792</v>
      </c>
      <c r="R31" s="30">
        <f>N31-(1.5*P31)</f>
        <v>11.865573569448145</v>
      </c>
      <c r="S31" s="69" t="b">
        <f>OR(I31&gt;$Q$31,I31&lt;$R$31)</f>
        <v>0</v>
      </c>
      <c r="T31" s="234"/>
      <c r="U31" s="122" t="s">
        <v>29</v>
      </c>
      <c r="V31" s="80">
        <f>AVERAGE(H30:H32)</f>
        <v>986.80439999999999</v>
      </c>
      <c r="W31" s="85">
        <f>STDEV(H30:H32)</f>
        <v>105.86820143914785</v>
      </c>
      <c r="X31" s="80">
        <f>AVERAGE(I30:I32)</f>
        <v>15.927348527776635</v>
      </c>
      <c r="Y31" s="81">
        <f>STDEV(I30:I32)</f>
        <v>2.0589377584977688</v>
      </c>
      <c r="Z31" s="87">
        <f>T30</f>
        <v>12.927059107842506</v>
      </c>
      <c r="AB31" s="102"/>
      <c r="AC31" s="6"/>
      <c r="AD31" s="6"/>
      <c r="AE31" s="6"/>
      <c r="AF31" s="6"/>
      <c r="AG31" s="6"/>
      <c r="AH31" s="6"/>
      <c r="AI31" s="117"/>
      <c r="AJ31" s="6"/>
      <c r="AK31" s="117"/>
      <c r="AL31" s="6"/>
      <c r="AM31" s="117"/>
      <c r="AN31" s="6"/>
      <c r="AO31" s="6"/>
      <c r="AP31" s="6"/>
      <c r="AQ31" s="6"/>
      <c r="AR31" s="6"/>
      <c r="AS31" s="6"/>
      <c r="AT31" s="6"/>
      <c r="AU31" s="103"/>
    </row>
    <row r="32" spans="1:47" x14ac:dyDescent="0.2">
      <c r="B32" s="35"/>
      <c r="C32" s="36" t="s">
        <v>79</v>
      </c>
      <c r="D32" s="37">
        <v>0.2</v>
      </c>
      <c r="E32" s="38">
        <v>150</v>
      </c>
      <c r="F32" s="39">
        <v>1787.79</v>
      </c>
      <c r="G32" s="97">
        <v>9.64</v>
      </c>
      <c r="H32" s="37">
        <f t="shared" si="2"/>
        <v>1108.4297999999999</v>
      </c>
      <c r="I32" s="40">
        <f t="shared" si="0"/>
        <v>17.891443630447132</v>
      </c>
      <c r="J32" s="49"/>
      <c r="K32" s="227"/>
      <c r="L32" s="230"/>
      <c r="M32" s="62"/>
      <c r="N32" s="37"/>
      <c r="O32" s="37"/>
      <c r="P32" s="37"/>
      <c r="Q32" s="37"/>
      <c r="R32" s="37"/>
      <c r="S32" s="73" t="b">
        <f>OR(I32&gt;$Q$31,I32&lt;$R$31)</f>
        <v>0</v>
      </c>
      <c r="T32" s="235"/>
      <c r="U32" s="48"/>
      <c r="V32" s="71"/>
      <c r="W32" s="29"/>
      <c r="X32" s="71"/>
      <c r="Y32" s="29"/>
      <c r="Z32" s="84"/>
      <c r="AB32" s="111"/>
      <c r="AI32" s="1"/>
      <c r="AK32" s="1"/>
      <c r="AM32" s="1"/>
      <c r="AU32" s="105"/>
    </row>
    <row r="33" spans="1:47" x14ac:dyDescent="0.2">
      <c r="B33" s="41">
        <v>49</v>
      </c>
      <c r="C33" s="42" t="s">
        <v>74</v>
      </c>
      <c r="D33" s="43">
        <v>0.2</v>
      </c>
      <c r="E33" s="44">
        <v>212</v>
      </c>
      <c r="F33" s="45">
        <v>1205.3499999999999</v>
      </c>
      <c r="G33" s="99">
        <v>9.16</v>
      </c>
      <c r="H33" s="43">
        <f t="shared" si="2"/>
        <v>747.31700000000001</v>
      </c>
      <c r="I33" s="46">
        <f t="shared" si="0"/>
        <v>13.359960479395889</v>
      </c>
      <c r="J33" s="29"/>
      <c r="K33" s="225">
        <f>AVERAGE(I33:I35)</f>
        <v>14.944839901345697</v>
      </c>
      <c r="L33" s="228">
        <f>STDEV(I33:I35)</f>
        <v>1.8824156285238103</v>
      </c>
      <c r="M33" s="60"/>
      <c r="N33" s="43"/>
      <c r="O33" s="43"/>
      <c r="P33" s="43"/>
      <c r="Q33" s="43"/>
      <c r="R33" s="43"/>
      <c r="S33" s="68" t="b">
        <f>OR(I33&gt;$Q$34,I33&lt;$R$34)</f>
        <v>0</v>
      </c>
      <c r="T33" s="233">
        <f>M34</f>
        <v>12.595756401206476</v>
      </c>
      <c r="U33" s="47"/>
      <c r="V33" s="74"/>
      <c r="W33" s="42"/>
      <c r="X33" s="74"/>
      <c r="Y33" s="42"/>
      <c r="Z33" s="86"/>
      <c r="AB33" s="111"/>
      <c r="AH33" s="9"/>
      <c r="AI33" s="2"/>
      <c r="AM33" s="1"/>
      <c r="AU33" s="105"/>
    </row>
    <row r="34" spans="1:47" x14ac:dyDescent="0.2">
      <c r="A34" s="3"/>
      <c r="B34" s="28"/>
      <c r="C34" s="29" t="s">
        <v>75</v>
      </c>
      <c r="D34" s="30">
        <v>0.2</v>
      </c>
      <c r="E34" s="31">
        <v>212</v>
      </c>
      <c r="F34" s="32">
        <v>1645.26</v>
      </c>
      <c r="G34" s="93">
        <v>9.48</v>
      </c>
      <c r="H34" s="30">
        <f t="shared" si="2"/>
        <v>1020.0612</v>
      </c>
      <c r="I34" s="33">
        <f t="shared" si="0"/>
        <v>17.02553677295305</v>
      </c>
      <c r="J34" s="29"/>
      <c r="K34" s="226"/>
      <c r="L34" s="229"/>
      <c r="M34" s="58">
        <f>(L33/K33)*100</f>
        <v>12.595756401206476</v>
      </c>
      <c r="N34" s="30">
        <f>QUARTILE(I33:I35,1)</f>
        <v>13.904491465542019</v>
      </c>
      <c r="O34" s="30">
        <f>QUARTILE(I33:I35,3)</f>
        <v>15.737279612320599</v>
      </c>
      <c r="P34" s="30">
        <f>O34-N34</f>
        <v>1.8327881467785794</v>
      </c>
      <c r="Q34" s="30">
        <f>O34+(1.5*P34)</f>
        <v>18.486461832488466</v>
      </c>
      <c r="R34" s="30">
        <f>N34-(1.5*P34)</f>
        <v>11.15530924537415</v>
      </c>
      <c r="S34" s="69" t="b">
        <f>OR(I34&gt;$Q$34,I34&lt;$R$34)</f>
        <v>0</v>
      </c>
      <c r="T34" s="234"/>
      <c r="U34" s="123" t="s">
        <v>61</v>
      </c>
      <c r="V34" s="80">
        <f>AVERAGE(H33:H35)</f>
        <v>844.60533333333342</v>
      </c>
      <c r="W34" s="85">
        <f>STDEV(H33:H35)</f>
        <v>152.24970314904709</v>
      </c>
      <c r="X34" s="80">
        <f>AVERAGE(I33:I35)</f>
        <v>14.944839901345697</v>
      </c>
      <c r="Y34" s="81">
        <f>STDEV(I33:I35)</f>
        <v>1.8824156285238103</v>
      </c>
      <c r="Z34" s="87">
        <f>T33</f>
        <v>12.595756401206476</v>
      </c>
      <c r="AB34" s="111"/>
      <c r="AH34" s="9"/>
      <c r="AI34" s="2"/>
      <c r="AM34" s="1"/>
      <c r="AU34" s="105"/>
    </row>
    <row r="35" spans="1:47" x14ac:dyDescent="0.2">
      <c r="B35" s="35"/>
      <c r="C35" s="36" t="s">
        <v>76</v>
      </c>
      <c r="D35" s="37">
        <v>0.2</v>
      </c>
      <c r="E35" s="38">
        <v>212</v>
      </c>
      <c r="F35" s="39">
        <v>1236.19</v>
      </c>
      <c r="G35" s="100">
        <v>8.92</v>
      </c>
      <c r="H35" s="37">
        <f t="shared" si="2"/>
        <v>766.43780000000004</v>
      </c>
      <c r="I35" s="40">
        <f t="shared" si="0"/>
        <v>14.449022451688149</v>
      </c>
      <c r="J35" s="29"/>
      <c r="K35" s="227"/>
      <c r="L35" s="230"/>
      <c r="M35" s="62"/>
      <c r="N35" s="37"/>
      <c r="O35" s="37"/>
      <c r="P35" s="37"/>
      <c r="Q35" s="37"/>
      <c r="R35" s="37"/>
      <c r="S35" s="73" t="b">
        <f>OR(I35&gt;$Q$34,I35&lt;$R$34)</f>
        <v>0</v>
      </c>
      <c r="T35" s="235"/>
      <c r="U35" s="124"/>
      <c r="V35" s="72"/>
      <c r="W35" s="36"/>
      <c r="X35" s="72"/>
      <c r="Y35" s="36"/>
      <c r="Z35" s="83"/>
      <c r="AB35" s="111"/>
      <c r="AI35" s="1"/>
      <c r="AK35" s="1"/>
      <c r="AM35" s="1"/>
      <c r="AU35" s="105"/>
    </row>
    <row r="36" spans="1:47" x14ac:dyDescent="0.2">
      <c r="B36" s="41">
        <v>47</v>
      </c>
      <c r="C36" s="42" t="s">
        <v>57</v>
      </c>
      <c r="D36" s="43">
        <v>0.2</v>
      </c>
      <c r="E36" s="44">
        <v>300</v>
      </c>
      <c r="F36" s="45">
        <v>1537.29</v>
      </c>
      <c r="G36" s="99">
        <v>9.76</v>
      </c>
      <c r="H36" s="43">
        <f t="shared" si="2"/>
        <v>953.11979999999994</v>
      </c>
      <c r="I36" s="46">
        <f t="shared" si="0"/>
        <v>15.008563096277882</v>
      </c>
      <c r="J36" s="47"/>
      <c r="K36" s="225">
        <f>AVERAGE(I36:I38)</f>
        <v>15.759596179274354</v>
      </c>
      <c r="L36" s="228">
        <f>STDEV(I36:I38)</f>
        <v>1.0291226318738402</v>
      </c>
      <c r="M36" s="60"/>
      <c r="N36" s="43"/>
      <c r="O36" s="43"/>
      <c r="P36" s="43"/>
      <c r="Q36" s="43"/>
      <c r="R36" s="43"/>
      <c r="S36" s="68" t="b">
        <f>OR(I36&gt;$Q$37,I36&lt;$R$37)</f>
        <v>0</v>
      </c>
      <c r="T36" s="225">
        <f>M37</f>
        <v>6.5301332608208114</v>
      </c>
      <c r="U36" s="125"/>
      <c r="V36" s="71"/>
      <c r="W36" s="29"/>
      <c r="X36" s="71"/>
      <c r="Y36" s="29"/>
      <c r="Z36" s="84"/>
      <c r="AB36" s="111"/>
      <c r="AI36" s="1"/>
      <c r="AK36" s="1"/>
      <c r="AM36" s="1"/>
      <c r="AU36" s="105"/>
    </row>
    <row r="37" spans="1:47" x14ac:dyDescent="0.2">
      <c r="B37" s="28"/>
      <c r="C37" s="29" t="s">
        <v>58</v>
      </c>
      <c r="D37" s="30">
        <v>0.2</v>
      </c>
      <c r="E37" s="31">
        <v>300</v>
      </c>
      <c r="F37" s="32">
        <v>1390.8</v>
      </c>
      <c r="G37" s="93">
        <v>8.74</v>
      </c>
      <c r="H37" s="30">
        <f t="shared" si="2"/>
        <v>862.29599999999994</v>
      </c>
      <c r="I37" s="33">
        <f t="shared" si="0"/>
        <v>16.932643518057905</v>
      </c>
      <c r="J37" s="48"/>
      <c r="K37" s="226"/>
      <c r="L37" s="229"/>
      <c r="M37" s="63">
        <f>(L36/K36)*100</f>
        <v>6.5301332608208114</v>
      </c>
      <c r="N37" s="30">
        <f>QUARTILE(I36:I38,1)</f>
        <v>15.173072509882576</v>
      </c>
      <c r="O37" s="30">
        <f>QUARTILE(I36:I38,3)</f>
        <v>16.13511272077259</v>
      </c>
      <c r="P37" s="30">
        <f>O37-N37</f>
        <v>0.96204021089001301</v>
      </c>
      <c r="Q37" s="30">
        <f>O37+(1.5*P37)</f>
        <v>17.578173037107611</v>
      </c>
      <c r="R37" s="30">
        <f>N37-(1.5*P37)</f>
        <v>13.730012193547557</v>
      </c>
      <c r="S37" s="69" t="b">
        <f>OR(I37&gt;$Q$37,I37&lt;$R$37)</f>
        <v>0</v>
      </c>
      <c r="T37" s="226"/>
      <c r="U37" s="123" t="s">
        <v>62</v>
      </c>
      <c r="V37" s="80">
        <f>AVERAGE(H36:H38)</f>
        <v>927.15419999999995</v>
      </c>
      <c r="W37" s="85">
        <f>STDEV(H36:H38)</f>
        <v>56.539511960044415</v>
      </c>
      <c r="X37" s="80">
        <f>AVERAGE(I36:I38)</f>
        <v>15.759596179274354</v>
      </c>
      <c r="Y37" s="81">
        <f>STDEV(I36:I38)</f>
        <v>1.0291226318738402</v>
      </c>
      <c r="Z37" s="82">
        <f>T36</f>
        <v>6.5301332608208114</v>
      </c>
      <c r="AB37" s="111"/>
      <c r="AI37" s="1"/>
      <c r="AK37" s="1"/>
      <c r="AM37" s="1"/>
      <c r="AU37" s="105"/>
    </row>
    <row r="38" spans="1:47" x14ac:dyDescent="0.2">
      <c r="B38" s="35"/>
      <c r="C38" s="36" t="s">
        <v>59</v>
      </c>
      <c r="D38" s="37">
        <v>0.2</v>
      </c>
      <c r="E38" s="38">
        <v>300</v>
      </c>
      <c r="F38" s="39">
        <v>1558.14</v>
      </c>
      <c r="G38" s="100">
        <v>9.7200000000000006</v>
      </c>
      <c r="H38" s="37">
        <f t="shared" si="2"/>
        <v>966.04680000000008</v>
      </c>
      <c r="I38" s="40">
        <f t="shared" si="0"/>
        <v>15.337581923487273</v>
      </c>
      <c r="J38" s="49"/>
      <c r="K38" s="227"/>
      <c r="L38" s="230"/>
      <c r="M38" s="62"/>
      <c r="N38" s="37"/>
      <c r="O38" s="37"/>
      <c r="P38" s="37"/>
      <c r="Q38" s="37"/>
      <c r="R38" s="37"/>
      <c r="S38" s="73" t="b">
        <f>OR(I38&gt;$Q$37,I38&lt;$R$37)</f>
        <v>0</v>
      </c>
      <c r="T38" s="227"/>
      <c r="U38" s="48"/>
      <c r="V38" s="71"/>
      <c r="W38" s="29"/>
      <c r="X38" s="71"/>
      <c r="Y38" s="29"/>
      <c r="Z38" s="84"/>
      <c r="AB38" s="111"/>
      <c r="AI38" s="1"/>
      <c r="AK38" s="1"/>
      <c r="AM38" s="1"/>
      <c r="AU38" s="105"/>
    </row>
    <row r="39" spans="1:47" x14ac:dyDescent="0.2">
      <c r="B39" s="41">
        <v>35</v>
      </c>
      <c r="C39" s="42" t="s">
        <v>26</v>
      </c>
      <c r="D39" s="43">
        <v>0.2</v>
      </c>
      <c r="E39" s="44">
        <v>425</v>
      </c>
      <c r="F39" s="45">
        <v>1502.04</v>
      </c>
      <c r="G39" s="99">
        <v>9.4</v>
      </c>
      <c r="H39" s="43">
        <f t="shared" si="2"/>
        <v>931.26479999999992</v>
      </c>
      <c r="I39" s="46">
        <f t="shared" si="0"/>
        <v>15.80915799004074</v>
      </c>
      <c r="J39" s="29"/>
      <c r="K39" s="225">
        <f>AVERAGE(I39:I41)</f>
        <v>16.253030699032784</v>
      </c>
      <c r="L39" s="228">
        <f>STDEV(I39:I41)</f>
        <v>0.67274358263776035</v>
      </c>
      <c r="M39" s="60"/>
      <c r="N39" s="43"/>
      <c r="O39" s="43"/>
      <c r="P39" s="43"/>
      <c r="Q39" s="43"/>
      <c r="R39" s="43"/>
      <c r="S39" s="68" t="b">
        <f>OR(I39&gt;$Q$40,I39&lt;$R$40)</f>
        <v>0</v>
      </c>
      <c r="T39" s="225">
        <f>M40</f>
        <v>4.1391885310214498</v>
      </c>
      <c r="U39" s="47"/>
      <c r="V39" s="74"/>
      <c r="W39" s="42"/>
      <c r="X39" s="74"/>
      <c r="Y39" s="42"/>
      <c r="Z39" s="86"/>
      <c r="AB39" s="111"/>
      <c r="AI39" s="1"/>
      <c r="AK39" s="1"/>
      <c r="AM39" s="1"/>
      <c r="AU39" s="105"/>
    </row>
    <row r="40" spans="1:47" x14ac:dyDescent="0.2">
      <c r="A40" s="3"/>
      <c r="B40" s="28"/>
      <c r="C40" s="29" t="s">
        <v>27</v>
      </c>
      <c r="D40" s="30">
        <v>0.2</v>
      </c>
      <c r="E40" s="31">
        <v>425</v>
      </c>
      <c r="F40" s="32">
        <v>1597.69</v>
      </c>
      <c r="G40" s="93">
        <v>9.66</v>
      </c>
      <c r="H40" s="30">
        <f t="shared" si="2"/>
        <v>990.56780000000003</v>
      </c>
      <c r="I40" s="33">
        <f t="shared" si="0"/>
        <v>15.922864987204711</v>
      </c>
      <c r="J40" s="29"/>
      <c r="K40" s="226"/>
      <c r="L40" s="229"/>
      <c r="M40" s="63">
        <f>(L39/K39)*100</f>
        <v>4.1391885310214498</v>
      </c>
      <c r="N40" s="30">
        <f>QUARTILE(I39:I41,1)</f>
        <v>15.866011488622725</v>
      </c>
      <c r="O40" s="30">
        <f>QUARTILE(I39:I41,3)</f>
        <v>16.474967053528808</v>
      </c>
      <c r="P40" s="30">
        <f>O40-N40</f>
        <v>0.60895556490608271</v>
      </c>
      <c r="Q40" s="30">
        <f>O40+(1.5*P40)</f>
        <v>17.388400400887932</v>
      </c>
      <c r="R40" s="30">
        <f>N40-(1.5*P40)</f>
        <v>14.952578141263601</v>
      </c>
      <c r="S40" s="69" t="b">
        <f>OR(I40&gt;$Q$40,I40&lt;$R$40)</f>
        <v>0</v>
      </c>
      <c r="T40" s="226"/>
      <c r="U40" s="122" t="s">
        <v>31</v>
      </c>
      <c r="V40" s="80">
        <f>AVERAGE(H39:H41)</f>
        <v>1015.9692</v>
      </c>
      <c r="W40" s="85">
        <f>STDEV(H39:H41)</f>
        <v>99.858283820021725</v>
      </c>
      <c r="X40" s="80">
        <f>AVERAGE(I39:I41)</f>
        <v>16.253030699032784</v>
      </c>
      <c r="Y40" s="81">
        <f>STDEV(I39:I41)</f>
        <v>0.67274358263776035</v>
      </c>
      <c r="Z40" s="82">
        <f>T39</f>
        <v>4.1391885310214498</v>
      </c>
      <c r="AB40" s="111"/>
      <c r="AI40" s="1"/>
      <c r="AK40" s="1"/>
      <c r="AM40" s="1"/>
      <c r="AU40" s="105"/>
    </row>
    <row r="41" spans="1:47" x14ac:dyDescent="0.2">
      <c r="B41" s="35"/>
      <c r="C41" s="36" t="s">
        <v>28</v>
      </c>
      <c r="D41" s="37">
        <v>0.2</v>
      </c>
      <c r="E41" s="38">
        <v>425</v>
      </c>
      <c r="F41" s="39">
        <v>1816.25</v>
      </c>
      <c r="G41" s="100">
        <v>9.9600000000000009</v>
      </c>
      <c r="H41" s="37">
        <f t="shared" si="2"/>
        <v>1126.075</v>
      </c>
      <c r="I41" s="40">
        <f t="shared" si="0"/>
        <v>17.027069119852904</v>
      </c>
      <c r="J41" s="29"/>
      <c r="K41" s="227"/>
      <c r="L41" s="230"/>
      <c r="M41" s="62"/>
      <c r="N41" s="37"/>
      <c r="O41" s="37"/>
      <c r="P41" s="37"/>
      <c r="Q41" s="37"/>
      <c r="R41" s="37"/>
      <c r="S41" s="73" t="b">
        <f>OR(I41&gt;$Q$40,I41&lt;$R$40)</f>
        <v>0</v>
      </c>
      <c r="T41" s="227"/>
      <c r="U41" s="49"/>
      <c r="V41" s="72"/>
      <c r="W41" s="36"/>
      <c r="X41" s="72"/>
      <c r="Y41" s="36"/>
      <c r="Z41" s="83"/>
      <c r="AB41" s="111"/>
      <c r="AI41" s="1"/>
      <c r="AK41" s="1"/>
      <c r="AM41" s="1"/>
      <c r="AU41" s="105"/>
    </row>
    <row r="42" spans="1:47" x14ac:dyDescent="0.2">
      <c r="B42" s="41">
        <v>29</v>
      </c>
      <c r="C42" s="42" t="s">
        <v>17</v>
      </c>
      <c r="D42" s="43">
        <v>0.24399999999999999</v>
      </c>
      <c r="E42" s="44">
        <v>600</v>
      </c>
      <c r="F42" s="45">
        <v>915.09699999999998</v>
      </c>
      <c r="G42" s="99">
        <v>9.34</v>
      </c>
      <c r="H42" s="43">
        <f t="shared" si="2"/>
        <v>567.36014</v>
      </c>
      <c r="I42" s="46">
        <f t="shared" si="0"/>
        <v>9.7556526234702368</v>
      </c>
      <c r="J42" s="47"/>
      <c r="K42" s="225">
        <f>AVERAGE(I42:I44)</f>
        <v>10.854508382562061</v>
      </c>
      <c r="L42" s="228">
        <f>STDEV(I42:I44)</f>
        <v>1.0176357325084264</v>
      </c>
      <c r="M42" s="60"/>
      <c r="N42" s="43"/>
      <c r="O42" s="43"/>
      <c r="P42" s="43"/>
      <c r="Q42" s="43"/>
      <c r="R42" s="43"/>
      <c r="S42" s="68" t="b">
        <f>OR(I42&gt;$Q$43,I42&lt;$R$43)</f>
        <v>0</v>
      </c>
      <c r="T42" s="225">
        <f>M43</f>
        <v>9.3752355854575065</v>
      </c>
      <c r="U42" s="48"/>
      <c r="V42" s="71"/>
      <c r="W42" s="29"/>
      <c r="X42" s="71"/>
      <c r="Y42" s="29"/>
      <c r="Z42" s="84"/>
      <c r="AB42" s="111"/>
      <c r="AI42" s="1"/>
      <c r="AK42" s="1"/>
      <c r="AM42" s="1"/>
      <c r="AU42" s="105"/>
    </row>
    <row r="43" spans="1:47" x14ac:dyDescent="0.2">
      <c r="A43" s="3"/>
      <c r="B43" s="28"/>
      <c r="C43" s="29" t="s">
        <v>18</v>
      </c>
      <c r="D43" s="30">
        <v>0.24399999999999999</v>
      </c>
      <c r="E43" s="31">
        <v>600</v>
      </c>
      <c r="F43" s="32">
        <v>1280.22</v>
      </c>
      <c r="G43" s="93">
        <v>10.06</v>
      </c>
      <c r="H43" s="30">
        <f t="shared" si="2"/>
        <v>793.7364</v>
      </c>
      <c r="I43" s="33">
        <f t="shared" si="0"/>
        <v>11.764449090743806</v>
      </c>
      <c r="J43" s="48"/>
      <c r="K43" s="226"/>
      <c r="L43" s="229"/>
      <c r="M43" s="63">
        <f>(L42/K42)*100</f>
        <v>9.3752355854575065</v>
      </c>
      <c r="N43" s="30">
        <f>QUARTILE(I42:I44,1)</f>
        <v>10.399538028471188</v>
      </c>
      <c r="O43" s="30">
        <f>QUARTILE(I42:I44,3)</f>
        <v>11.403936262107973</v>
      </c>
      <c r="P43" s="30">
        <f>O43-N43</f>
        <v>1.0043982336367847</v>
      </c>
      <c r="Q43" s="30">
        <f>O43+(1.5*P43)</f>
        <v>12.91053361256315</v>
      </c>
      <c r="R43" s="30">
        <f>N43-(1.5*P43)</f>
        <v>8.8929406780160107</v>
      </c>
      <c r="S43" s="69" t="b">
        <f>OR(I43&gt;$Q$43,I43&lt;$R$43)</f>
        <v>0</v>
      </c>
      <c r="T43" s="226"/>
      <c r="U43" s="122" t="s">
        <v>30</v>
      </c>
      <c r="V43" s="80">
        <f>AVERAGE(H42:H44)</f>
        <v>691.31798000000015</v>
      </c>
      <c r="W43" s="85">
        <f>STDEV(H42:H44)</f>
        <v>114.71491940174613</v>
      </c>
      <c r="X43" s="80">
        <f>AVERAGE(I42:I44)</f>
        <v>10.854508382562061</v>
      </c>
      <c r="Y43" s="81">
        <f>STDEV(I42:I44)</f>
        <v>1.0176357325084264</v>
      </c>
      <c r="Z43" s="82">
        <f>T42</f>
        <v>9.3752355854575065</v>
      </c>
      <c r="AB43" s="111"/>
      <c r="AU43" s="105"/>
    </row>
    <row r="44" spans="1:47" x14ac:dyDescent="0.2">
      <c r="B44" s="35"/>
      <c r="C44" s="36" t="s">
        <v>19</v>
      </c>
      <c r="D44" s="37">
        <v>0.24399999999999999</v>
      </c>
      <c r="E44" s="38">
        <v>600</v>
      </c>
      <c r="F44" s="39">
        <v>1149.77</v>
      </c>
      <c r="G44" s="100">
        <v>9.84</v>
      </c>
      <c r="H44" s="37">
        <f t="shared" si="2"/>
        <v>712.8574000000001</v>
      </c>
      <c r="I44" s="40">
        <f t="shared" si="0"/>
        <v>11.043423433472141</v>
      </c>
      <c r="J44" s="49"/>
      <c r="K44" s="227"/>
      <c r="L44" s="230"/>
      <c r="M44" s="62"/>
      <c r="N44" s="37"/>
      <c r="O44" s="37"/>
      <c r="P44" s="37"/>
      <c r="Q44" s="37"/>
      <c r="R44" s="37"/>
      <c r="S44" s="73" t="b">
        <f>OR(I44&gt;$Q$43,I44&lt;$R$43)</f>
        <v>0</v>
      </c>
      <c r="T44" s="227"/>
      <c r="U44" s="48"/>
      <c r="V44" s="71"/>
      <c r="W44" s="29"/>
      <c r="X44" s="71"/>
      <c r="Y44" s="29"/>
      <c r="Z44" s="84"/>
      <c r="AB44" s="111"/>
      <c r="AU44" s="105"/>
    </row>
    <row r="45" spans="1:47" x14ac:dyDescent="0.2">
      <c r="B45" s="41">
        <v>50</v>
      </c>
      <c r="C45" s="42" t="s">
        <v>80</v>
      </c>
      <c r="D45" s="43">
        <v>0.3</v>
      </c>
      <c r="E45" s="44">
        <v>150</v>
      </c>
      <c r="F45" s="45">
        <v>1630.15</v>
      </c>
      <c r="G45" s="99">
        <v>9.5399999999999991</v>
      </c>
      <c r="H45" s="43">
        <f t="shared" si="2"/>
        <v>1010.693</v>
      </c>
      <c r="I45" s="46">
        <f t="shared" si="0"/>
        <v>16.657651332357638</v>
      </c>
      <c r="J45" s="29"/>
      <c r="K45" s="225">
        <f>AVERAGE(I45:I47)</f>
        <v>16.506938596961877</v>
      </c>
      <c r="L45" s="228">
        <f>STDEV(I45:I47)</f>
        <v>0.29548522984572667</v>
      </c>
      <c r="M45" s="60"/>
      <c r="N45" s="43"/>
      <c r="O45" s="43"/>
      <c r="P45" s="43"/>
      <c r="Q45" s="43"/>
      <c r="R45" s="43"/>
      <c r="S45" s="68" t="b">
        <f>OR(I45&gt;$Q$46,I45&lt;$R$46)</f>
        <v>0</v>
      </c>
      <c r="T45" s="225">
        <f>M46</f>
        <v>1.7900668140857512</v>
      </c>
      <c r="U45" s="47"/>
      <c r="V45" s="74"/>
      <c r="W45" s="42"/>
      <c r="X45" s="74"/>
      <c r="Y45" s="42"/>
      <c r="Z45" s="86"/>
      <c r="AB45" s="111"/>
      <c r="AU45" s="105"/>
    </row>
    <row r="46" spans="1:47" x14ac:dyDescent="0.2">
      <c r="A46" s="3"/>
      <c r="B46" s="28"/>
      <c r="C46" s="29" t="s">
        <v>81</v>
      </c>
      <c r="D46" s="30">
        <v>0.3</v>
      </c>
      <c r="E46" s="31">
        <v>150</v>
      </c>
      <c r="F46" s="32">
        <v>1647.7</v>
      </c>
      <c r="G46" s="93">
        <v>9.58</v>
      </c>
      <c r="H46" s="30">
        <f t="shared" si="2"/>
        <v>1021.5740000000001</v>
      </c>
      <c r="I46" s="33">
        <f t="shared" si="0"/>
        <v>16.696678013083975</v>
      </c>
      <c r="J46" s="29"/>
      <c r="K46" s="226"/>
      <c r="L46" s="229"/>
      <c r="M46" s="63">
        <f>(L45/K45)*100</f>
        <v>1.7900668140857512</v>
      </c>
      <c r="N46" s="30">
        <f>QUARTILE(I45:I47,1)</f>
        <v>16.41206888890083</v>
      </c>
      <c r="O46" s="30">
        <f>QUARTILE(I45:I47,3)</f>
        <v>16.677164672720806</v>
      </c>
      <c r="P46" s="30">
        <f>O46-N46</f>
        <v>0.26509578381997656</v>
      </c>
      <c r="Q46" s="30">
        <f>O46+(1.5*P46)</f>
        <v>17.074808348450773</v>
      </c>
      <c r="R46" s="30">
        <f>N46-(1.5*P46)</f>
        <v>16.014425213170867</v>
      </c>
      <c r="S46" s="69" t="b">
        <f>OR(I46&gt;$Q$46,I46&lt;$R$46)</f>
        <v>0</v>
      </c>
      <c r="T46" s="226"/>
      <c r="U46" s="122" t="s">
        <v>36</v>
      </c>
      <c r="V46" s="80">
        <f>AVERAGE(H45:H47)</f>
        <v>951.8488000000001</v>
      </c>
      <c r="W46" s="85">
        <f>STDEV(H45:H47)</f>
        <v>111.47720395901585</v>
      </c>
      <c r="X46" s="80">
        <f>AVERAGE(I45:I47)</f>
        <v>16.506938596961877</v>
      </c>
      <c r="Y46" s="81">
        <f>STDEV(I45:I47)</f>
        <v>0.29548522984572667</v>
      </c>
      <c r="Z46" s="82">
        <f>T45</f>
        <v>1.7900668140857512</v>
      </c>
      <c r="AB46" s="111"/>
      <c r="AU46" s="105"/>
    </row>
    <row r="47" spans="1:47" x14ac:dyDescent="0.2">
      <c r="B47" s="35"/>
      <c r="C47" s="36" t="s">
        <v>82</v>
      </c>
      <c r="D47" s="37">
        <v>0.3</v>
      </c>
      <c r="E47" s="38">
        <v>150</v>
      </c>
      <c r="F47" s="39">
        <v>1327.87</v>
      </c>
      <c r="G47" s="100">
        <v>8.74</v>
      </c>
      <c r="H47" s="37">
        <f t="shared" si="2"/>
        <v>823.2793999999999</v>
      </c>
      <c r="I47" s="40">
        <f t="shared" si="0"/>
        <v>16.166486445444022</v>
      </c>
      <c r="J47" s="29"/>
      <c r="K47" s="227"/>
      <c r="L47" s="230"/>
      <c r="M47" s="62"/>
      <c r="N47" s="37"/>
      <c r="O47" s="37"/>
      <c r="P47" s="37"/>
      <c r="Q47" s="37"/>
      <c r="R47" s="37"/>
      <c r="S47" s="73" t="b">
        <f>OR(I47&gt;$Q$46,I47&lt;$R$46)</f>
        <v>0</v>
      </c>
      <c r="T47" s="227"/>
      <c r="U47" s="49"/>
      <c r="V47" s="72"/>
      <c r="W47" s="36"/>
      <c r="X47" s="72"/>
      <c r="Y47" s="36"/>
      <c r="Z47" s="83"/>
      <c r="AB47" s="111"/>
      <c r="AU47" s="105"/>
    </row>
    <row r="48" spans="1:47" x14ac:dyDescent="0.2">
      <c r="B48" s="41">
        <v>48</v>
      </c>
      <c r="C48" s="42" t="s">
        <v>66</v>
      </c>
      <c r="D48" s="43">
        <v>0.3</v>
      </c>
      <c r="E48" s="44">
        <v>212</v>
      </c>
      <c r="F48" s="45">
        <v>684.71799999999996</v>
      </c>
      <c r="G48" s="98">
        <v>8.26</v>
      </c>
      <c r="H48" s="43">
        <f t="shared" si="2"/>
        <v>424.52515999999997</v>
      </c>
      <c r="I48" s="46">
        <f t="shared" si="0"/>
        <v>9.333286529205191</v>
      </c>
      <c r="J48" s="47" t="s">
        <v>136</v>
      </c>
      <c r="K48" s="225">
        <f>AVERAGE(I48:I50)</f>
        <v>12.611330963562921</v>
      </c>
      <c r="L48" s="228">
        <f>STDEV(I48:I50)</f>
        <v>2.862970745953874</v>
      </c>
      <c r="M48" s="240">
        <f>(L48/K48)*100</f>
        <v>22.701574910892948</v>
      </c>
      <c r="N48" s="43"/>
      <c r="O48" s="43"/>
      <c r="P48" s="43"/>
      <c r="Q48" s="43"/>
      <c r="R48" s="43"/>
      <c r="S48" s="75" t="b">
        <f t="shared" ref="S48:S53" si="4">OR(I48&gt;$Q$53,I48&lt;$R$53)</f>
        <v>1</v>
      </c>
      <c r="T48" s="225">
        <f>(STDEV(I49:I53)/AVERAGE(I49:I53))*100</f>
        <v>7.3020132971031133</v>
      </c>
      <c r="U48" s="48"/>
      <c r="V48" s="29"/>
      <c r="W48" s="29"/>
      <c r="X48" s="29"/>
      <c r="Y48" s="29"/>
      <c r="Z48" s="79"/>
      <c r="AB48" s="111"/>
      <c r="AU48" s="105"/>
    </row>
    <row r="49" spans="1:47" x14ac:dyDescent="0.2">
      <c r="B49" s="28"/>
      <c r="C49" s="29" t="s">
        <v>67</v>
      </c>
      <c r="D49" s="30">
        <v>0.3</v>
      </c>
      <c r="E49" s="31">
        <v>212</v>
      </c>
      <c r="F49" s="32">
        <v>1480.52</v>
      </c>
      <c r="G49" s="95">
        <v>9.9600000000000009</v>
      </c>
      <c r="H49" s="30">
        <f t="shared" si="2"/>
        <v>917.92240000000004</v>
      </c>
      <c r="I49" s="33">
        <f t="shared" si="0"/>
        <v>13.879651134659115</v>
      </c>
      <c r="J49" s="48" t="s">
        <v>136</v>
      </c>
      <c r="K49" s="226"/>
      <c r="L49" s="229"/>
      <c r="M49" s="241"/>
      <c r="N49" s="30"/>
      <c r="O49" s="30"/>
      <c r="P49" s="30"/>
      <c r="Q49" s="30"/>
      <c r="R49" s="30"/>
      <c r="S49" s="69" t="b">
        <f t="shared" si="4"/>
        <v>0</v>
      </c>
      <c r="T49" s="226"/>
      <c r="U49" s="48"/>
      <c r="V49" s="71"/>
      <c r="W49" s="88"/>
      <c r="X49" s="71"/>
      <c r="Y49" s="89"/>
      <c r="Z49" s="84"/>
      <c r="AB49" s="111"/>
      <c r="AU49" s="105"/>
    </row>
    <row r="50" spans="1:47" ht="17" thickBot="1" x14ac:dyDescent="0.25">
      <c r="B50" s="28"/>
      <c r="C50" s="29" t="s">
        <v>68</v>
      </c>
      <c r="D50" s="30">
        <v>0.3</v>
      </c>
      <c r="E50" s="31">
        <v>212</v>
      </c>
      <c r="F50" s="34">
        <v>1377.36</v>
      </c>
      <c r="G50" s="96">
        <v>9.36</v>
      </c>
      <c r="H50" s="30">
        <f t="shared" si="2"/>
        <v>853.96319999999992</v>
      </c>
      <c r="I50" s="33">
        <f t="shared" si="0"/>
        <v>14.621055226824458</v>
      </c>
      <c r="J50" s="48" t="s">
        <v>136</v>
      </c>
      <c r="K50" s="231"/>
      <c r="L50" s="232"/>
      <c r="M50" s="244"/>
      <c r="N50" s="30"/>
      <c r="O50" s="30"/>
      <c r="P50" s="30"/>
      <c r="Q50" s="30"/>
      <c r="R50" s="30"/>
      <c r="S50" s="69" t="b">
        <f t="shared" si="4"/>
        <v>0</v>
      </c>
      <c r="T50" s="226"/>
      <c r="U50" s="122" t="s">
        <v>60</v>
      </c>
      <c r="V50" s="80">
        <f>AVERAGE(H49:H53)</f>
        <v>826.68444</v>
      </c>
      <c r="W50" s="85">
        <f>STDEV(H49:H53)</f>
        <v>94.484271423808238</v>
      </c>
      <c r="X50" s="80">
        <f>AVERAGE(I49:I53)</f>
        <v>14.297160827929869</v>
      </c>
      <c r="Y50" s="81">
        <f>STDEV(I49:I53)</f>
        <v>1.0439805847636565</v>
      </c>
      <c r="Z50" s="82">
        <f>T48</f>
        <v>7.3020132971031133</v>
      </c>
      <c r="AB50" s="111"/>
      <c r="AU50" s="105"/>
    </row>
    <row r="51" spans="1:47" x14ac:dyDescent="0.2">
      <c r="B51" s="28">
        <v>51</v>
      </c>
      <c r="C51" s="29" t="s">
        <v>90</v>
      </c>
      <c r="D51" s="30">
        <v>0.3</v>
      </c>
      <c r="E51" s="31">
        <v>212</v>
      </c>
      <c r="F51" s="32">
        <v>1404.96</v>
      </c>
      <c r="G51" s="95">
        <v>9.26</v>
      </c>
      <c r="H51" s="30">
        <f t="shared" si="2"/>
        <v>871.0752</v>
      </c>
      <c r="I51" s="33">
        <f t="shared" si="0"/>
        <v>15.23789353871129</v>
      </c>
      <c r="J51" s="29" t="s">
        <v>180</v>
      </c>
      <c r="K51" s="245">
        <f>AVERAGE(I48:I53)</f>
        <v>13.469848444809088</v>
      </c>
      <c r="L51" s="246">
        <f>STDEV(I48:I53)</f>
        <v>2.2312756541227055</v>
      </c>
      <c r="M51" s="247">
        <f>(L51/K51)*100</f>
        <v>16.564964804652856</v>
      </c>
      <c r="N51" s="30"/>
      <c r="O51" s="30"/>
      <c r="P51" s="30"/>
      <c r="Q51" s="30"/>
      <c r="R51" s="30"/>
      <c r="S51" s="69" t="b">
        <f t="shared" si="4"/>
        <v>0</v>
      </c>
      <c r="T51" s="226"/>
      <c r="U51" s="48"/>
      <c r="V51" s="71"/>
      <c r="W51" s="29"/>
      <c r="X51" s="71"/>
      <c r="Y51" s="29"/>
      <c r="Z51" s="84"/>
      <c r="AB51" s="111"/>
      <c r="AU51" s="105"/>
    </row>
    <row r="52" spans="1:47" x14ac:dyDescent="0.2">
      <c r="B52" s="28"/>
      <c r="C52" s="29" t="s">
        <v>91</v>
      </c>
      <c r="D52" s="30">
        <v>0.3</v>
      </c>
      <c r="E52" s="31">
        <v>212</v>
      </c>
      <c r="F52" s="32">
        <v>1323.76</v>
      </c>
      <c r="G52" s="95">
        <v>9.0399999999999991</v>
      </c>
      <c r="H52" s="30">
        <f t="shared" si="2"/>
        <v>820.73119999999994</v>
      </c>
      <c r="I52" s="33">
        <f t="shared" si="0"/>
        <v>15.064521497376461</v>
      </c>
      <c r="J52" s="29" t="s">
        <v>180</v>
      </c>
      <c r="K52" s="226"/>
      <c r="L52" s="229"/>
      <c r="M52" s="241"/>
      <c r="N52" s="30"/>
      <c r="O52" s="30"/>
      <c r="P52" s="30"/>
      <c r="Q52" s="30"/>
      <c r="R52" s="30"/>
      <c r="S52" s="69" t="b">
        <f t="shared" si="4"/>
        <v>0</v>
      </c>
      <c r="T52" s="226"/>
      <c r="U52" s="48"/>
      <c r="V52" s="29"/>
      <c r="W52" s="29"/>
      <c r="X52" s="29"/>
      <c r="Y52" s="29"/>
      <c r="Z52" s="79"/>
      <c r="AB52" s="111"/>
      <c r="AU52" s="105"/>
    </row>
    <row r="53" spans="1:47" x14ac:dyDescent="0.2">
      <c r="B53" s="35"/>
      <c r="C53" s="36" t="s">
        <v>92</v>
      </c>
      <c r="D53" s="37">
        <v>0.3</v>
      </c>
      <c r="E53" s="38">
        <v>212</v>
      </c>
      <c r="F53" s="39">
        <v>1080.21</v>
      </c>
      <c r="G53" s="97">
        <v>8.9</v>
      </c>
      <c r="H53" s="37">
        <f t="shared" si="2"/>
        <v>669.73020000000008</v>
      </c>
      <c r="I53" s="40">
        <f t="shared" si="0"/>
        <v>12.682682742078018</v>
      </c>
      <c r="J53" s="29" t="s">
        <v>180</v>
      </c>
      <c r="K53" s="227"/>
      <c r="L53" s="230"/>
      <c r="M53" s="248"/>
      <c r="N53" s="30">
        <f>QUARTILE(I48:I53,1)</f>
        <v>12.981924840223293</v>
      </c>
      <c r="O53" s="30">
        <f>QUARTILE(I48:I53,3)</f>
        <v>14.953654929738461</v>
      </c>
      <c r="P53" s="30">
        <f>O53-N53</f>
        <v>1.9717300895151677</v>
      </c>
      <c r="Q53" s="30">
        <f>O53+(1.5*P53)</f>
        <v>17.911250064011213</v>
      </c>
      <c r="R53" s="30">
        <f>N53-(1.5*P53)</f>
        <v>10.024329705950542</v>
      </c>
      <c r="S53" s="73" t="b">
        <f t="shared" si="4"/>
        <v>0</v>
      </c>
      <c r="T53" s="227"/>
      <c r="U53" s="48"/>
      <c r="V53" s="71"/>
      <c r="W53" s="29"/>
      <c r="X53" s="71"/>
      <c r="Y53" s="29"/>
      <c r="Z53" s="84"/>
      <c r="AB53" s="111"/>
      <c r="AU53" s="105"/>
    </row>
    <row r="54" spans="1:47" x14ac:dyDescent="0.2">
      <c r="B54" s="41">
        <v>31</v>
      </c>
      <c r="C54" s="42" t="s">
        <v>11</v>
      </c>
      <c r="D54" s="43">
        <v>0.3</v>
      </c>
      <c r="E54" s="44">
        <v>300</v>
      </c>
      <c r="F54" s="45">
        <v>1894.97</v>
      </c>
      <c r="G54" s="99">
        <v>10</v>
      </c>
      <c r="H54" s="43">
        <f t="shared" si="2"/>
        <v>1174.8814</v>
      </c>
      <c r="I54" s="46">
        <f t="shared" si="0"/>
        <v>17.623221000000001</v>
      </c>
      <c r="J54" s="29"/>
      <c r="K54" s="225">
        <f>AVERAGE(I54:I56)</f>
        <v>17.994951189981851</v>
      </c>
      <c r="L54" s="228">
        <f>STDEV(I54:I56)</f>
        <v>0.85001026978767702</v>
      </c>
      <c r="M54" s="60"/>
      <c r="N54" s="43"/>
      <c r="O54" s="43"/>
      <c r="P54" s="43"/>
      <c r="Q54" s="43"/>
      <c r="R54" s="43"/>
      <c r="S54" s="68" t="b">
        <f>OR(I54&gt;$Q$55,I54&lt;$R$55)</f>
        <v>0</v>
      </c>
      <c r="T54" s="225">
        <f>M55</f>
        <v>4.7236041977201628</v>
      </c>
      <c r="U54" s="47"/>
      <c r="V54" s="74"/>
      <c r="W54" s="42"/>
      <c r="X54" s="74"/>
      <c r="Y54" s="42"/>
      <c r="Z54" s="86"/>
      <c r="AB54" s="111"/>
      <c r="AU54" s="105"/>
    </row>
    <row r="55" spans="1:47" x14ac:dyDescent="0.2">
      <c r="A55" s="3"/>
      <c r="B55" s="28"/>
      <c r="C55" s="29" t="s">
        <v>12</v>
      </c>
      <c r="D55" s="30">
        <v>0.3</v>
      </c>
      <c r="E55" s="31">
        <v>300</v>
      </c>
      <c r="F55" s="32">
        <v>1982.81</v>
      </c>
      <c r="G55" s="93">
        <v>9.86</v>
      </c>
      <c r="H55" s="30">
        <f t="shared" si="2"/>
        <v>1229.3422</v>
      </c>
      <c r="I55" s="33">
        <f t="shared" si="0"/>
        <v>18.967505523577554</v>
      </c>
      <c r="J55" s="29"/>
      <c r="K55" s="226"/>
      <c r="L55" s="229"/>
      <c r="M55" s="63">
        <f>(L54/K54)*100</f>
        <v>4.7236041977201628</v>
      </c>
      <c r="N55" s="30">
        <f>QUARTILE(I54:I56,1)</f>
        <v>17.508674023184</v>
      </c>
      <c r="O55" s="30">
        <f>QUARTILE(I54:I56,3)</f>
        <v>18.295363261788779</v>
      </c>
      <c r="P55" s="30">
        <f t="shared" ref="P55" si="5">O55-N55</f>
        <v>0.78668923860477946</v>
      </c>
      <c r="Q55" s="30">
        <f t="shared" ref="Q55" si="6">O55+(1.5*P55)</f>
        <v>19.475397119695948</v>
      </c>
      <c r="R55" s="30">
        <f t="shared" ref="R55" si="7">N55-(1.5*P55)</f>
        <v>16.32864016527683</v>
      </c>
      <c r="S55" s="69" t="b">
        <f>OR(I55&gt;$Q$55,I55&lt;$R$55)</f>
        <v>0</v>
      </c>
      <c r="T55" s="226"/>
      <c r="U55" s="122" t="s">
        <v>40</v>
      </c>
      <c r="V55" s="80">
        <f>AVERAGE(H54:H56)</f>
        <v>1195.7134000000001</v>
      </c>
      <c r="W55" s="85">
        <f>STDEV(H54:H56)</f>
        <v>29.399204952515326</v>
      </c>
      <c r="X55" s="80">
        <f>AVERAGE(I54:I56)</f>
        <v>17.994951189981851</v>
      </c>
      <c r="Y55" s="81">
        <f>STDEV(I54:I56)</f>
        <v>0.85001026978767702</v>
      </c>
      <c r="Z55" s="82">
        <f>T54</f>
        <v>4.7236041977201628</v>
      </c>
      <c r="AB55" s="111"/>
      <c r="AU55" s="105"/>
    </row>
    <row r="56" spans="1:47" x14ac:dyDescent="0.2">
      <c r="B56" s="35"/>
      <c r="C56" s="36" t="s">
        <v>13</v>
      </c>
      <c r="D56" s="37">
        <v>0.3</v>
      </c>
      <c r="E56" s="38">
        <v>300</v>
      </c>
      <c r="F56" s="39">
        <v>1907.93</v>
      </c>
      <c r="G56" s="100">
        <v>10.1</v>
      </c>
      <c r="H56" s="37">
        <f t="shared" si="2"/>
        <v>1182.9166</v>
      </c>
      <c r="I56" s="40">
        <f t="shared" si="0"/>
        <v>17.394127046368002</v>
      </c>
      <c r="J56" s="29"/>
      <c r="K56" s="227"/>
      <c r="L56" s="230"/>
      <c r="M56" s="62"/>
      <c r="N56" s="37"/>
      <c r="O56" s="37"/>
      <c r="P56" s="37"/>
      <c r="Q56" s="37"/>
      <c r="R56" s="37"/>
      <c r="S56" s="73" t="b">
        <f>OR(I56&gt;$Q$55,I56&lt;$R$55)</f>
        <v>0</v>
      </c>
      <c r="T56" s="227"/>
      <c r="U56" s="49"/>
      <c r="V56" s="72"/>
      <c r="W56" s="36"/>
      <c r="X56" s="72"/>
      <c r="Y56" s="36"/>
      <c r="Z56" s="83"/>
      <c r="AB56" s="111"/>
      <c r="AU56" s="105"/>
    </row>
    <row r="57" spans="1:47" x14ac:dyDescent="0.2">
      <c r="B57" s="41">
        <v>47</v>
      </c>
      <c r="C57" s="42" t="s">
        <v>54</v>
      </c>
      <c r="D57" s="43">
        <v>0.3</v>
      </c>
      <c r="E57" s="44">
        <v>425</v>
      </c>
      <c r="F57" s="45">
        <v>1718.29</v>
      </c>
      <c r="G57" s="99">
        <v>9.58</v>
      </c>
      <c r="H57" s="43">
        <f t="shared" si="2"/>
        <v>1065.3398</v>
      </c>
      <c r="I57" s="46">
        <f t="shared" si="0"/>
        <v>17.41198935674095</v>
      </c>
      <c r="J57" s="47" t="s">
        <v>136</v>
      </c>
      <c r="K57" s="225">
        <f>AVERAGE(I57:I59)</f>
        <v>13.725389784503633</v>
      </c>
      <c r="L57" s="228">
        <f>STDEV(I57:I59)</f>
        <v>3.4764621903854409</v>
      </c>
      <c r="M57" s="240">
        <f>(L57/K57)*100</f>
        <v>25.328695541386143</v>
      </c>
      <c r="N57" s="43"/>
      <c r="O57" s="43"/>
      <c r="P57" s="43"/>
      <c r="Q57" s="43"/>
      <c r="R57" s="43"/>
      <c r="S57" s="75" t="b">
        <f t="shared" ref="S57:S62" si="8">OR(I57&gt;$Q$62,I57&lt;$R$62)</f>
        <v>1</v>
      </c>
      <c r="T57" s="233">
        <f>((STDEV(I58:I62))/(AVERAGE(I58:I62)))*100</f>
        <v>11.266113822959756</v>
      </c>
      <c r="U57" s="48"/>
      <c r="V57" s="29"/>
      <c r="W57" s="29"/>
      <c r="X57" s="29"/>
      <c r="Y57" s="29"/>
      <c r="Z57" s="79"/>
      <c r="AB57" s="111"/>
      <c r="AU57" s="105"/>
    </row>
    <row r="58" spans="1:47" x14ac:dyDescent="0.2">
      <c r="B58" s="28"/>
      <c r="C58" s="29" t="s">
        <v>55</v>
      </c>
      <c r="D58" s="30">
        <v>0.3</v>
      </c>
      <c r="E58" s="31">
        <v>425</v>
      </c>
      <c r="F58" s="32">
        <v>1023.87</v>
      </c>
      <c r="G58" s="93">
        <v>9.52</v>
      </c>
      <c r="H58" s="30">
        <f t="shared" si="2"/>
        <v>634.79939999999999</v>
      </c>
      <c r="I58" s="33">
        <f t="shared" si="0"/>
        <v>10.50639851528847</v>
      </c>
      <c r="J58" s="48" t="s">
        <v>136</v>
      </c>
      <c r="K58" s="226"/>
      <c r="L58" s="229"/>
      <c r="M58" s="241"/>
      <c r="N58" s="30"/>
      <c r="O58" s="30"/>
      <c r="P58" s="30"/>
      <c r="Q58" s="30"/>
      <c r="R58" s="30"/>
      <c r="S58" s="69" t="b">
        <f t="shared" si="8"/>
        <v>0</v>
      </c>
      <c r="T58" s="234"/>
      <c r="U58" s="48"/>
      <c r="V58" s="71"/>
      <c r="W58" s="88"/>
      <c r="X58" s="71"/>
      <c r="Y58" s="89"/>
      <c r="Z58" s="84"/>
      <c r="AB58" s="111"/>
      <c r="AU58" s="105"/>
    </row>
    <row r="59" spans="1:47" ht="17" thickBot="1" x14ac:dyDescent="0.25">
      <c r="B59" s="28"/>
      <c r="C59" s="29" t="s">
        <v>56</v>
      </c>
      <c r="D59" s="30">
        <v>0.3</v>
      </c>
      <c r="E59" s="31">
        <v>425</v>
      </c>
      <c r="F59" s="34">
        <v>1154.71</v>
      </c>
      <c r="G59" s="94">
        <v>9</v>
      </c>
      <c r="H59" s="30">
        <f t="shared" si="2"/>
        <v>715.92020000000002</v>
      </c>
      <c r="I59" s="33">
        <f t="shared" si="0"/>
        <v>13.257781481481482</v>
      </c>
      <c r="J59" s="48" t="s">
        <v>136</v>
      </c>
      <c r="K59" s="231"/>
      <c r="L59" s="232"/>
      <c r="M59" s="244"/>
      <c r="N59" s="30"/>
      <c r="O59" s="30"/>
      <c r="P59" s="30"/>
      <c r="Q59" s="30"/>
      <c r="R59" s="30"/>
      <c r="S59" s="69" t="b">
        <f t="shared" si="8"/>
        <v>0</v>
      </c>
      <c r="T59" s="234"/>
      <c r="U59" s="122" t="s">
        <v>35</v>
      </c>
      <c r="V59" s="80">
        <f>AVERAGE(H58:H62)</f>
        <v>714.83767999999998</v>
      </c>
      <c r="W59" s="85">
        <f>STDEV(H58:H62)</f>
        <v>87.487952808098655</v>
      </c>
      <c r="X59" s="80">
        <f>AVERAGE(I58:I62)</f>
        <v>12.301090801939802</v>
      </c>
      <c r="Y59" s="81">
        <f>STDEV(I58:I62)</f>
        <v>1.3858548912121711</v>
      </c>
      <c r="Z59" s="87">
        <f>T57</f>
        <v>11.266113822959756</v>
      </c>
      <c r="AB59" s="111"/>
      <c r="AU59" s="105"/>
    </row>
    <row r="60" spans="1:47" x14ac:dyDescent="0.2">
      <c r="B60" s="28">
        <v>53</v>
      </c>
      <c r="C60" s="29" t="s">
        <v>108</v>
      </c>
      <c r="D60" s="30">
        <v>0.3</v>
      </c>
      <c r="E60" s="31">
        <v>425</v>
      </c>
      <c r="F60" s="32">
        <v>1368.94</v>
      </c>
      <c r="G60" s="95">
        <v>9.5399999999999991</v>
      </c>
      <c r="H60" s="30">
        <f t="shared" si="2"/>
        <v>848.74279999999999</v>
      </c>
      <c r="I60" s="33">
        <f t="shared" si="0"/>
        <v>13.988482786809595</v>
      </c>
      <c r="J60" s="29" t="s">
        <v>180</v>
      </c>
      <c r="K60" s="245">
        <f>AVERAGE(I57:I62)</f>
        <v>13.152907227739993</v>
      </c>
      <c r="L60" s="246">
        <f>STDEV(I57:I62)</f>
        <v>2.4269368271909069</v>
      </c>
      <c r="M60" s="247">
        <f>(L60/K60)*100</f>
        <v>18.451714021614954</v>
      </c>
      <c r="N60" s="30"/>
      <c r="O60" s="30"/>
      <c r="P60" s="30"/>
      <c r="Q60" s="30"/>
      <c r="R60" s="30"/>
      <c r="S60" s="69" t="b">
        <f t="shared" si="8"/>
        <v>0</v>
      </c>
      <c r="T60" s="234"/>
      <c r="U60" s="48"/>
      <c r="V60" s="71"/>
      <c r="W60" s="29"/>
      <c r="X60" s="71"/>
      <c r="Y60" s="29"/>
      <c r="Z60" s="84"/>
      <c r="AB60" s="111"/>
      <c r="AU60" s="105"/>
    </row>
    <row r="61" spans="1:47" x14ac:dyDescent="0.2">
      <c r="B61" s="28"/>
      <c r="C61" s="29" t="s">
        <v>109</v>
      </c>
      <c r="D61" s="30">
        <v>0.3</v>
      </c>
      <c r="E61" s="31">
        <v>425</v>
      </c>
      <c r="F61" s="32">
        <v>1187.4100000000001</v>
      </c>
      <c r="G61" s="95">
        <v>9.48</v>
      </c>
      <c r="H61" s="30">
        <f t="shared" si="2"/>
        <v>736.19420000000002</v>
      </c>
      <c r="I61" s="33">
        <f t="shared" si="0"/>
        <v>12.287597473695456</v>
      </c>
      <c r="J61" s="29" t="s">
        <v>180</v>
      </c>
      <c r="K61" s="226"/>
      <c r="L61" s="229"/>
      <c r="M61" s="241"/>
      <c r="S61" s="69" t="b">
        <f t="shared" si="8"/>
        <v>0</v>
      </c>
      <c r="T61" s="234"/>
      <c r="U61" s="48"/>
      <c r="V61" s="29"/>
      <c r="W61" s="29"/>
      <c r="X61" s="29"/>
      <c r="Y61" s="29"/>
      <c r="Z61" s="79"/>
      <c r="AB61" s="111"/>
      <c r="AU61" s="105"/>
    </row>
    <row r="62" spans="1:47" x14ac:dyDescent="0.2">
      <c r="B62" s="35"/>
      <c r="C62" s="36" t="s">
        <v>110</v>
      </c>
      <c r="D62" s="37">
        <v>0.3</v>
      </c>
      <c r="E62" s="38">
        <v>425</v>
      </c>
      <c r="F62" s="39">
        <v>1029.8900000000001</v>
      </c>
      <c r="G62" s="97">
        <v>9.14</v>
      </c>
      <c r="H62" s="37">
        <f t="shared" si="2"/>
        <v>638.53180000000009</v>
      </c>
      <c r="I62" s="40">
        <f t="shared" si="0"/>
        <v>11.465193752424</v>
      </c>
      <c r="J62" s="29" t="s">
        <v>180</v>
      </c>
      <c r="K62" s="227"/>
      <c r="L62" s="230"/>
      <c r="M62" s="248"/>
      <c r="N62" s="30">
        <f>QUARTILE(I57:I62,1)</f>
        <v>11.670794682741864</v>
      </c>
      <c r="O62" s="30">
        <f>QUARTILE(I57:I62,3)</f>
        <v>13.805807460477567</v>
      </c>
      <c r="P62" s="30">
        <f>O62-N62</f>
        <v>2.1350127777357031</v>
      </c>
      <c r="Q62" s="30">
        <f>O62+(1.5*P62)</f>
        <v>17.008326627081122</v>
      </c>
      <c r="R62" s="30">
        <f>N62-(1.5*P62)</f>
        <v>8.4682755161383092</v>
      </c>
      <c r="S62" s="73" t="b">
        <f t="shared" si="8"/>
        <v>0</v>
      </c>
      <c r="T62" s="235"/>
      <c r="U62" s="48"/>
      <c r="V62" s="71"/>
      <c r="W62" s="29"/>
      <c r="X62" s="71"/>
      <c r="Y62" s="29"/>
      <c r="Z62" s="84"/>
      <c r="AB62" s="111"/>
      <c r="AU62" s="105"/>
    </row>
    <row r="63" spans="1:47" x14ac:dyDescent="0.2">
      <c r="B63" s="41">
        <v>53</v>
      </c>
      <c r="C63" s="42" t="s">
        <v>93</v>
      </c>
      <c r="D63" s="43">
        <v>0.3</v>
      </c>
      <c r="E63" s="44">
        <v>600</v>
      </c>
      <c r="F63" s="45">
        <v>596.25199999999995</v>
      </c>
      <c r="G63" s="99">
        <v>8.2200000000000006</v>
      </c>
      <c r="H63" s="43">
        <f t="shared" si="2"/>
        <v>369.67623999999995</v>
      </c>
      <c r="I63" s="46">
        <f t="shared" si="0"/>
        <v>8.206711421315287</v>
      </c>
      <c r="J63" s="29"/>
      <c r="K63" s="225">
        <f>AVERAGE(I63:I65)</f>
        <v>9.3393765329890908</v>
      </c>
      <c r="L63" s="228">
        <f>STDEV(I63:I65)</f>
        <v>1.067887576857619</v>
      </c>
      <c r="M63" s="60"/>
      <c r="N63" s="43"/>
      <c r="O63" s="43"/>
      <c r="P63" s="43"/>
      <c r="Q63" s="43"/>
      <c r="R63" s="43"/>
      <c r="S63" s="68" t="b">
        <f>OR(I63&gt;$Q$64,I63&lt;$R$64)</f>
        <v>0</v>
      </c>
      <c r="T63" s="233">
        <f>M64</f>
        <v>11.43424909666683</v>
      </c>
      <c r="U63" s="47"/>
      <c r="V63" s="74"/>
      <c r="W63" s="42"/>
      <c r="X63" s="74"/>
      <c r="Y63" s="42"/>
      <c r="Z63" s="86"/>
      <c r="AB63" s="111"/>
      <c r="AU63" s="105"/>
    </row>
    <row r="64" spans="1:47" x14ac:dyDescent="0.2">
      <c r="B64" s="28"/>
      <c r="C64" s="29" t="s">
        <v>94</v>
      </c>
      <c r="D64" s="30">
        <v>0.3</v>
      </c>
      <c r="E64" s="31">
        <v>600</v>
      </c>
      <c r="F64" s="32">
        <v>1178.1500000000001</v>
      </c>
      <c r="G64" s="93">
        <v>10.3</v>
      </c>
      <c r="H64" s="30">
        <f t="shared" si="2"/>
        <v>730.45299999999997</v>
      </c>
      <c r="I64" s="33">
        <f t="shared" si="0"/>
        <v>10.327830144217174</v>
      </c>
      <c r="J64" s="29"/>
      <c r="K64" s="226"/>
      <c r="L64" s="229"/>
      <c r="M64" s="58">
        <f>(L63/K63)*100</f>
        <v>11.43424909666683</v>
      </c>
      <c r="N64" s="30">
        <f>QUARTILE(I63:I65,1)</f>
        <v>8.8451497273750483</v>
      </c>
      <c r="O64" s="30">
        <f>QUARTILE(I63:I65,3)</f>
        <v>9.9057090888259935</v>
      </c>
      <c r="P64" s="30">
        <f>O64-N64</f>
        <v>1.0605593614509452</v>
      </c>
      <c r="Q64" s="30">
        <f>O64+(1.5*P64)</f>
        <v>11.496548131002411</v>
      </c>
      <c r="R64" s="30">
        <f>N64-(1.5*P64)</f>
        <v>7.2543106851986305</v>
      </c>
      <c r="S64" s="69" t="b">
        <f>OR(I64&gt;$Q$64,I64&lt;$R$64)</f>
        <v>0</v>
      </c>
      <c r="T64" s="234"/>
      <c r="U64" s="122" t="s">
        <v>72</v>
      </c>
      <c r="V64" s="80">
        <f>AVERAGE(H63:H65)</f>
        <v>556.10838000000001</v>
      </c>
      <c r="W64" s="85">
        <f>STDEV(H63:H65)</f>
        <v>180.69186131045643</v>
      </c>
      <c r="X64" s="80">
        <f>AVERAGE(I63:I65)</f>
        <v>9.3393765329890908</v>
      </c>
      <c r="Y64" s="81">
        <f>STDEV(I63:I65)</f>
        <v>1.067887576857619</v>
      </c>
      <c r="Z64" s="87">
        <f>T63</f>
        <v>11.43424909666683</v>
      </c>
      <c r="AB64" s="111"/>
      <c r="AU64" s="105"/>
    </row>
    <row r="65" spans="1:47" x14ac:dyDescent="0.2">
      <c r="B65" s="35"/>
      <c r="C65" s="36" t="s">
        <v>95</v>
      </c>
      <c r="D65" s="37">
        <v>0.3</v>
      </c>
      <c r="E65" s="38">
        <v>600</v>
      </c>
      <c r="F65" s="39">
        <v>916.44500000000005</v>
      </c>
      <c r="G65" s="100">
        <v>9.48</v>
      </c>
      <c r="H65" s="37">
        <f t="shared" si="2"/>
        <v>568.19590000000005</v>
      </c>
      <c r="I65" s="40">
        <f t="shared" si="0"/>
        <v>9.4835880334348115</v>
      </c>
      <c r="J65" s="29"/>
      <c r="K65" s="227"/>
      <c r="L65" s="230"/>
      <c r="M65" s="62"/>
      <c r="N65" s="37"/>
      <c r="O65" s="37"/>
      <c r="P65" s="37"/>
      <c r="Q65" s="37"/>
      <c r="R65" s="37"/>
      <c r="S65" s="73" t="b">
        <f>OR(I65&gt;$Q$64,I65&lt;$R$64)</f>
        <v>0</v>
      </c>
      <c r="T65" s="235"/>
      <c r="U65" s="49"/>
      <c r="V65" s="72"/>
      <c r="W65" s="36"/>
      <c r="X65" s="72"/>
      <c r="Y65" s="36"/>
      <c r="Z65" s="83"/>
      <c r="AB65" s="111"/>
      <c r="AU65" s="105"/>
    </row>
    <row r="66" spans="1:47" x14ac:dyDescent="0.2">
      <c r="B66" s="41">
        <v>43</v>
      </c>
      <c r="C66" s="42" t="s">
        <v>41</v>
      </c>
      <c r="D66" s="43">
        <v>0.4</v>
      </c>
      <c r="E66" s="44">
        <v>150</v>
      </c>
      <c r="F66" s="45">
        <v>1695.97</v>
      </c>
      <c r="G66" s="99">
        <v>9.1199999999999992</v>
      </c>
      <c r="H66" s="43">
        <f t="shared" si="2"/>
        <v>1051.5014000000001</v>
      </c>
      <c r="I66" s="46">
        <f t="shared" si="0"/>
        <v>18.963191799399816</v>
      </c>
      <c r="J66" s="47" t="s">
        <v>136</v>
      </c>
      <c r="K66" s="225">
        <f>AVERAGE(I66:I71)</f>
        <v>16.779895882369125</v>
      </c>
      <c r="L66" s="228">
        <f>STDEV(I66:I71)</f>
        <v>1.8778325586692939</v>
      </c>
      <c r="M66" s="60"/>
      <c r="N66" s="43"/>
      <c r="O66" s="43"/>
      <c r="P66" s="43"/>
      <c r="Q66" s="43"/>
      <c r="R66" s="43"/>
      <c r="S66" s="68" t="b">
        <f t="shared" ref="S66:S71" si="9">OR(I66&gt;$Q$71,I66&lt;$R$71)</f>
        <v>0</v>
      </c>
      <c r="T66" s="233">
        <f>M68</f>
        <v>11.190966689145904</v>
      </c>
      <c r="U66" s="48"/>
      <c r="V66" s="29"/>
      <c r="W66" s="29"/>
      <c r="X66" s="29"/>
      <c r="Y66" s="29"/>
      <c r="Z66" s="79"/>
      <c r="AB66" s="111"/>
      <c r="AU66" s="105"/>
    </row>
    <row r="67" spans="1:47" x14ac:dyDescent="0.2">
      <c r="B67" s="28"/>
      <c r="C67" s="29" t="s">
        <v>42</v>
      </c>
      <c r="D67" s="30">
        <v>0.4</v>
      </c>
      <c r="E67" s="31">
        <v>150</v>
      </c>
      <c r="F67" s="32">
        <v>1464.59</v>
      </c>
      <c r="G67" s="93">
        <v>9.52</v>
      </c>
      <c r="H67" s="30">
        <f t="shared" si="2"/>
        <v>908.04579999999999</v>
      </c>
      <c r="I67" s="33">
        <f t="shared" si="0"/>
        <v>15.028828075347787</v>
      </c>
      <c r="J67" s="48" t="s">
        <v>136</v>
      </c>
      <c r="K67" s="226"/>
      <c r="L67" s="229"/>
      <c r="M67" s="64"/>
      <c r="N67" s="30"/>
      <c r="O67" s="30"/>
      <c r="P67" s="30"/>
      <c r="Q67" s="30"/>
      <c r="R67" s="30"/>
      <c r="S67" s="69" t="b">
        <f t="shared" si="9"/>
        <v>0</v>
      </c>
      <c r="T67" s="234"/>
      <c r="U67" s="48"/>
      <c r="V67" s="71"/>
      <c r="W67" s="88"/>
      <c r="X67" s="71"/>
      <c r="Y67" s="89"/>
      <c r="Z67" s="84"/>
      <c r="AB67" s="111"/>
      <c r="AU67" s="105"/>
    </row>
    <row r="68" spans="1:47" x14ac:dyDescent="0.2">
      <c r="B68" s="28"/>
      <c r="C68" s="29" t="s">
        <v>43</v>
      </c>
      <c r="D68" s="30">
        <v>0.4</v>
      </c>
      <c r="E68" s="31">
        <v>150</v>
      </c>
      <c r="F68" s="34">
        <v>1528.91</v>
      </c>
      <c r="G68" s="94">
        <v>9.68</v>
      </c>
      <c r="H68" s="30">
        <f t="shared" si="2"/>
        <v>947.92419999999993</v>
      </c>
      <c r="I68" s="33">
        <f t="shared" si="0"/>
        <v>15.174491795300868</v>
      </c>
      <c r="J68" s="48" t="s">
        <v>136</v>
      </c>
      <c r="K68" s="226"/>
      <c r="L68" s="229"/>
      <c r="M68" s="58">
        <f>(L66/K66)*100</f>
        <v>11.190966689145904</v>
      </c>
      <c r="N68" s="30"/>
      <c r="O68" s="30"/>
      <c r="P68" s="30"/>
      <c r="Q68" s="30"/>
      <c r="R68" s="30"/>
      <c r="S68" s="69" t="b">
        <f t="shared" si="9"/>
        <v>0</v>
      </c>
      <c r="T68" s="234"/>
      <c r="U68" s="122" t="s">
        <v>22</v>
      </c>
      <c r="V68" s="80">
        <f>AVERAGE(H66:H71)</f>
        <v>953.10739999999998</v>
      </c>
      <c r="W68" s="85">
        <f>STDEV(H66:H71)</f>
        <v>118.62070828822399</v>
      </c>
      <c r="X68" s="80">
        <f>AVERAGE(I66:I71)</f>
        <v>16.779895882369125</v>
      </c>
      <c r="Y68" s="81">
        <f>STDEV(I66:I71)</f>
        <v>1.8778325586692939</v>
      </c>
      <c r="Z68" s="87">
        <f>T66</f>
        <v>11.190966689145904</v>
      </c>
      <c r="AB68" s="111"/>
      <c r="AU68" s="105"/>
    </row>
    <row r="69" spans="1:47" x14ac:dyDescent="0.2">
      <c r="B69" s="28">
        <v>51</v>
      </c>
      <c r="C69" s="29" t="s">
        <v>96</v>
      </c>
      <c r="D69" s="30">
        <v>0.4</v>
      </c>
      <c r="E69" s="31">
        <v>150</v>
      </c>
      <c r="F69" s="32">
        <v>1470.1</v>
      </c>
      <c r="G69" s="95">
        <v>9.08</v>
      </c>
      <c r="H69" s="30">
        <f t="shared" si="2"/>
        <v>911.46199999999999</v>
      </c>
      <c r="I69" s="33">
        <f t="shared" si="0"/>
        <v>16.58281016514972</v>
      </c>
      <c r="J69" s="48" t="s">
        <v>135</v>
      </c>
      <c r="K69" s="226"/>
      <c r="L69" s="229"/>
      <c r="M69" s="65"/>
      <c r="N69" s="30"/>
      <c r="O69" s="30"/>
      <c r="P69" s="30"/>
      <c r="Q69" s="30"/>
      <c r="R69" s="30"/>
      <c r="S69" s="69" t="b">
        <f t="shared" si="9"/>
        <v>0</v>
      </c>
      <c r="T69" s="234"/>
      <c r="U69" s="48"/>
      <c r="V69" s="71"/>
      <c r="W69" s="29"/>
      <c r="X69" s="71"/>
      <c r="Y69" s="29"/>
      <c r="Z69" s="84"/>
      <c r="AB69" s="111"/>
      <c r="AU69" s="105"/>
    </row>
    <row r="70" spans="1:47" x14ac:dyDescent="0.2">
      <c r="B70" s="28"/>
      <c r="C70" s="29" t="s">
        <v>97</v>
      </c>
      <c r="D70" s="30">
        <v>0.4</v>
      </c>
      <c r="E70" s="31">
        <v>150</v>
      </c>
      <c r="F70" s="32">
        <v>1803.98</v>
      </c>
      <c r="G70" s="95">
        <v>9.34</v>
      </c>
      <c r="H70" s="30">
        <f t="shared" si="2"/>
        <v>1118.4675999999999</v>
      </c>
      <c r="I70" s="33">
        <f t="shared" si="0"/>
        <v>19.231843421722328</v>
      </c>
      <c r="J70" s="48" t="s">
        <v>135</v>
      </c>
      <c r="K70" s="226"/>
      <c r="L70" s="229"/>
      <c r="M70" s="92"/>
      <c r="N70" s="30"/>
      <c r="O70" s="30"/>
      <c r="P70" s="30"/>
      <c r="Q70" s="30"/>
      <c r="R70" s="30"/>
      <c r="S70" s="69" t="b">
        <f t="shared" si="9"/>
        <v>0</v>
      </c>
      <c r="T70" s="234"/>
      <c r="U70" s="48"/>
      <c r="V70" s="29"/>
      <c r="W70" s="29"/>
      <c r="X70" s="29"/>
      <c r="Y70" s="29"/>
      <c r="Z70" s="79"/>
      <c r="AB70" s="111"/>
      <c r="AU70" s="105"/>
    </row>
    <row r="71" spans="1:47" x14ac:dyDescent="0.2">
      <c r="B71" s="35"/>
      <c r="C71" s="36" t="s">
        <v>98</v>
      </c>
      <c r="D71" s="37">
        <v>0.4</v>
      </c>
      <c r="E71" s="38">
        <v>150</v>
      </c>
      <c r="F71" s="39">
        <v>1260.07</v>
      </c>
      <c r="G71" s="97">
        <v>8.64</v>
      </c>
      <c r="H71" s="37">
        <f t="shared" si="2"/>
        <v>781.24339999999995</v>
      </c>
      <c r="I71" s="40">
        <f t="shared" si="0"/>
        <v>15.698210037294237</v>
      </c>
      <c r="J71" s="49" t="s">
        <v>135</v>
      </c>
      <c r="K71" s="227"/>
      <c r="L71" s="230"/>
      <c r="M71" s="62"/>
      <c r="N71" s="30">
        <f>QUARTILE(I66:I71,1)</f>
        <v>15.305421355799211</v>
      </c>
      <c r="O71" s="30">
        <f>QUARTILE(I66:I71,3)</f>
        <v>18.368096390837291</v>
      </c>
      <c r="P71" s="30">
        <f>O71-N71</f>
        <v>3.0626750350380796</v>
      </c>
      <c r="Q71" s="30">
        <f>O71+(1.5*P71)</f>
        <v>22.962108943394412</v>
      </c>
      <c r="R71" s="30">
        <f>N71-(1.5*P71)</f>
        <v>10.711408803242092</v>
      </c>
      <c r="S71" s="73" t="b">
        <f t="shared" si="9"/>
        <v>0</v>
      </c>
      <c r="T71" s="235"/>
      <c r="U71" s="48"/>
      <c r="V71" s="71"/>
      <c r="W71" s="29"/>
      <c r="X71" s="71"/>
      <c r="Y71" s="29"/>
      <c r="Z71" s="84"/>
      <c r="AB71" s="111"/>
      <c r="AU71" s="105"/>
    </row>
    <row r="72" spans="1:47" x14ac:dyDescent="0.2">
      <c r="B72" s="41">
        <v>48</v>
      </c>
      <c r="C72" s="42" t="s">
        <v>63</v>
      </c>
      <c r="D72" s="43">
        <v>0.38800000000000001</v>
      </c>
      <c r="E72" s="44">
        <v>212</v>
      </c>
      <c r="F72" s="45">
        <v>1550.13</v>
      </c>
      <c r="G72" s="99">
        <v>9.9600000000000009</v>
      </c>
      <c r="H72" s="43">
        <f t="shared" si="2"/>
        <v>961.08060000000012</v>
      </c>
      <c r="I72" s="46">
        <f t="shared" si="0"/>
        <v>14.532234359123237</v>
      </c>
      <c r="J72" s="29"/>
      <c r="K72" s="225">
        <f>AVERAGE(I72:I74)</f>
        <v>14.594427105891187</v>
      </c>
      <c r="L72" s="228">
        <f>STDEV(I72:I74)</f>
        <v>0.39847041227680619</v>
      </c>
      <c r="M72" s="66"/>
      <c r="N72" s="43"/>
      <c r="O72" s="43"/>
      <c r="P72" s="43"/>
      <c r="Q72" s="43"/>
      <c r="R72" s="43"/>
      <c r="S72" s="68" t="b">
        <f>OR(I72&gt;$Q$73,I72&lt;$AE$1206)</f>
        <v>0</v>
      </c>
      <c r="T72" s="225">
        <f>M73</f>
        <v>2.7302915653054969</v>
      </c>
      <c r="U72" s="47"/>
      <c r="V72" s="74"/>
      <c r="W72" s="42"/>
      <c r="X72" s="74"/>
      <c r="Y72" s="42"/>
      <c r="Z72" s="86"/>
      <c r="AB72" s="111"/>
      <c r="AU72" s="105"/>
    </row>
    <row r="73" spans="1:47" x14ac:dyDescent="0.2">
      <c r="B73" s="28"/>
      <c r="C73" s="29" t="s">
        <v>64</v>
      </c>
      <c r="D73" s="30">
        <v>0.38800000000000001</v>
      </c>
      <c r="E73" s="31">
        <v>212</v>
      </c>
      <c r="F73" s="32">
        <v>1615.09</v>
      </c>
      <c r="G73" s="93">
        <v>10</v>
      </c>
      <c r="H73" s="30">
        <f t="shared" si="2"/>
        <v>1001.3558</v>
      </c>
      <c r="I73" s="33">
        <f t="shared" si="0"/>
        <v>15.020337</v>
      </c>
      <c r="J73" s="29"/>
      <c r="K73" s="226"/>
      <c r="L73" s="229"/>
      <c r="M73" s="63">
        <f>(L72/K72)*100</f>
        <v>2.7302915653054969</v>
      </c>
      <c r="N73" s="30">
        <f>QUARTILE(I72:I74,1)</f>
        <v>14.381472158836782</v>
      </c>
      <c r="O73" s="30">
        <f>QUARTILE(I72:I74,3)</f>
        <v>14.776285679561617</v>
      </c>
      <c r="P73" s="30">
        <f t="shared" ref="P73" si="10">O73-N73</f>
        <v>0.39481352072483489</v>
      </c>
      <c r="Q73" s="30">
        <f t="shared" ref="Q73" si="11">O73+(1.5*P73)</f>
        <v>15.36850596064887</v>
      </c>
      <c r="R73" s="30">
        <f>N73-(1.5*P73)</f>
        <v>13.78925187774953</v>
      </c>
      <c r="S73" s="69" t="b">
        <f>OR(I73&gt;$Q$73,I73&lt;$AE$1206)</f>
        <v>0</v>
      </c>
      <c r="T73" s="226"/>
      <c r="U73" s="122" t="s">
        <v>70</v>
      </c>
      <c r="V73" s="80">
        <f>AVERAGE(H72:H74)</f>
        <v>844.57640000000004</v>
      </c>
      <c r="W73" s="85">
        <f>STDEV(H72:H74)</f>
        <v>237.52571956628194</v>
      </c>
      <c r="X73" s="80">
        <f>AVERAGE(I72:I74)</f>
        <v>14.594427105891187</v>
      </c>
      <c r="Y73" s="81">
        <f>STDEV(I72:I74)</f>
        <v>0.39847041227680619</v>
      </c>
      <c r="Z73" s="82">
        <f>T72</f>
        <v>2.7302915653054969</v>
      </c>
      <c r="AB73" s="111"/>
      <c r="AU73" s="105"/>
    </row>
    <row r="74" spans="1:47" x14ac:dyDescent="0.2">
      <c r="B74" s="35"/>
      <c r="C74" s="36" t="s">
        <v>65</v>
      </c>
      <c r="D74" s="37">
        <v>0.38800000000000001</v>
      </c>
      <c r="E74" s="38">
        <v>212</v>
      </c>
      <c r="F74" s="39">
        <v>921.44</v>
      </c>
      <c r="G74" s="100">
        <v>7.76</v>
      </c>
      <c r="H74" s="37">
        <f t="shared" si="2"/>
        <v>571.29280000000006</v>
      </c>
      <c r="I74" s="40">
        <f t="shared" si="0"/>
        <v>14.230709958550326</v>
      </c>
      <c r="J74" s="29"/>
      <c r="K74" s="227"/>
      <c r="L74" s="230"/>
      <c r="M74" s="59"/>
      <c r="N74" s="37"/>
      <c r="O74" s="37"/>
      <c r="P74" s="37"/>
      <c r="Q74" s="37"/>
      <c r="R74" s="37"/>
      <c r="S74" s="73" t="b">
        <f>OR(I74&gt;$Q$73,I74&lt;$AE$1206)</f>
        <v>0</v>
      </c>
      <c r="T74" s="227"/>
      <c r="U74" s="49"/>
      <c r="V74" s="72"/>
      <c r="W74" s="36"/>
      <c r="X74" s="72"/>
      <c r="Y74" s="36"/>
      <c r="Z74" s="83"/>
      <c r="AB74" s="111"/>
      <c r="AU74" s="105"/>
    </row>
    <row r="75" spans="1:47" x14ac:dyDescent="0.2">
      <c r="B75" s="41">
        <v>43</v>
      </c>
      <c r="C75" s="42" t="s">
        <v>44</v>
      </c>
      <c r="D75" s="43">
        <v>0.35899999999999999</v>
      </c>
      <c r="E75" s="44">
        <v>300</v>
      </c>
      <c r="F75" s="45">
        <v>1368.91</v>
      </c>
      <c r="G75" s="98">
        <v>10.38</v>
      </c>
      <c r="H75" s="43">
        <f t="shared" si="2"/>
        <v>848.7242</v>
      </c>
      <c r="I75" s="46">
        <f t="shared" si="0"/>
        <v>11.815800171517036</v>
      </c>
      <c r="J75" s="47" t="s">
        <v>136</v>
      </c>
      <c r="K75" s="225">
        <f>AVERAGE(I75:I77)</f>
        <v>14.51096066534015</v>
      </c>
      <c r="L75" s="228">
        <f>STDEV(I75:I77)</f>
        <v>2.3751845821195299</v>
      </c>
      <c r="M75" s="240">
        <f>(L75/K75)*100</f>
        <v>16.368210464471364</v>
      </c>
      <c r="N75" s="43"/>
      <c r="O75" s="43"/>
      <c r="P75" s="43"/>
      <c r="Q75" s="43"/>
      <c r="R75" s="43"/>
      <c r="S75" s="68" t="b">
        <f t="shared" ref="S75:S80" si="12">OR(I75&gt;$Q$80,I75&lt;$R$80)</f>
        <v>0</v>
      </c>
      <c r="T75" s="233">
        <f>M79</f>
        <v>13.572905564734187</v>
      </c>
      <c r="U75" s="48"/>
      <c r="V75" s="29"/>
      <c r="W75" s="29"/>
      <c r="X75" s="29"/>
      <c r="Y75" s="29"/>
      <c r="Z75" s="79"/>
      <c r="AB75" s="111"/>
      <c r="AU75" s="105"/>
    </row>
    <row r="76" spans="1:47" x14ac:dyDescent="0.2">
      <c r="A76" s="3"/>
      <c r="B76" s="28"/>
      <c r="C76" s="29" t="s">
        <v>45</v>
      </c>
      <c r="D76" s="30">
        <v>0.35899999999999999</v>
      </c>
      <c r="E76" s="31">
        <v>300</v>
      </c>
      <c r="F76" s="32">
        <v>1924.81</v>
      </c>
      <c r="G76" s="95">
        <v>10.48</v>
      </c>
      <c r="H76" s="30">
        <f t="shared" si="2"/>
        <v>1193.3822</v>
      </c>
      <c r="I76" s="33">
        <f t="shared" si="0"/>
        <v>16.29852299545481</v>
      </c>
      <c r="J76" s="48" t="s">
        <v>136</v>
      </c>
      <c r="K76" s="226"/>
      <c r="L76" s="229"/>
      <c r="M76" s="241"/>
      <c r="N76" s="30"/>
      <c r="O76" s="30"/>
      <c r="P76" s="30"/>
      <c r="Q76" s="30"/>
      <c r="R76" s="30"/>
      <c r="S76" s="69" t="b">
        <f t="shared" si="12"/>
        <v>0</v>
      </c>
      <c r="T76" s="234"/>
      <c r="U76" s="48"/>
      <c r="V76" s="71"/>
      <c r="W76" s="88"/>
      <c r="X76" s="71"/>
      <c r="Y76" s="89"/>
      <c r="Z76" s="84"/>
      <c r="AB76" s="111"/>
      <c r="AU76" s="105"/>
    </row>
    <row r="77" spans="1:47" ht="17" thickBot="1" x14ac:dyDescent="0.25">
      <c r="B77" s="28"/>
      <c r="C77" s="29" t="s">
        <v>46</v>
      </c>
      <c r="D77" s="30">
        <v>0.35899999999999999</v>
      </c>
      <c r="E77" s="31">
        <v>300</v>
      </c>
      <c r="F77" s="34">
        <v>1731.66</v>
      </c>
      <c r="G77" s="96">
        <v>10.220000000000001</v>
      </c>
      <c r="H77" s="30">
        <f t="shared" si="2"/>
        <v>1073.6292000000001</v>
      </c>
      <c r="I77" s="33">
        <f t="shared" si="0"/>
        <v>15.418558829048603</v>
      </c>
      <c r="J77" s="48" t="s">
        <v>136</v>
      </c>
      <c r="K77" s="231"/>
      <c r="L77" s="232"/>
      <c r="M77" s="244"/>
      <c r="N77" s="30"/>
      <c r="O77" s="30"/>
      <c r="P77" s="30"/>
      <c r="Q77" s="30"/>
      <c r="R77" s="30"/>
      <c r="S77" s="69" t="b">
        <f t="shared" si="12"/>
        <v>0</v>
      </c>
      <c r="T77" s="234"/>
      <c r="U77" s="122" t="s">
        <v>71</v>
      </c>
      <c r="V77" s="80">
        <f>AVERAGE(H75:H80)</f>
        <v>882.58860000000004</v>
      </c>
      <c r="W77" s="85">
        <f>STDEV(H75:H80)</f>
        <v>207.00499496616999</v>
      </c>
      <c r="X77" s="80">
        <f>AVERAGE(I75:I80)</f>
        <v>13.846734340626176</v>
      </c>
      <c r="Y77" s="81">
        <f>STDEV(I75:I80)</f>
        <v>1.8794041758528097</v>
      </c>
      <c r="Z77" s="87">
        <f>T75</f>
        <v>13.572905564734187</v>
      </c>
      <c r="AB77" s="111"/>
      <c r="AU77" s="105"/>
    </row>
    <row r="78" spans="1:47" x14ac:dyDescent="0.2">
      <c r="B78" s="28">
        <v>54</v>
      </c>
      <c r="C78" s="29" t="s">
        <v>111</v>
      </c>
      <c r="D78" s="30">
        <v>0.35899999999999999</v>
      </c>
      <c r="E78" s="31">
        <v>300</v>
      </c>
      <c r="F78" s="32">
        <v>1164.67</v>
      </c>
      <c r="G78" s="95">
        <v>9.66</v>
      </c>
      <c r="H78" s="30">
        <f t="shared" si="2"/>
        <v>722.09540000000004</v>
      </c>
      <c r="I78" s="33">
        <f t="shared" si="0"/>
        <v>11.607310031763181</v>
      </c>
      <c r="J78" s="29" t="s">
        <v>180</v>
      </c>
      <c r="K78" s="245">
        <f>AVERAGE(I75:I80)</f>
        <v>13.846734340626176</v>
      </c>
      <c r="L78" s="246">
        <f>STDEV(I75:I80)</f>
        <v>1.8794041758528097</v>
      </c>
      <c r="M78" s="67"/>
      <c r="N78" s="30"/>
      <c r="O78" s="30"/>
      <c r="P78" s="30"/>
      <c r="Q78" s="30"/>
      <c r="R78" s="30"/>
      <c r="S78" s="69" t="b">
        <f t="shared" si="12"/>
        <v>0</v>
      </c>
      <c r="T78" s="234"/>
      <c r="U78" s="48"/>
      <c r="V78" s="71"/>
      <c r="W78" s="29"/>
      <c r="X78" s="71"/>
      <c r="Y78" s="29"/>
      <c r="Z78" s="84"/>
      <c r="AB78" s="111"/>
      <c r="AU78" s="105"/>
    </row>
    <row r="79" spans="1:47" x14ac:dyDescent="0.2">
      <c r="B79" s="28"/>
      <c r="C79" s="29" t="s">
        <v>112</v>
      </c>
      <c r="D79" s="30">
        <v>0.35899999999999999</v>
      </c>
      <c r="E79" s="31">
        <v>300</v>
      </c>
      <c r="F79" s="32">
        <v>1270.92</v>
      </c>
      <c r="G79" s="95">
        <v>9.2200000000000006</v>
      </c>
      <c r="H79" s="30">
        <f t="shared" si="2"/>
        <v>787.97040000000004</v>
      </c>
      <c r="I79" s="33">
        <f t="shared" si="0"/>
        <v>13.903985959034637</v>
      </c>
      <c r="J79" s="29" t="s">
        <v>180</v>
      </c>
      <c r="K79" s="226"/>
      <c r="L79" s="229"/>
      <c r="M79" s="58">
        <f>(L78/K78)*100</f>
        <v>13.572905564734187</v>
      </c>
      <c r="N79" s="30"/>
      <c r="O79" s="30"/>
      <c r="P79" s="30"/>
      <c r="Q79" s="30"/>
      <c r="R79" s="30"/>
      <c r="S79" s="69" t="b">
        <f t="shared" si="12"/>
        <v>0</v>
      </c>
      <c r="T79" s="234"/>
      <c r="U79" s="48"/>
      <c r="V79" s="29"/>
      <c r="W79" s="29"/>
      <c r="X79" s="29"/>
      <c r="Y79" s="29"/>
      <c r="Z79" s="79"/>
      <c r="AB79" s="111"/>
      <c r="AU79" s="105"/>
    </row>
    <row r="80" spans="1:47" x14ac:dyDescent="0.2">
      <c r="B80" s="35"/>
      <c r="C80" s="36" t="s">
        <v>113</v>
      </c>
      <c r="D80" s="37">
        <v>0.35899999999999999</v>
      </c>
      <c r="E80" s="38">
        <v>300</v>
      </c>
      <c r="F80" s="39">
        <v>1080.21</v>
      </c>
      <c r="G80" s="97">
        <v>8.4600000000000009</v>
      </c>
      <c r="H80" s="37">
        <f t="shared" si="2"/>
        <v>669.73020000000008</v>
      </c>
      <c r="I80" s="40">
        <f t="shared" si="0"/>
        <v>14.036228056938782</v>
      </c>
      <c r="J80" s="29" t="s">
        <v>180</v>
      </c>
      <c r="K80" s="227"/>
      <c r="L80" s="230"/>
      <c r="M80" s="62"/>
      <c r="N80" s="30">
        <f>QUARTILE(I75:I80,1)</f>
        <v>12.337846618396437</v>
      </c>
      <c r="O80" s="30">
        <f>QUARTILE(I75:I80,3)</f>
        <v>15.072976136021147</v>
      </c>
      <c r="P80" s="30">
        <f>O80-N80</f>
        <v>2.7351295176247099</v>
      </c>
      <c r="Q80" s="30">
        <f>O80+(1.5*P80)</f>
        <v>19.17567041245821</v>
      </c>
      <c r="R80" s="30">
        <f>N80-(1.5*P80)</f>
        <v>8.2351523419593722</v>
      </c>
      <c r="S80" s="73" t="b">
        <f t="shared" si="12"/>
        <v>0</v>
      </c>
      <c r="T80" s="235"/>
      <c r="U80" s="48"/>
      <c r="V80" s="71"/>
      <c r="W80" s="29"/>
      <c r="X80" s="71"/>
      <c r="Y80" s="29"/>
      <c r="Z80" s="84"/>
      <c r="AB80" s="111"/>
      <c r="AU80" s="105"/>
    </row>
    <row r="81" spans="2:47" x14ac:dyDescent="0.2">
      <c r="B81" s="41">
        <v>46</v>
      </c>
      <c r="C81" s="42" t="s">
        <v>49</v>
      </c>
      <c r="D81" s="43">
        <v>0.4</v>
      </c>
      <c r="E81" s="44">
        <v>425</v>
      </c>
      <c r="F81" s="45">
        <v>1253.1600000000001</v>
      </c>
      <c r="G81" s="99">
        <v>10.42</v>
      </c>
      <c r="H81" s="43">
        <f t="shared" si="2"/>
        <v>776.95920000000001</v>
      </c>
      <c r="I81" s="46">
        <f t="shared" si="0"/>
        <v>10.733813241183169</v>
      </c>
      <c r="J81" s="29"/>
      <c r="K81" s="225">
        <f>AVERAGE(I81:I83)</f>
        <v>11.722171497959245</v>
      </c>
      <c r="L81" s="228">
        <f>STDEV(I81:I83)</f>
        <v>1.5180064171992433</v>
      </c>
      <c r="M81" s="60"/>
      <c r="N81" s="43"/>
      <c r="O81" s="43"/>
      <c r="P81" s="43"/>
      <c r="Q81" s="43"/>
      <c r="R81" s="43"/>
      <c r="S81" s="68" t="b">
        <f>OR(I81&gt;$Q$82,I81&lt;$R$82)</f>
        <v>0</v>
      </c>
      <c r="T81" s="233">
        <f>M82</f>
        <v>12.949873813597751</v>
      </c>
      <c r="U81" s="47"/>
      <c r="V81" s="74"/>
      <c r="W81" s="42"/>
      <c r="X81" s="74"/>
      <c r="Y81" s="42"/>
      <c r="Z81" s="86"/>
      <c r="AB81" s="111"/>
      <c r="AU81" s="105"/>
    </row>
    <row r="82" spans="2:47" x14ac:dyDescent="0.2">
      <c r="B82" s="28"/>
      <c r="C82" s="29" t="s">
        <v>48</v>
      </c>
      <c r="D82" s="30">
        <v>0.4</v>
      </c>
      <c r="E82" s="31">
        <v>425</v>
      </c>
      <c r="F82" s="32">
        <v>1192.97</v>
      </c>
      <c r="G82" s="93">
        <v>10.06</v>
      </c>
      <c r="H82" s="30">
        <f t="shared" si="2"/>
        <v>739.64139999999998</v>
      </c>
      <c r="I82" s="33">
        <f t="shared" si="0"/>
        <v>10.962674252694567</v>
      </c>
      <c r="J82" s="29"/>
      <c r="K82" s="226"/>
      <c r="L82" s="229"/>
      <c r="M82" s="58">
        <f>(L81/K81)*100</f>
        <v>12.949873813597751</v>
      </c>
      <c r="N82" s="30">
        <f>QUARTILE(I81:I83,1)</f>
        <v>10.848243746938868</v>
      </c>
      <c r="O82" s="30">
        <f>QUARTILE(I81:I83,3)</f>
        <v>12.216350626347282</v>
      </c>
      <c r="P82" s="30">
        <f t="shared" ref="P82" si="13">O82-N82</f>
        <v>1.3681068794084137</v>
      </c>
      <c r="Q82" s="30">
        <f t="shared" ref="Q82" si="14">O82+(1.5*P82)</f>
        <v>14.268510945459902</v>
      </c>
      <c r="R82" s="30">
        <f>N82-(1.5*P82)</f>
        <v>8.7960834278262467</v>
      </c>
      <c r="S82" s="69" t="b">
        <f>OR(I82&gt;$Q$82,I82&lt;$R$82)</f>
        <v>0</v>
      </c>
      <c r="T82" s="234"/>
      <c r="U82" s="122" t="s">
        <v>73</v>
      </c>
      <c r="V82" s="80">
        <f>AVERAGE(H81:H83)</f>
        <v>804.8674666666667</v>
      </c>
      <c r="W82" s="85">
        <f>STDEV(H81:H83)</f>
        <v>82.786820106182034</v>
      </c>
      <c r="X82" s="80">
        <f>AVERAGE(I81:I83)</f>
        <v>11.722171497959245</v>
      </c>
      <c r="Y82" s="81">
        <f>STDEV(I81:I83)</f>
        <v>1.5180064171992433</v>
      </c>
      <c r="Z82" s="87">
        <f>T81</f>
        <v>12.949873813597751</v>
      </c>
      <c r="AB82" s="111"/>
      <c r="AU82" s="105"/>
    </row>
    <row r="83" spans="2:47" x14ac:dyDescent="0.2">
      <c r="B83" s="35"/>
      <c r="C83" s="36" t="s">
        <v>47</v>
      </c>
      <c r="D83" s="37">
        <v>0.4</v>
      </c>
      <c r="E83" s="38">
        <v>425</v>
      </c>
      <c r="F83" s="39">
        <v>1448.39</v>
      </c>
      <c r="G83" s="100">
        <v>10</v>
      </c>
      <c r="H83" s="37">
        <f t="shared" si="2"/>
        <v>898.00180000000012</v>
      </c>
      <c r="I83" s="40">
        <f t="shared" si="0"/>
        <v>13.470026999999998</v>
      </c>
      <c r="J83" s="29"/>
      <c r="K83" s="227"/>
      <c r="L83" s="230"/>
      <c r="M83" s="62"/>
      <c r="N83" s="37"/>
      <c r="O83" s="37"/>
      <c r="P83" s="37"/>
      <c r="Q83" s="37"/>
      <c r="R83" s="37"/>
      <c r="S83" s="73" t="b">
        <f>OR(I83&gt;$Q$82,I83&lt;$R$82)</f>
        <v>0</v>
      </c>
      <c r="T83" s="235"/>
      <c r="U83" s="49"/>
      <c r="V83" s="72"/>
      <c r="W83" s="36"/>
      <c r="X83" s="72"/>
      <c r="Y83" s="36"/>
      <c r="Z83" s="83"/>
      <c r="AB83" s="111"/>
      <c r="AU83" s="105"/>
    </row>
    <row r="84" spans="2:47" x14ac:dyDescent="0.2">
      <c r="B84" s="41">
        <v>33</v>
      </c>
      <c r="C84" s="42" t="s">
        <v>14</v>
      </c>
      <c r="D84" s="43">
        <v>0.4</v>
      </c>
      <c r="E84" s="44">
        <v>600</v>
      </c>
      <c r="F84" s="45">
        <v>1551.89</v>
      </c>
      <c r="G84" s="99">
        <v>9.64</v>
      </c>
      <c r="H84" s="43">
        <f t="shared" si="2"/>
        <v>962.17180000000008</v>
      </c>
      <c r="I84" s="46">
        <f t="shared" si="0"/>
        <v>15.530656540004474</v>
      </c>
      <c r="J84" s="47" t="s">
        <v>136</v>
      </c>
      <c r="K84" s="225">
        <f>AVERAGE(I84:I92)</f>
        <v>13.872499902720067</v>
      </c>
      <c r="L84" s="237">
        <f>STDEV(I84:I92)</f>
        <v>2.2777018491554024</v>
      </c>
      <c r="M84" s="240">
        <f>(L84/K84)*100</f>
        <v>16.418827645540652</v>
      </c>
      <c r="N84" s="43"/>
      <c r="O84" s="43"/>
      <c r="P84" s="43"/>
      <c r="Q84" s="43"/>
      <c r="R84" s="43"/>
      <c r="S84" s="68" t="b">
        <f t="shared" ref="S84:S92" si="15">OR(I84&gt;$Q$91,I84&lt;$R$91)</f>
        <v>0</v>
      </c>
      <c r="T84" s="233">
        <f>((STDEV(I84:I88,I90:I92))/(AVERAGE(I84:I88,I90:I92)))*100</f>
        <v>10.613014924518028</v>
      </c>
      <c r="U84" s="48"/>
      <c r="V84" s="29"/>
      <c r="W84" s="29"/>
      <c r="X84" s="29"/>
      <c r="Y84" s="29"/>
      <c r="Z84" s="79"/>
      <c r="AB84" s="111"/>
      <c r="AU84" s="105"/>
    </row>
    <row r="85" spans="2:47" x14ac:dyDescent="0.2">
      <c r="B85" s="28"/>
      <c r="C85" s="29" t="s">
        <v>15</v>
      </c>
      <c r="D85" s="30">
        <v>0.4</v>
      </c>
      <c r="E85" s="31">
        <v>600</v>
      </c>
      <c r="F85" s="32">
        <v>1500.54</v>
      </c>
      <c r="G85" s="93">
        <v>9.94</v>
      </c>
      <c r="H85" s="30">
        <f t="shared" si="2"/>
        <v>930.33479999999997</v>
      </c>
      <c r="I85" s="33">
        <f t="shared" si="0"/>
        <v>14.124001554599227</v>
      </c>
      <c r="J85" s="48" t="s">
        <v>136</v>
      </c>
      <c r="K85" s="226"/>
      <c r="L85" s="238"/>
      <c r="M85" s="241"/>
      <c r="N85" s="30"/>
      <c r="O85" s="30"/>
      <c r="P85" s="30"/>
      <c r="Q85" s="30"/>
      <c r="R85" s="30"/>
      <c r="S85" s="69" t="b">
        <f t="shared" si="15"/>
        <v>0</v>
      </c>
      <c r="T85" s="234"/>
      <c r="U85" s="48"/>
      <c r="V85" s="29"/>
      <c r="W85" s="29"/>
      <c r="X85" s="29"/>
      <c r="Y85" s="29"/>
      <c r="Z85" s="79"/>
      <c r="AB85" s="111"/>
      <c r="AU85" s="105"/>
    </row>
    <row r="86" spans="2:47" x14ac:dyDescent="0.2">
      <c r="B86" s="28"/>
      <c r="C86" s="29" t="s">
        <v>16</v>
      </c>
      <c r="D86" s="30">
        <v>0.4</v>
      </c>
      <c r="E86" s="31">
        <v>600</v>
      </c>
      <c r="F86" s="34">
        <v>1586.36</v>
      </c>
      <c r="G86" s="94">
        <v>10.02</v>
      </c>
      <c r="H86" s="30">
        <f t="shared" si="2"/>
        <v>983.54319999999996</v>
      </c>
      <c r="I86" s="33">
        <f t="shared" si="0"/>
        <v>14.694311974852692</v>
      </c>
      <c r="J86" s="48" t="s">
        <v>136</v>
      </c>
      <c r="K86" s="226"/>
      <c r="L86" s="238"/>
      <c r="M86" s="241"/>
      <c r="N86" s="30"/>
      <c r="O86" s="30"/>
      <c r="P86" s="30"/>
      <c r="Q86" s="30"/>
      <c r="R86" s="30"/>
      <c r="S86" s="69" t="b">
        <f t="shared" si="15"/>
        <v>0</v>
      </c>
      <c r="T86" s="234"/>
      <c r="U86" s="48"/>
      <c r="V86" s="29"/>
      <c r="W86" s="29"/>
      <c r="X86" s="29"/>
      <c r="Y86" s="29"/>
      <c r="Z86" s="79"/>
      <c r="AB86" s="111"/>
      <c r="AU86" s="105"/>
    </row>
    <row r="87" spans="2:47" x14ac:dyDescent="0.2">
      <c r="B87" s="28">
        <v>55</v>
      </c>
      <c r="C87" s="29" t="s">
        <v>114</v>
      </c>
      <c r="D87" s="30">
        <v>0.4</v>
      </c>
      <c r="E87" s="31">
        <v>600</v>
      </c>
      <c r="F87" s="32">
        <v>1268.3499999999999</v>
      </c>
      <c r="G87" s="95">
        <v>9.4</v>
      </c>
      <c r="H87" s="30">
        <f t="shared" si="2"/>
        <v>786.37699999999995</v>
      </c>
      <c r="I87" s="33">
        <f t="shared" si="0"/>
        <v>13.349541647804433</v>
      </c>
      <c r="J87" s="48" t="s">
        <v>135</v>
      </c>
      <c r="K87" s="226"/>
      <c r="L87" s="238"/>
      <c r="M87" s="241"/>
      <c r="N87" s="30"/>
      <c r="O87" s="30"/>
      <c r="P87" s="30"/>
      <c r="Q87" s="30"/>
      <c r="R87" s="30"/>
      <c r="S87" s="69" t="b">
        <f t="shared" si="15"/>
        <v>0</v>
      </c>
      <c r="T87" s="234"/>
      <c r="U87" s="48"/>
      <c r="V87" s="29"/>
      <c r="W87" s="29"/>
      <c r="X87" s="29"/>
      <c r="Y87" s="29"/>
      <c r="Z87" s="79"/>
      <c r="AB87" s="111"/>
      <c r="AU87" s="105"/>
    </row>
    <row r="88" spans="2:47" x14ac:dyDescent="0.2">
      <c r="B88" s="28"/>
      <c r="C88" s="29" t="s">
        <v>115</v>
      </c>
      <c r="D88" s="30">
        <v>0.4</v>
      </c>
      <c r="E88" s="31">
        <v>600</v>
      </c>
      <c r="F88" s="32">
        <v>1792.53</v>
      </c>
      <c r="G88" s="95">
        <v>10.26</v>
      </c>
      <c r="H88" s="30">
        <f t="shared" si="2"/>
        <v>1111.3686</v>
      </c>
      <c r="I88" s="33">
        <f t="shared" si="0"/>
        <v>15.836334256694368</v>
      </c>
      <c r="J88" s="48" t="s">
        <v>135</v>
      </c>
      <c r="K88" s="226"/>
      <c r="L88" s="238"/>
      <c r="M88" s="241"/>
      <c r="N88" s="30"/>
      <c r="O88" s="30"/>
      <c r="P88" s="30"/>
      <c r="Q88" s="30"/>
      <c r="R88" s="30"/>
      <c r="S88" s="69" t="b">
        <f t="shared" si="15"/>
        <v>0</v>
      </c>
      <c r="T88" s="234"/>
      <c r="U88" s="122" t="s">
        <v>23</v>
      </c>
      <c r="V88" s="80">
        <f>AVERAGE(H84:H88,H90:H92)</f>
        <v>923.55510000000004</v>
      </c>
      <c r="W88" s="85">
        <f>STDEV(H84:H88,H90:H92)</f>
        <v>126.63857981790932</v>
      </c>
      <c r="X88" s="80">
        <f>AVERAGE(I84:I88,I90:I92)</f>
        <v>14.461910708315649</v>
      </c>
      <c r="Y88" s="81">
        <f>STDEV(I84:I88,I90:I92)</f>
        <v>1.5348447418440108</v>
      </c>
      <c r="Z88" s="87">
        <f>T84</f>
        <v>10.613014924518028</v>
      </c>
      <c r="AB88" s="111"/>
      <c r="AU88" s="105"/>
    </row>
    <row r="89" spans="2:47" x14ac:dyDescent="0.2">
      <c r="B89" s="28"/>
      <c r="C89" s="29" t="s">
        <v>116</v>
      </c>
      <c r="D89" s="30">
        <v>0.4</v>
      </c>
      <c r="E89" s="31">
        <v>600</v>
      </c>
      <c r="F89" s="34">
        <v>769.45799999999997</v>
      </c>
      <c r="G89" s="96">
        <v>8.84</v>
      </c>
      <c r="H89" s="30">
        <f t="shared" si="2"/>
        <v>477.06396000000001</v>
      </c>
      <c r="I89" s="33">
        <f t="shared" si="0"/>
        <v>9.1572134579554056</v>
      </c>
      <c r="J89" s="48" t="s">
        <v>135</v>
      </c>
      <c r="K89" s="226"/>
      <c r="L89" s="238"/>
      <c r="M89" s="241"/>
      <c r="N89" s="30"/>
      <c r="O89" s="30"/>
      <c r="P89" s="30"/>
      <c r="Q89" s="30"/>
      <c r="R89" s="30"/>
      <c r="S89" s="70" t="b">
        <f t="shared" si="15"/>
        <v>1</v>
      </c>
      <c r="T89" s="234"/>
      <c r="U89" s="48"/>
      <c r="V89" s="29"/>
      <c r="W89" s="29"/>
      <c r="X89" s="29"/>
      <c r="Y89" s="29"/>
      <c r="Z89" s="79"/>
      <c r="AB89" s="111"/>
      <c r="AU89" s="105"/>
    </row>
    <row r="90" spans="2:47" x14ac:dyDescent="0.2">
      <c r="B90" s="28"/>
      <c r="C90" s="29" t="s">
        <v>117</v>
      </c>
      <c r="D90" s="30">
        <v>0.4</v>
      </c>
      <c r="E90" s="31">
        <v>600</v>
      </c>
      <c r="F90" s="32">
        <v>1127.92</v>
      </c>
      <c r="G90" s="95">
        <v>9.58</v>
      </c>
      <c r="H90" s="30">
        <f t="shared" si="2"/>
        <v>699.31040000000007</v>
      </c>
      <c r="I90" s="33">
        <f t="shared" si="0"/>
        <v>11.429578845977835</v>
      </c>
      <c r="J90" s="48" t="s">
        <v>135</v>
      </c>
      <c r="K90" s="226"/>
      <c r="L90" s="238"/>
      <c r="M90" s="241"/>
      <c r="N90" s="30"/>
      <c r="O90" s="30"/>
      <c r="P90" s="30"/>
      <c r="Q90" s="30"/>
      <c r="R90" s="30"/>
      <c r="S90" s="69" t="b">
        <f t="shared" si="15"/>
        <v>0</v>
      </c>
      <c r="T90" s="234"/>
      <c r="U90" s="48"/>
      <c r="V90" s="71"/>
      <c r="W90" s="29"/>
      <c r="X90" s="71"/>
      <c r="Y90" s="29"/>
      <c r="Z90" s="84"/>
      <c r="AB90" s="111"/>
      <c r="AU90" s="105"/>
    </row>
    <row r="91" spans="2:47" x14ac:dyDescent="0.2">
      <c r="B91" s="28"/>
      <c r="C91" s="29" t="s">
        <v>118</v>
      </c>
      <c r="D91" s="30">
        <v>0.4</v>
      </c>
      <c r="E91" s="31">
        <v>600</v>
      </c>
      <c r="F91" s="32">
        <v>1568.02</v>
      </c>
      <c r="G91" s="95">
        <v>10</v>
      </c>
      <c r="H91" s="30">
        <f t="shared" si="2"/>
        <v>972.17240000000004</v>
      </c>
      <c r="I91" s="33">
        <f t="shared" ref="I91:I92" si="16">(3*F91*62)/(2*100*(G91)^2)</f>
        <v>14.582585999999999</v>
      </c>
      <c r="J91" s="48" t="s">
        <v>135</v>
      </c>
      <c r="K91" s="226"/>
      <c r="L91" s="238"/>
      <c r="M91" s="241"/>
      <c r="N91" s="30">
        <f>QUARTILE(I84:I92,1)</f>
        <v>13.349541647804433</v>
      </c>
      <c r="O91" s="30">
        <f>QUARTILE(I84:I92,3)</f>
        <v>15.530656540004474</v>
      </c>
      <c r="P91" s="30">
        <f>O91-N91</f>
        <v>2.181114892200041</v>
      </c>
      <c r="Q91" s="30">
        <f>O91+(1.5*P91)</f>
        <v>18.802328878304536</v>
      </c>
      <c r="R91" s="30">
        <f>N91-(1.5*P91)</f>
        <v>10.077869309504372</v>
      </c>
      <c r="S91" s="69" t="b">
        <f t="shared" si="15"/>
        <v>0</v>
      </c>
      <c r="T91" s="234"/>
      <c r="U91" s="48"/>
      <c r="V91" s="29"/>
      <c r="W91" s="29"/>
      <c r="X91" s="29"/>
      <c r="Y91" s="29"/>
      <c r="Z91" s="79"/>
      <c r="AB91" s="111"/>
      <c r="AU91" s="105"/>
    </row>
    <row r="92" spans="2:47" ht="17" thickBot="1" x14ac:dyDescent="0.25">
      <c r="B92" s="50"/>
      <c r="C92" s="51" t="s">
        <v>119</v>
      </c>
      <c r="D92" s="52">
        <v>0.4</v>
      </c>
      <c r="E92" s="53">
        <v>600</v>
      </c>
      <c r="F92" s="54">
        <v>1521.23</v>
      </c>
      <c r="G92" s="101">
        <v>9.36</v>
      </c>
      <c r="H92" s="52">
        <f t="shared" ref="H92" si="17">(F92*62)/100</f>
        <v>943.1626</v>
      </c>
      <c r="I92" s="55">
        <f t="shared" si="16"/>
        <v>16.148274846592159</v>
      </c>
      <c r="J92" s="56" t="s">
        <v>135</v>
      </c>
      <c r="K92" s="236"/>
      <c r="L92" s="239"/>
      <c r="M92" s="242"/>
      <c r="N92" s="52"/>
      <c r="O92" s="52"/>
      <c r="P92" s="52"/>
      <c r="Q92" s="52"/>
      <c r="R92" s="52"/>
      <c r="S92" s="77" t="b">
        <f t="shared" si="15"/>
        <v>0</v>
      </c>
      <c r="T92" s="243"/>
      <c r="U92" s="56"/>
      <c r="V92" s="90"/>
      <c r="W92" s="51"/>
      <c r="X92" s="51"/>
      <c r="Y92" s="51"/>
      <c r="Z92" s="91"/>
      <c r="AB92" s="111"/>
      <c r="AU92" s="105"/>
    </row>
    <row r="93" spans="2:47" x14ac:dyDescent="0.2">
      <c r="AB93" s="111"/>
      <c r="AU93" s="105"/>
    </row>
    <row r="94" spans="2:47" x14ac:dyDescent="0.2">
      <c r="AB94" s="111"/>
      <c r="AU94" s="105"/>
    </row>
    <row r="95" spans="2:47" x14ac:dyDescent="0.2">
      <c r="AB95" s="111"/>
      <c r="AU95" s="105"/>
    </row>
    <row r="96" spans="2:47" x14ac:dyDescent="0.2">
      <c r="AB96" s="111"/>
      <c r="AU96" s="105"/>
    </row>
    <row r="97" spans="28:47" x14ac:dyDescent="0.2">
      <c r="AB97" s="111"/>
      <c r="AU97" s="105"/>
    </row>
    <row r="98" spans="28:47" x14ac:dyDescent="0.2">
      <c r="AB98" s="111"/>
      <c r="AU98" s="105"/>
    </row>
    <row r="99" spans="28:47" x14ac:dyDescent="0.2">
      <c r="AB99" s="111"/>
      <c r="AU99" s="105"/>
    </row>
    <row r="100" spans="28:47" x14ac:dyDescent="0.2">
      <c r="AB100" s="111"/>
      <c r="AU100" s="105"/>
    </row>
    <row r="101" spans="28:47" ht="17" thickBot="1" x14ac:dyDescent="0.25">
      <c r="AB101" s="113"/>
      <c r="AC101" s="7"/>
      <c r="AD101" s="7"/>
      <c r="AE101" s="7"/>
      <c r="AF101" s="7"/>
      <c r="AG101" s="7"/>
      <c r="AH101" s="7"/>
      <c r="AI101" s="7"/>
      <c r="AJ101" s="7"/>
      <c r="AK101" s="7"/>
      <c r="AL101" s="7"/>
      <c r="AM101" s="7"/>
      <c r="AN101" s="7"/>
      <c r="AO101" s="7"/>
      <c r="AP101" s="7"/>
      <c r="AQ101" s="7"/>
      <c r="AR101" s="7"/>
      <c r="AS101" s="7"/>
      <c r="AT101" s="7"/>
      <c r="AU101" s="108"/>
    </row>
  </sheetData>
  <mergeCells count="93">
    <mergeCell ref="AB3:AG3"/>
    <mergeCell ref="B4:E4"/>
    <mergeCell ref="F4:G4"/>
    <mergeCell ref="H4:I4"/>
    <mergeCell ref="K6:K11"/>
    <mergeCell ref="L6:L11"/>
    <mergeCell ref="M6:M11"/>
    <mergeCell ref="T6:T14"/>
    <mergeCell ref="K12:K14"/>
    <mergeCell ref="L12:L14"/>
    <mergeCell ref="AC14:AF14"/>
    <mergeCell ref="AC10:AD11"/>
    <mergeCell ref="AC6:AD7"/>
    <mergeCell ref="AC8:AD8"/>
    <mergeCell ref="AC9:AD9"/>
    <mergeCell ref="AC12:AD12"/>
    <mergeCell ref="K15:K17"/>
    <mergeCell ref="L15:L17"/>
    <mergeCell ref="T15:T17"/>
    <mergeCell ref="K18:K20"/>
    <mergeCell ref="L18:L20"/>
    <mergeCell ref="T18:T20"/>
    <mergeCell ref="K21:K23"/>
    <mergeCell ref="L21:L23"/>
    <mergeCell ref="T21:T23"/>
    <mergeCell ref="K24:K29"/>
    <mergeCell ref="L24:L29"/>
    <mergeCell ref="M24:M29"/>
    <mergeCell ref="T24:T29"/>
    <mergeCell ref="K30:K32"/>
    <mergeCell ref="L30:L32"/>
    <mergeCell ref="T30:T32"/>
    <mergeCell ref="K33:K35"/>
    <mergeCell ref="L33:L35"/>
    <mergeCell ref="T33:T35"/>
    <mergeCell ref="K36:K38"/>
    <mergeCell ref="L36:L38"/>
    <mergeCell ref="T36:T38"/>
    <mergeCell ref="K39:K41"/>
    <mergeCell ref="L39:L41"/>
    <mergeCell ref="T39:T41"/>
    <mergeCell ref="K42:K44"/>
    <mergeCell ref="L42:L44"/>
    <mergeCell ref="T42:T44"/>
    <mergeCell ref="K45:K47"/>
    <mergeCell ref="L45:L47"/>
    <mergeCell ref="T45:T47"/>
    <mergeCell ref="K48:K50"/>
    <mergeCell ref="L48:L50"/>
    <mergeCell ref="M48:M50"/>
    <mergeCell ref="T48:T53"/>
    <mergeCell ref="K51:K53"/>
    <mergeCell ref="L51:L53"/>
    <mergeCell ref="M51:M53"/>
    <mergeCell ref="K84:K92"/>
    <mergeCell ref="L84:L92"/>
    <mergeCell ref="M84:M92"/>
    <mergeCell ref="T84:T92"/>
    <mergeCell ref="K72:K74"/>
    <mergeCell ref="L72:L74"/>
    <mergeCell ref="T72:T74"/>
    <mergeCell ref="K75:K77"/>
    <mergeCell ref="L75:L77"/>
    <mergeCell ref="M75:M77"/>
    <mergeCell ref="T75:T80"/>
    <mergeCell ref="K78:K80"/>
    <mergeCell ref="L78:L80"/>
    <mergeCell ref="K81:K83"/>
    <mergeCell ref="L81:L83"/>
    <mergeCell ref="T81:T83"/>
    <mergeCell ref="K63:K65"/>
    <mergeCell ref="L63:L65"/>
    <mergeCell ref="T63:T65"/>
    <mergeCell ref="K66:K71"/>
    <mergeCell ref="L66:L71"/>
    <mergeCell ref="T66:T71"/>
    <mergeCell ref="K54:K56"/>
    <mergeCell ref="L54:L56"/>
    <mergeCell ref="T54:T56"/>
    <mergeCell ref="K57:K59"/>
    <mergeCell ref="L57:L59"/>
    <mergeCell ref="M57:M59"/>
    <mergeCell ref="T57:T62"/>
    <mergeCell ref="K60:K62"/>
    <mergeCell ref="L60:L62"/>
    <mergeCell ref="M60:M62"/>
    <mergeCell ref="AC23:AC24"/>
    <mergeCell ref="AC25:AC26"/>
    <mergeCell ref="AC13:AD13"/>
    <mergeCell ref="AE10:AF10"/>
    <mergeCell ref="AE6:AF6"/>
    <mergeCell ref="AC19:AC20"/>
    <mergeCell ref="AC21:AC22"/>
  </mergeCells>
  <pageMargins left="0.75" right="0.75" top="1" bottom="1" header="0.5" footer="0.5"/>
  <pageSetup paperSize="9" orientation="portrait" horizontalDpi="4294967292" verticalDpi="429496729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Aim&amp;Method</vt:lpstr>
      <vt:lpstr>Blank design chart (Fig 22)</vt:lpstr>
      <vt:lpstr>Summary design chart (Fig 34)</vt:lpstr>
    </vt:vector>
  </TitlesOfParts>
  <Company>Helios Solar Solutions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Karabo Makole</dc:creator>
  <cp:keywords/>
  <cp:lastModifiedBy>Karabo Makole</cp:lastModifiedBy>
  <dcterms:created xsi:type="dcterms:W3CDTF">2021-10-15T07:29:33Z</dcterms:created>
  <dcterms:modified xsi:type="dcterms:W3CDTF">2024-12-09T17:51:42Z</dcterms:modified>
</cp:coreProperties>
</file>