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C:\Users\MJNDON001\University of Cape Town\Thanos Kotsiopoulos - Documents\Publications\Articles\2019\Final\Minerals Engineering\Revised Version\Data - Uploaded to Zivahub\"/>
    </mc:Choice>
  </mc:AlternateContent>
  <xr:revisionPtr revIDLastSave="96" documentId="6_{07D20607-3CA2-4C22-A3B2-4D876800EE5B}" xr6:coauthVersionLast="40" xr6:coauthVersionMax="40" xr10:uidLastSave="{314AAF3A-6F12-46B8-AE9F-61CD35A5E724}"/>
  <bookViews>
    <workbookView xWindow="20370" yWindow="-120" windowWidth="19440" windowHeight="15000" activeTab="4" xr2:uid="{00000000-000D-0000-FFFF-FFFF00000000}"/>
  </bookViews>
  <sheets>
    <sheet name="Abbreviations" sheetId="14" r:id="rId1"/>
    <sheet name="Methods" sheetId="15" r:id="rId2"/>
    <sheet name="Sieve Analysis" sheetId="12" r:id="rId3"/>
    <sheet name="Slump Tests" sheetId="13" r:id="rId4"/>
    <sheet name="Packing density tests" sheetId="11" r:id="rId5"/>
  </sheets>
  <definedNames>
    <definedName name="_xlnm.Print_Area" localSheetId="4">'Packing density tests'!#REF!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5" i="13" l="1"/>
  <c r="K5" i="13"/>
  <c r="C5" i="12"/>
  <c r="AG27" i="11"/>
  <c r="O8" i="13"/>
  <c r="R8" i="11"/>
  <c r="G30" i="13"/>
  <c r="W42" i="11"/>
  <c r="T42" i="11"/>
  <c r="U42" i="11"/>
  <c r="S42" i="11"/>
  <c r="V42" i="11"/>
  <c r="P42" i="11"/>
  <c r="X42" i="11"/>
  <c r="Y42" i="11"/>
  <c r="Z42" i="11"/>
  <c r="G5" i="13"/>
  <c r="W13" i="11"/>
  <c r="P13" i="11"/>
  <c r="X13" i="11"/>
  <c r="Y13" i="11"/>
  <c r="Z13" i="11"/>
  <c r="G6" i="13"/>
  <c r="W14" i="11"/>
  <c r="P14" i="11"/>
  <c r="X14" i="11"/>
  <c r="Y14" i="11"/>
  <c r="Z14" i="11"/>
  <c r="G7" i="13"/>
  <c r="W15" i="11"/>
  <c r="B56" i="12"/>
  <c r="C45" i="12"/>
  <c r="D45" i="12"/>
  <c r="C46" i="12"/>
  <c r="D46" i="12"/>
  <c r="C47" i="12"/>
  <c r="D47" i="12"/>
  <c r="C48" i="12"/>
  <c r="D48" i="12"/>
  <c r="C49" i="12"/>
  <c r="D49" i="12"/>
  <c r="C50" i="12"/>
  <c r="D50" i="12"/>
  <c r="C51" i="12"/>
  <c r="D51" i="12"/>
  <c r="C52" i="12"/>
  <c r="D52" i="12"/>
  <c r="C53" i="12"/>
  <c r="D53" i="12"/>
  <c r="C54" i="12"/>
  <c r="D54" i="12"/>
  <c r="C55" i="12"/>
  <c r="D55" i="12"/>
  <c r="C56" i="12"/>
  <c r="E53" i="12"/>
  <c r="E54" i="12"/>
  <c r="E52" i="12"/>
  <c r="E55" i="12"/>
  <c r="E51" i="12"/>
  <c r="B41" i="12"/>
  <c r="C32" i="12"/>
  <c r="C33" i="12"/>
  <c r="C34" i="12"/>
  <c r="C35" i="12"/>
  <c r="C36" i="12"/>
  <c r="C37" i="12"/>
  <c r="C38" i="12"/>
  <c r="C39" i="12"/>
  <c r="C40" i="12"/>
  <c r="C41" i="12"/>
  <c r="D32" i="12"/>
  <c r="D33" i="12"/>
  <c r="D34" i="12"/>
  <c r="D35" i="12"/>
  <c r="D36" i="12"/>
  <c r="D37" i="12"/>
  <c r="D38" i="12"/>
  <c r="D39" i="12"/>
  <c r="D40" i="12"/>
  <c r="E40" i="12"/>
  <c r="E39" i="12"/>
  <c r="B28" i="12"/>
  <c r="C25" i="12"/>
  <c r="C26" i="12"/>
  <c r="C27" i="12"/>
  <c r="C24" i="12"/>
  <c r="C17" i="12"/>
  <c r="C18" i="12"/>
  <c r="C19" i="12"/>
  <c r="C20" i="12"/>
  <c r="C21" i="12"/>
  <c r="C22" i="12"/>
  <c r="C23" i="12"/>
  <c r="C28" i="12"/>
  <c r="D17" i="12"/>
  <c r="D18" i="12"/>
  <c r="D19" i="12"/>
  <c r="D20" i="12"/>
  <c r="D21" i="12"/>
  <c r="D22" i="12"/>
  <c r="D23" i="12"/>
  <c r="D24" i="12"/>
  <c r="D25" i="12"/>
  <c r="D26" i="12"/>
  <c r="D27" i="12"/>
  <c r="E27" i="12"/>
  <c r="E26" i="12"/>
  <c r="E25" i="12"/>
  <c r="AB13" i="11"/>
  <c r="U6" i="11"/>
  <c r="U5" i="11"/>
  <c r="AG41" i="11"/>
  <c r="K30" i="13"/>
  <c r="AD42" i="11"/>
  <c r="K31" i="13"/>
  <c r="AD43" i="11"/>
  <c r="K32" i="13"/>
  <c r="AD44" i="11"/>
  <c r="K33" i="13"/>
  <c r="AD45" i="11"/>
  <c r="K34" i="13"/>
  <c r="AD46" i="11"/>
  <c r="K35" i="13"/>
  <c r="AD47" i="11"/>
  <c r="K36" i="13"/>
  <c r="AD48" i="11"/>
  <c r="K37" i="13"/>
  <c r="AD49" i="11"/>
  <c r="K38" i="13"/>
  <c r="AD50" i="11"/>
  <c r="K29" i="13"/>
  <c r="AD41" i="11"/>
  <c r="AE41" i="11"/>
  <c r="G31" i="13"/>
  <c r="W43" i="11"/>
  <c r="G32" i="13"/>
  <c r="W44" i="11"/>
  <c r="T44" i="11"/>
  <c r="U44" i="11"/>
  <c r="G33" i="13"/>
  <c r="W45" i="11"/>
  <c r="G34" i="13"/>
  <c r="W46" i="11"/>
  <c r="G35" i="13"/>
  <c r="W47" i="11"/>
  <c r="G36" i="13"/>
  <c r="W48" i="11"/>
  <c r="T48" i="11"/>
  <c r="U48" i="11"/>
  <c r="G37" i="13"/>
  <c r="W49" i="11"/>
  <c r="G38" i="13"/>
  <c r="W50" i="11"/>
  <c r="G29" i="13"/>
  <c r="W41" i="11"/>
  <c r="O17" i="13"/>
  <c r="O18" i="13"/>
  <c r="AG28" i="11"/>
  <c r="O19" i="13"/>
  <c r="AG29" i="11"/>
  <c r="O20" i="13"/>
  <c r="AG30" i="11"/>
  <c r="O21" i="13"/>
  <c r="AG31" i="11"/>
  <c r="O22" i="13"/>
  <c r="AG32" i="11"/>
  <c r="O23" i="13"/>
  <c r="AG33" i="11"/>
  <c r="O24" i="13"/>
  <c r="AG34" i="11"/>
  <c r="O25" i="13"/>
  <c r="AG35" i="11"/>
  <c r="O16" i="13"/>
  <c r="AG26" i="11"/>
  <c r="K24" i="13"/>
  <c r="AD34" i="11"/>
  <c r="AE34" i="11"/>
  <c r="K17" i="13"/>
  <c r="AD27" i="11"/>
  <c r="K18" i="13"/>
  <c r="AD28" i="11"/>
  <c r="K19" i="13"/>
  <c r="AD29" i="11"/>
  <c r="K20" i="13"/>
  <c r="AD30" i="11"/>
  <c r="AE30" i="11"/>
  <c r="K21" i="13"/>
  <c r="AD31" i="11"/>
  <c r="K22" i="13"/>
  <c r="AD32" i="11"/>
  <c r="K23" i="13"/>
  <c r="AD33" i="11"/>
  <c r="K25" i="13"/>
  <c r="AD35" i="11"/>
  <c r="K16" i="13"/>
  <c r="AD26" i="11"/>
  <c r="G20" i="13"/>
  <c r="W30" i="11"/>
  <c r="T30" i="11"/>
  <c r="G16" i="13"/>
  <c r="W26" i="11"/>
  <c r="T26" i="11"/>
  <c r="U26" i="11"/>
  <c r="G17" i="13"/>
  <c r="W27" i="11"/>
  <c r="G18" i="13"/>
  <c r="W28" i="11"/>
  <c r="G19" i="13"/>
  <c r="W29" i="11"/>
  <c r="T29" i="11"/>
  <c r="G21" i="13"/>
  <c r="W31" i="11"/>
  <c r="G22" i="13"/>
  <c r="W32" i="11"/>
  <c r="T32" i="11"/>
  <c r="U32" i="11"/>
  <c r="G23" i="13"/>
  <c r="W33" i="11"/>
  <c r="G24" i="13"/>
  <c r="W34" i="11"/>
  <c r="G25" i="13"/>
  <c r="W35" i="11"/>
  <c r="O6" i="13"/>
  <c r="AG14" i="11"/>
  <c r="O7" i="13"/>
  <c r="AG15" i="11"/>
  <c r="AG16" i="11"/>
  <c r="O9" i="13"/>
  <c r="AG17" i="11"/>
  <c r="O10" i="13"/>
  <c r="AG18" i="11"/>
  <c r="O11" i="13"/>
  <c r="AG19" i="11"/>
  <c r="O12" i="13"/>
  <c r="AG20" i="11"/>
  <c r="AG13" i="11"/>
  <c r="K6" i="13"/>
  <c r="AD14" i="11"/>
  <c r="K7" i="13"/>
  <c r="AD15" i="11"/>
  <c r="K8" i="13"/>
  <c r="AD16" i="11"/>
  <c r="K9" i="13"/>
  <c r="AD17" i="11"/>
  <c r="K10" i="13"/>
  <c r="AD18" i="11"/>
  <c r="K11" i="13"/>
  <c r="AD19" i="11"/>
  <c r="K12" i="13"/>
  <c r="AD20" i="11"/>
  <c r="AD13" i="11"/>
  <c r="G8" i="13"/>
  <c r="W16" i="11"/>
  <c r="G9" i="13"/>
  <c r="W17" i="11"/>
  <c r="G10" i="13"/>
  <c r="W18" i="11"/>
  <c r="G11" i="13"/>
  <c r="W19" i="11"/>
  <c r="G12" i="13"/>
  <c r="W20" i="11"/>
  <c r="AG42" i="11"/>
  <c r="AG43" i="11"/>
  <c r="AG44" i="11"/>
  <c r="AG45" i="11"/>
  <c r="AG46" i="11"/>
  <c r="AG47" i="11"/>
  <c r="AG48" i="11"/>
  <c r="AG49" i="11"/>
  <c r="AG50" i="11"/>
  <c r="O38" i="13"/>
  <c r="O37" i="13"/>
  <c r="O36" i="13"/>
  <c r="O35" i="13"/>
  <c r="O34" i="13"/>
  <c r="O33" i="13"/>
  <c r="O32" i="13"/>
  <c r="O31" i="13"/>
  <c r="O30" i="13"/>
  <c r="O29" i="13"/>
  <c r="R41" i="11"/>
  <c r="N41" i="11"/>
  <c r="AE50" i="11"/>
  <c r="AE49" i="11"/>
  <c r="AE48" i="11"/>
  <c r="AE47" i="11"/>
  <c r="AE46" i="11"/>
  <c r="AE45" i="11"/>
  <c r="AE44" i="11"/>
  <c r="AE43" i="11"/>
  <c r="AE42" i="11"/>
  <c r="AE40" i="11"/>
  <c r="P40" i="11"/>
  <c r="X40" i="11"/>
  <c r="P25" i="11"/>
  <c r="U40" i="11"/>
  <c r="U25" i="11"/>
  <c r="T50" i="11"/>
  <c r="U50" i="11"/>
  <c r="S50" i="11"/>
  <c r="T49" i="11"/>
  <c r="U49" i="11"/>
  <c r="T47" i="11"/>
  <c r="U47" i="11"/>
  <c r="T46" i="11"/>
  <c r="U46" i="11"/>
  <c r="T45" i="11"/>
  <c r="U45" i="11"/>
  <c r="T43" i="11"/>
  <c r="U43" i="11"/>
  <c r="T41" i="11"/>
  <c r="U41" i="11"/>
  <c r="S41" i="11"/>
  <c r="V41" i="11"/>
  <c r="P41" i="11"/>
  <c r="AF41" i="11"/>
  <c r="T35" i="11"/>
  <c r="R40" i="11"/>
  <c r="R50" i="11"/>
  <c r="R49" i="11"/>
  <c r="N49" i="11"/>
  <c r="O49" i="11"/>
  <c r="R48" i="11"/>
  <c r="N48" i="11"/>
  <c r="O48" i="11"/>
  <c r="R47" i="11"/>
  <c r="N47" i="11"/>
  <c r="O47" i="11"/>
  <c r="R46" i="11"/>
  <c r="N46" i="11"/>
  <c r="O46" i="11"/>
  <c r="R45" i="11"/>
  <c r="N45" i="11"/>
  <c r="O45" i="11"/>
  <c r="R44" i="11"/>
  <c r="N44" i="11"/>
  <c r="O44" i="11"/>
  <c r="R43" i="11"/>
  <c r="N43" i="11"/>
  <c r="O43" i="11"/>
  <c r="R42" i="11"/>
  <c r="N42" i="11"/>
  <c r="O42" i="11"/>
  <c r="R26" i="11"/>
  <c r="N26" i="11"/>
  <c r="N50" i="11"/>
  <c r="O50" i="11"/>
  <c r="AE35" i="11"/>
  <c r="AE33" i="11"/>
  <c r="AE32" i="11"/>
  <c r="AE31" i="11"/>
  <c r="AE29" i="11"/>
  <c r="AE28" i="11"/>
  <c r="AE27" i="11"/>
  <c r="AE26" i="11"/>
  <c r="AE25" i="11"/>
  <c r="T27" i="11"/>
  <c r="U27" i="11"/>
  <c r="T28" i="11"/>
  <c r="R34" i="11"/>
  <c r="N34" i="11"/>
  <c r="O34" i="11"/>
  <c r="R35" i="11"/>
  <c r="N35" i="11"/>
  <c r="R33" i="11"/>
  <c r="N33" i="11"/>
  <c r="O33" i="11"/>
  <c r="R32" i="11"/>
  <c r="N32" i="11"/>
  <c r="O32" i="11"/>
  <c r="R31" i="11"/>
  <c r="N31" i="11"/>
  <c r="O31" i="11"/>
  <c r="R30" i="11"/>
  <c r="N30" i="11"/>
  <c r="O30" i="11"/>
  <c r="R29" i="11"/>
  <c r="N29" i="11"/>
  <c r="O29" i="11"/>
  <c r="R28" i="11"/>
  <c r="N28" i="11"/>
  <c r="O28" i="11"/>
  <c r="R27" i="11"/>
  <c r="N27" i="11"/>
  <c r="O27" i="11"/>
  <c r="O26" i="11"/>
  <c r="R25" i="11"/>
  <c r="AF25" i="11"/>
  <c r="AF14" i="11"/>
  <c r="P18" i="11"/>
  <c r="X18" i="11"/>
  <c r="T34" i="11"/>
  <c r="U34" i="11"/>
  <c r="AF13" i="11"/>
  <c r="O41" i="11"/>
  <c r="S48" i="11"/>
  <c r="V48" i="11"/>
  <c r="P48" i="11"/>
  <c r="X41" i="11"/>
  <c r="AF40" i="11"/>
  <c r="S47" i="11"/>
  <c r="V47" i="11"/>
  <c r="P47" i="11"/>
  <c r="S46" i="11"/>
  <c r="V46" i="11"/>
  <c r="S44" i="11"/>
  <c r="V44" i="11"/>
  <c r="P44" i="11"/>
  <c r="S43" i="11"/>
  <c r="V43" i="11"/>
  <c r="P43" i="11"/>
  <c r="S49" i="11"/>
  <c r="V49" i="11"/>
  <c r="S45" i="11"/>
  <c r="V45" i="11"/>
  <c r="P45" i="11"/>
  <c r="V50" i="11"/>
  <c r="P50" i="11"/>
  <c r="AA40" i="11"/>
  <c r="Y40" i="11"/>
  <c r="Z40" i="11"/>
  <c r="AB40" i="11"/>
  <c r="AF18" i="11"/>
  <c r="X25" i="11"/>
  <c r="Y25" i="11"/>
  <c r="Z25" i="11"/>
  <c r="AB25" i="11"/>
  <c r="AA25" i="11"/>
  <c r="AE16" i="11"/>
  <c r="AE15" i="11"/>
  <c r="P15" i="11"/>
  <c r="P16" i="11"/>
  <c r="E32" i="12"/>
  <c r="E17" i="12"/>
  <c r="AF50" i="11"/>
  <c r="X50" i="11"/>
  <c r="Y50" i="11"/>
  <c r="Z50" i="11"/>
  <c r="AB50" i="11"/>
  <c r="P49" i="11"/>
  <c r="AA49" i="11"/>
  <c r="AF48" i="11"/>
  <c r="X48" i="11"/>
  <c r="Y48" i="11"/>
  <c r="Z48" i="11"/>
  <c r="AB48" i="11"/>
  <c r="X47" i="11"/>
  <c r="AF47" i="11"/>
  <c r="P46" i="11"/>
  <c r="AA46" i="11"/>
  <c r="X45" i="11"/>
  <c r="Y45" i="11"/>
  <c r="Z45" i="11"/>
  <c r="AB45" i="11"/>
  <c r="AF45" i="11"/>
  <c r="X44" i="11"/>
  <c r="Y44" i="11"/>
  <c r="Z44" i="11"/>
  <c r="AB44" i="11"/>
  <c r="AF44" i="11"/>
  <c r="X43" i="11"/>
  <c r="Y43" i="11"/>
  <c r="Z43" i="11"/>
  <c r="AB43" i="11"/>
  <c r="AF43" i="11"/>
  <c r="AF42" i="11"/>
  <c r="AB42" i="11"/>
  <c r="AC50" i="11"/>
  <c r="AA47" i="11"/>
  <c r="AC47" i="11"/>
  <c r="AC45" i="11"/>
  <c r="AA45" i="11"/>
  <c r="AA44" i="11"/>
  <c r="AC43" i="11"/>
  <c r="AA43" i="11"/>
  <c r="AA42" i="11"/>
  <c r="AC42" i="11"/>
  <c r="AA41" i="11"/>
  <c r="AA50" i="11"/>
  <c r="AC49" i="11"/>
  <c r="AC48" i="11"/>
  <c r="AA48" i="11"/>
  <c r="Y47" i="11"/>
  <c r="Z47" i="11"/>
  <c r="AB47" i="11"/>
  <c r="AC46" i="11"/>
  <c r="AC44" i="11"/>
  <c r="Y41" i="11"/>
  <c r="Z41" i="11"/>
  <c r="AB41" i="11"/>
  <c r="AC41" i="11"/>
  <c r="AF15" i="11"/>
  <c r="X15" i="11"/>
  <c r="Y15" i="11"/>
  <c r="Z15" i="11"/>
  <c r="AB15" i="11"/>
  <c r="X16" i="11"/>
  <c r="Y16" i="11"/>
  <c r="Z16" i="11"/>
  <c r="AB16" i="11"/>
  <c r="AF16" i="11"/>
  <c r="AE19" i="11"/>
  <c r="AE20" i="11"/>
  <c r="AE17" i="11"/>
  <c r="AE18" i="11"/>
  <c r="AE13" i="11"/>
  <c r="AE14" i="11"/>
  <c r="P20" i="11"/>
  <c r="P17" i="11"/>
  <c r="P19" i="11"/>
  <c r="AF19" i="11"/>
  <c r="X49" i="11"/>
  <c r="Y49" i="11"/>
  <c r="Z49" i="11"/>
  <c r="AB49" i="11"/>
  <c r="AF49" i="11"/>
  <c r="AF46" i="11"/>
  <c r="X46" i="11"/>
  <c r="Y46" i="11"/>
  <c r="Z46" i="11"/>
  <c r="AB46" i="11"/>
  <c r="X20" i="11"/>
  <c r="Y20" i="11"/>
  <c r="Z20" i="11"/>
  <c r="AB20" i="11"/>
  <c r="AF20" i="11"/>
  <c r="X17" i="11"/>
  <c r="Y17" i="11"/>
  <c r="Z17" i="11"/>
  <c r="AB17" i="11"/>
  <c r="AF17" i="11"/>
  <c r="X19" i="11"/>
  <c r="Y19" i="11"/>
  <c r="Z19" i="11"/>
  <c r="AB19" i="11"/>
  <c r="Y18" i="11"/>
  <c r="Z18" i="11"/>
  <c r="AB18" i="11"/>
  <c r="E33" i="12"/>
  <c r="AB14" i="11"/>
  <c r="U28" i="11"/>
  <c r="E47" i="12"/>
  <c r="E46" i="12"/>
  <c r="E45" i="12"/>
  <c r="E48" i="12"/>
  <c r="E34" i="12"/>
  <c r="R5" i="11"/>
  <c r="R6" i="11"/>
  <c r="R7" i="11"/>
  <c r="S27" i="11"/>
  <c r="V27" i="11"/>
  <c r="P27" i="11"/>
  <c r="S34" i="11"/>
  <c r="V34" i="11"/>
  <c r="P34" i="11"/>
  <c r="S26" i="11"/>
  <c r="V26" i="11"/>
  <c r="S32" i="11"/>
  <c r="S28" i="11"/>
  <c r="V28" i="11"/>
  <c r="P28" i="11"/>
  <c r="U29" i="11"/>
  <c r="S29" i="11"/>
  <c r="V29" i="11"/>
  <c r="E49" i="12"/>
  <c r="E35" i="12"/>
  <c r="B13" i="12"/>
  <c r="C6" i="12"/>
  <c r="C7" i="12"/>
  <c r="C8" i="12"/>
  <c r="C9" i="12"/>
  <c r="C10" i="12"/>
  <c r="C11" i="12"/>
  <c r="C12" i="12"/>
  <c r="C13" i="12"/>
  <c r="D5" i="12"/>
  <c r="D6" i="12"/>
  <c r="E6" i="12"/>
  <c r="E5" i="12"/>
  <c r="D7" i="12"/>
  <c r="E7" i="12"/>
  <c r="P29" i="11"/>
  <c r="AF29" i="11"/>
  <c r="AC29" i="11"/>
  <c r="U30" i="11"/>
  <c r="S30" i="11"/>
  <c r="V30" i="11"/>
  <c r="AC34" i="11"/>
  <c r="AF28" i="11"/>
  <c r="AC28" i="11"/>
  <c r="AF27" i="11"/>
  <c r="AC27" i="11"/>
  <c r="T31" i="11"/>
  <c r="V32" i="11"/>
  <c r="E50" i="12"/>
  <c r="E36" i="12"/>
  <c r="D8" i="12"/>
  <c r="X29" i="11"/>
  <c r="Y29" i="11"/>
  <c r="Z29" i="11"/>
  <c r="AB29" i="11"/>
  <c r="AF34" i="11"/>
  <c r="X34" i="11"/>
  <c r="Y34" i="11"/>
  <c r="Z34" i="11"/>
  <c r="AB34" i="11"/>
  <c r="AA29" i="11"/>
  <c r="AC30" i="11"/>
  <c r="P30" i="11"/>
  <c r="AF30" i="11"/>
  <c r="U31" i="11"/>
  <c r="S31" i="11"/>
  <c r="V31" i="11"/>
  <c r="P31" i="11"/>
  <c r="X28" i="11"/>
  <c r="Y28" i="11"/>
  <c r="Z28" i="11"/>
  <c r="AB28" i="11"/>
  <c r="AA28" i="11"/>
  <c r="X27" i="11"/>
  <c r="Y27" i="11"/>
  <c r="Z27" i="11"/>
  <c r="AB27" i="11"/>
  <c r="AA27" i="11"/>
  <c r="P32" i="11"/>
  <c r="AC32" i="11"/>
  <c r="AA34" i="11"/>
  <c r="T33" i="11"/>
  <c r="E37" i="12"/>
  <c r="E8" i="12"/>
  <c r="D9" i="12"/>
  <c r="AF32" i="11"/>
  <c r="AA32" i="11"/>
  <c r="AA30" i="11"/>
  <c r="X30" i="11"/>
  <c r="Y30" i="11"/>
  <c r="Z30" i="11"/>
  <c r="AB30" i="11"/>
  <c r="U33" i="11"/>
  <c r="S33" i="11"/>
  <c r="V33" i="11"/>
  <c r="X32" i="11"/>
  <c r="Y32" i="11"/>
  <c r="Z32" i="11"/>
  <c r="AB32" i="11"/>
  <c r="AC31" i="11"/>
  <c r="AF31" i="11"/>
  <c r="E38" i="12"/>
  <c r="E23" i="12"/>
  <c r="E19" i="12"/>
  <c r="E22" i="12"/>
  <c r="E18" i="12"/>
  <c r="E21" i="12"/>
  <c r="E24" i="12"/>
  <c r="E20" i="12"/>
  <c r="E9" i="12"/>
  <c r="D10" i="12"/>
  <c r="AC33" i="11"/>
  <c r="P33" i="11"/>
  <c r="AF33" i="11"/>
  <c r="AA31" i="11"/>
  <c r="X31" i="11"/>
  <c r="Y31" i="11"/>
  <c r="Z31" i="11"/>
  <c r="AB31" i="11"/>
  <c r="D11" i="12"/>
  <c r="E10" i="12"/>
  <c r="AA33" i="11"/>
  <c r="X33" i="11"/>
  <c r="Y33" i="11"/>
  <c r="Z33" i="11"/>
  <c r="AB33" i="11"/>
  <c r="E11" i="12"/>
  <c r="D12" i="12"/>
  <c r="E12" i="12"/>
  <c r="O35" i="11"/>
  <c r="U35" i="11"/>
  <c r="S35" i="11"/>
  <c r="V35" i="11"/>
  <c r="P35" i="11"/>
  <c r="AC35" i="11"/>
  <c r="AC26" i="11"/>
  <c r="P26" i="11"/>
  <c r="AA26" i="11"/>
  <c r="X35" i="11"/>
  <c r="Y35" i="11"/>
  <c r="Z35" i="11"/>
  <c r="AB35" i="11"/>
  <c r="AF35" i="11"/>
  <c r="AA35" i="11"/>
  <c r="AF26" i="11"/>
  <c r="X26" i="11"/>
  <c r="Y26" i="11"/>
  <c r="Z26" i="11"/>
  <c r="AB26"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Q25" authorId="0" shapeId="0" xr:uid="{DDB5BF97-9B19-4498-BFD2-5E6DF3C77681}">
      <text>
        <r>
          <rPr>
            <b/>
            <sz val="9"/>
            <color indexed="81"/>
            <rFont val="Tahoma"/>
            <family val="2"/>
          </rPr>
          <t>Windows User:</t>
        </r>
        <r>
          <rPr>
            <sz val="9"/>
            <color indexed="81"/>
            <rFont val="Tahoma"/>
            <family val="2"/>
          </rPr>
          <t xml:space="preserve">
Determined from the volume</t>
        </r>
      </text>
    </comment>
    <comment ref="R25" authorId="0" shapeId="0" xr:uid="{0327EFE1-F332-4E11-882A-D4E99DF12D42}">
      <text>
        <r>
          <rPr>
            <b/>
            <sz val="9"/>
            <color indexed="81"/>
            <rFont val="Tahoma"/>
            <family val="2"/>
          </rPr>
          <t>Windows User:</t>
        </r>
        <r>
          <rPr>
            <sz val="9"/>
            <color indexed="81"/>
            <rFont val="Tahoma"/>
            <family val="2"/>
          </rPr>
          <t xml:space="preserve">
Assume infinite soild material occupies mould whose volume is 0,00536 m^3.</t>
        </r>
      </text>
    </comment>
    <comment ref="S26" authorId="0" shapeId="0" xr:uid="{2DD6AF9C-ED69-4FE3-BBCA-1554EFAA9FE8}">
      <text>
        <r>
          <rPr>
            <b/>
            <sz val="9"/>
            <color indexed="81"/>
            <rFont val="Tahoma"/>
            <family val="2"/>
          </rPr>
          <t>Windows User:</t>
        </r>
        <r>
          <rPr>
            <sz val="9"/>
            <color indexed="81"/>
            <rFont val="Tahoma"/>
            <family val="2"/>
          </rPr>
          <t xml:space="preserve">
Cw=(SsSi-SmSs)/Sm(Si-Ss)
</t>
        </r>
      </text>
    </comment>
    <comment ref="Q40" authorId="0" shapeId="0" xr:uid="{CE847AE1-F5E9-4849-AE03-05EAA89324A0}">
      <text>
        <r>
          <rPr>
            <b/>
            <sz val="9"/>
            <color indexed="81"/>
            <rFont val="Tahoma"/>
            <family val="2"/>
          </rPr>
          <t>Windows User:</t>
        </r>
        <r>
          <rPr>
            <sz val="9"/>
            <color indexed="81"/>
            <rFont val="Tahoma"/>
            <family val="2"/>
          </rPr>
          <t xml:space="preserve">
Determined from the volume</t>
        </r>
      </text>
    </comment>
    <comment ref="R40" authorId="0" shapeId="0" xr:uid="{12D0B996-D736-4018-90B9-8EBEE2FD029B}">
      <text>
        <r>
          <rPr>
            <b/>
            <sz val="9"/>
            <color indexed="81"/>
            <rFont val="Tahoma"/>
            <family val="2"/>
          </rPr>
          <t>Windows User:</t>
        </r>
        <r>
          <rPr>
            <sz val="9"/>
            <color indexed="81"/>
            <rFont val="Tahoma"/>
            <family val="2"/>
          </rPr>
          <t xml:space="preserve">
Assume infinite soild material occupies mould whose volume is 0,00536 m^3.</t>
        </r>
      </text>
    </comment>
    <comment ref="S41" authorId="0" shapeId="0" xr:uid="{42C813D5-A10A-4889-86EF-107DB70C636B}">
      <text>
        <r>
          <rPr>
            <b/>
            <sz val="9"/>
            <color indexed="81"/>
            <rFont val="Tahoma"/>
            <family val="2"/>
          </rPr>
          <t>Windows User:</t>
        </r>
        <r>
          <rPr>
            <sz val="9"/>
            <color indexed="81"/>
            <rFont val="Tahoma"/>
            <family val="2"/>
          </rPr>
          <t xml:space="preserve">
Cw=(SsSi-SmSs)/Sm(Si-Ss)
</t>
        </r>
      </text>
    </comment>
  </commentList>
</comments>
</file>

<file path=xl/sharedStrings.xml><?xml version="1.0" encoding="utf-8"?>
<sst xmlns="http://schemas.openxmlformats.org/spreadsheetml/2006/main" count="375" uniqueCount="87">
  <si>
    <t xml:space="preserve"> </t>
  </si>
  <si>
    <t xml:space="preserve">Solid Specific Gravity </t>
  </si>
  <si>
    <t>Water density (kg/m^3)</t>
  </si>
  <si>
    <t>Solid  density (kg/m^3)</t>
  </si>
  <si>
    <t>Internal mould diameter (m)</t>
  </si>
  <si>
    <t>Mould Volume (m^3)</t>
  </si>
  <si>
    <t>Water volume (m^3)</t>
  </si>
  <si>
    <t>Slump Height (m)</t>
  </si>
  <si>
    <t>Volume of voids (m^3)</t>
  </si>
  <si>
    <t>solids concentration</t>
  </si>
  <si>
    <t>Heap Height (m)</t>
  </si>
  <si>
    <t>Packing density</t>
  </si>
  <si>
    <t>Spread (m)</t>
  </si>
  <si>
    <t>&lt;6,3</t>
  </si>
  <si>
    <t>∑</t>
  </si>
  <si>
    <t>Dry</t>
  </si>
  <si>
    <t xml:space="preserve">Additional  volume of solid added  (m^3) </t>
  </si>
  <si>
    <t xml:space="preserve">Total volume of solid in mould (m^3) </t>
  </si>
  <si>
    <t>Total volume of solid in stock sample(kg)</t>
  </si>
  <si>
    <t>Total     water + solid      mass in mould (kg)</t>
  </si>
  <si>
    <t>Mass of Water  added(kg)</t>
  </si>
  <si>
    <t xml:space="preserve">  Calculated solid mass in mould (kg)</t>
  </si>
  <si>
    <t>Slurry density in mould  (kg)</t>
  </si>
  <si>
    <t xml:space="preserve"> Specific gravity of slurry  in mould  (kg)</t>
  </si>
  <si>
    <t>Solids Concentration in slurry</t>
  </si>
  <si>
    <t>Internal mould height     (m)</t>
  </si>
  <si>
    <t>Packing Procedure; Compaction applied?</t>
  </si>
  <si>
    <t>No</t>
  </si>
  <si>
    <t>Yes</t>
  </si>
  <si>
    <t>WR</t>
  </si>
  <si>
    <t>FW</t>
  </si>
  <si>
    <t>2WR:3FW</t>
  </si>
  <si>
    <t xml:space="preserve">2WR:3FW     </t>
  </si>
  <si>
    <t>3WR:2FW</t>
  </si>
  <si>
    <t>N/A</t>
  </si>
  <si>
    <t>Total      solid      mass in mould (kg)</t>
  </si>
  <si>
    <t>Mix proportion</t>
  </si>
  <si>
    <t>Compaction applied?</t>
  </si>
  <si>
    <t>Mass of water added (kg)</t>
  </si>
  <si>
    <t>Average spread (m)</t>
  </si>
  <si>
    <t>Waste rock</t>
  </si>
  <si>
    <t>Fine waste</t>
  </si>
  <si>
    <t>&lt;0,212</t>
  </si>
  <si>
    <t>&lt; 0,025</t>
  </si>
  <si>
    <t>&lt;0,021</t>
  </si>
  <si>
    <t>Abbreviations</t>
  </si>
  <si>
    <t>Methods</t>
  </si>
  <si>
    <t>Sieve Analysis</t>
  </si>
  <si>
    <t>Cumulative percentage</t>
  </si>
  <si>
    <t>Percentage Passing</t>
  </si>
  <si>
    <t>Mass of particles retained (kg)</t>
  </si>
  <si>
    <t>Sieve size (mm)</t>
  </si>
  <si>
    <t>Particle size distribution for waste rock particles  (wet sieving tests)</t>
  </si>
  <si>
    <t>Particle size distribution for waste rock particles  (dry sieving tests)</t>
  </si>
  <si>
    <t>Particle size distribution for fine waste  particles  (dry sieving tests)</t>
  </si>
  <si>
    <t>Particle size distribution for fine waste  particles  (wet sieving tests)</t>
  </si>
  <si>
    <t>Particles retained  (%)</t>
  </si>
  <si>
    <t>Average mass (kg)</t>
  </si>
  <si>
    <t xml:space="preserve"> Sample 1  mass  (kg)</t>
  </si>
  <si>
    <t xml:space="preserve"> Sample 2 mass (kg)</t>
  </si>
  <si>
    <t xml:space="preserve"> Sample 3 mass (kg)</t>
  </si>
  <si>
    <t>Average heap height  (m)</t>
  </si>
  <si>
    <t>Packing condition</t>
  </si>
  <si>
    <t>Heap height sample 1 (m)</t>
  </si>
  <si>
    <t>Heap height sample 2 (m)</t>
  </si>
  <si>
    <t>Heap height    sample 3 (m)</t>
  </si>
  <si>
    <t>Slump spread              sample 1 (m)</t>
  </si>
  <si>
    <t>Slump spread            sample 2 (m)</t>
  </si>
  <si>
    <t>Slump spread            sample 3 (m)</t>
  </si>
  <si>
    <t>Measurement of  sample mass, slump height and  slump spread</t>
  </si>
  <si>
    <t>Packing density, slump and spread tests</t>
  </si>
  <si>
    <t>w/w</t>
  </si>
  <si>
    <t>weight by weight basis</t>
  </si>
  <si>
    <t>Not applicable</t>
  </si>
  <si>
    <t>Water Absorbed       (%)</t>
  </si>
  <si>
    <t xml:space="preserve">Total Evaporable Moisture content     (%)    </t>
  </si>
  <si>
    <t>Surface moisture content  (%)</t>
  </si>
  <si>
    <t>Mass of Water  added  (kg)</t>
  </si>
  <si>
    <t>Total mass of solid in stock sample  (kg)</t>
  </si>
  <si>
    <t>Mass of Water  added    (kg)</t>
  </si>
  <si>
    <t>Water/Solid  Ratio             (m^3)/  m^3)</t>
  </si>
  <si>
    <t>Voids content (m^3)/  m^3)</t>
  </si>
  <si>
    <t>Voids ratio (m^3)/  m^3)</t>
  </si>
  <si>
    <t>Water/Solid  Ratio (kg)/(kg)</t>
  </si>
  <si>
    <t>Mix Proportion  (dry solids)</t>
  </si>
  <si>
    <t xml:space="preserve">Waste rock    (dry solids)  </t>
  </si>
  <si>
    <t>Fine waste (dry solids)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</si>
</sst>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
    <numFmt numFmtId="165" formatCode="0.000"/>
    <numFmt numFmtId="166" formatCode="0.000000"/>
    <numFmt numFmtId="167" formatCode="0.0"/>
    <numFmt numFmtId="168" formatCode="0.0000"/>
  </numFmts>
  <fonts count="11" x14ac:knownFonts="1">
    <font>
      <sz val="11"/>
      <color theme="1"/>
      <name val="Calibri"/>
      <family val="2"/>
      <scheme val="minor"/>
    </font>
    <font>
      <sz val="10"/>
      <color theme="1"/>
      <name val="Calibri"/>
      <family val="2"/>
      <scheme val="minor"/>
    </font>
    <font>
      <b/>
      <sz val="10"/>
      <color theme="1"/>
      <name val="Calibri"/>
      <family val="2"/>
      <scheme val="minor"/>
    </font>
    <font>
      <sz val="9"/>
      <color indexed="81"/>
      <name val="Tahoma"/>
      <family val="2"/>
    </font>
    <font>
      <b/>
      <sz val="9"/>
      <color indexed="81"/>
      <name val="Tahoma"/>
      <family val="2"/>
    </font>
    <font>
      <b/>
      <sz val="14"/>
      <color theme="1"/>
      <name val="Calibri"/>
      <family val="2"/>
      <scheme val="minor"/>
    </font>
    <font>
      <sz val="11"/>
      <color theme="1"/>
      <name val="Arial"/>
      <family val="2"/>
    </font>
    <font>
      <sz val="10"/>
      <color theme="1"/>
      <name val="Arial"/>
      <family val="2"/>
    </font>
    <font>
      <sz val="9"/>
      <color theme="1"/>
      <name val="Arial"/>
      <family val="2"/>
    </font>
    <font>
      <b/>
      <sz val="14"/>
      <color theme="1"/>
      <name val="Arial"/>
      <family val="2"/>
    </font>
    <font>
      <b/>
      <sz val="10"/>
      <color theme="1"/>
      <name val="Arial"/>
      <family val="2"/>
    </font>
  </fonts>
  <fills count="3">
    <fill>
      <patternFill patternType="none"/>
    </fill>
    <fill>
      <patternFill patternType="gray125"/>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71">
    <xf numFmtId="0" fontId="0" fillId="0" borderId="0" xfId="0"/>
    <xf numFmtId="0" fontId="0" fillId="0" borderId="1" xfId="0" applyBorder="1"/>
    <xf numFmtId="0" fontId="1" fillId="0" borderId="0" xfId="0" applyFont="1"/>
    <xf numFmtId="0" fontId="6" fillId="0" borderId="0" xfId="0" applyFont="1"/>
    <xf numFmtId="0" fontId="7" fillId="0" borderId="0" xfId="0" applyFont="1"/>
    <xf numFmtId="165" fontId="6" fillId="0" borderId="1" xfId="0" applyNumberFormat="1" applyFont="1" applyBorder="1"/>
    <xf numFmtId="0" fontId="6" fillId="0" borderId="0" xfId="0" applyFont="1" applyBorder="1"/>
    <xf numFmtId="165" fontId="6" fillId="0" borderId="0" xfId="0" applyNumberFormat="1" applyFont="1" applyBorder="1"/>
    <xf numFmtId="0" fontId="7" fillId="0" borderId="0" xfId="0" applyFont="1" applyFill="1"/>
    <xf numFmtId="0" fontId="1" fillId="0" borderId="0" xfId="0" applyFont="1" applyFill="1"/>
    <xf numFmtId="0" fontId="1" fillId="0" borderId="0" xfId="0" applyFont="1" applyFill="1" applyBorder="1"/>
    <xf numFmtId="0" fontId="1" fillId="0" borderId="0" xfId="0" applyFont="1" applyBorder="1"/>
    <xf numFmtId="0" fontId="7" fillId="0" borderId="1" xfId="0" applyFont="1" applyBorder="1"/>
    <xf numFmtId="165" fontId="7" fillId="0" borderId="1" xfId="0" applyNumberFormat="1" applyFont="1" applyBorder="1"/>
    <xf numFmtId="165" fontId="7" fillId="0" borderId="1" xfId="0" applyNumberFormat="1" applyFont="1" applyFill="1" applyBorder="1"/>
    <xf numFmtId="0" fontId="7" fillId="0" borderId="0" xfId="0" applyFont="1" applyBorder="1"/>
    <xf numFmtId="165" fontId="7" fillId="0" borderId="0" xfId="0" applyNumberFormat="1" applyFont="1" applyBorder="1"/>
    <xf numFmtId="0" fontId="7" fillId="0" borderId="0" xfId="0" applyFont="1" applyFill="1" applyBorder="1"/>
    <xf numFmtId="0" fontId="7" fillId="0" borderId="1" xfId="0" applyFont="1" applyBorder="1" applyAlignment="1">
      <alignment vertical="top" wrapText="1"/>
    </xf>
    <xf numFmtId="0" fontId="8" fillId="0" borderId="0" xfId="0" applyFont="1"/>
    <xf numFmtId="167" fontId="6" fillId="0" borderId="1" xfId="0" applyNumberFormat="1" applyFont="1" applyBorder="1" applyAlignment="1"/>
    <xf numFmtId="165" fontId="6" fillId="0" borderId="1" xfId="0" applyNumberFormat="1" applyFont="1" applyBorder="1" applyAlignment="1"/>
    <xf numFmtId="2" fontId="6" fillId="0" borderId="1" xfId="0" applyNumberFormat="1" applyFont="1" applyBorder="1" applyAlignment="1"/>
    <xf numFmtId="165" fontId="6" fillId="0" borderId="0" xfId="0" applyNumberFormat="1" applyFont="1"/>
    <xf numFmtId="167" fontId="6" fillId="0" borderId="1" xfId="0" applyNumberFormat="1" applyFont="1" applyBorder="1" applyAlignment="1">
      <alignment horizontal="right"/>
    </xf>
    <xf numFmtId="0" fontId="6" fillId="0" borderId="1" xfId="0" applyFont="1" applyBorder="1" applyAlignment="1">
      <alignment horizontal="right"/>
    </xf>
    <xf numFmtId="0" fontId="6" fillId="0" borderId="1" xfId="0" applyFont="1" applyBorder="1" applyAlignment="1"/>
    <xf numFmtId="0" fontId="6" fillId="0" borderId="0" xfId="0" applyFont="1" applyAlignment="1"/>
    <xf numFmtId="165" fontId="6" fillId="0" borderId="0" xfId="0" applyNumberFormat="1" applyFont="1" applyAlignment="1"/>
    <xf numFmtId="2" fontId="6" fillId="0" borderId="0" xfId="0" applyNumberFormat="1" applyFont="1" applyAlignment="1"/>
    <xf numFmtId="167" fontId="6" fillId="0" borderId="1" xfId="0" applyNumberFormat="1" applyFont="1" applyBorder="1"/>
    <xf numFmtId="2" fontId="6" fillId="0" borderId="1" xfId="0" applyNumberFormat="1" applyFont="1" applyBorder="1"/>
    <xf numFmtId="0" fontId="6" fillId="0" borderId="0" xfId="0" applyFont="1" applyBorder="1" applyAlignment="1">
      <alignment horizontal="right"/>
    </xf>
    <xf numFmtId="2" fontId="6" fillId="0" borderId="0" xfId="0" applyNumberFormat="1" applyFont="1" applyBorder="1" applyAlignment="1"/>
    <xf numFmtId="0" fontId="6" fillId="0" borderId="0" xfId="0" applyFont="1" applyBorder="1" applyAlignment="1"/>
    <xf numFmtId="0" fontId="8" fillId="0" borderId="0" xfId="0" applyFont="1" applyFill="1" applyBorder="1"/>
    <xf numFmtId="2" fontId="8" fillId="0" borderId="0" xfId="0" applyNumberFormat="1" applyFont="1" applyFill="1" applyBorder="1"/>
    <xf numFmtId="165" fontId="6" fillId="0" borderId="0" xfId="0" applyNumberFormat="1" applyFont="1" applyBorder="1" applyAlignment="1"/>
    <xf numFmtId="167" fontId="6" fillId="0" borderId="1" xfId="0" applyNumberFormat="1" applyFont="1" applyFill="1" applyBorder="1"/>
    <xf numFmtId="0" fontId="5" fillId="0" borderId="0" xfId="0" applyFont="1" applyFill="1" applyAlignment="1"/>
    <xf numFmtId="0" fontId="7" fillId="0" borderId="1" xfId="0" applyFont="1" applyBorder="1" applyAlignment="1">
      <alignment horizontal="center" vertical="top" wrapText="1"/>
    </xf>
    <xf numFmtId="0" fontId="7" fillId="0" borderId="4" xfId="0" applyFont="1" applyFill="1" applyBorder="1" applyAlignment="1"/>
    <xf numFmtId="0" fontId="7" fillId="0" borderId="1" xfId="0" applyFont="1" applyFill="1" applyBorder="1" applyAlignment="1">
      <alignment horizontal="center" vertical="top" wrapText="1"/>
    </xf>
    <xf numFmtId="0" fontId="10" fillId="0" borderId="0" xfId="0" applyFont="1" applyFill="1" applyBorder="1" applyAlignment="1">
      <alignment horizontal="center" vertical="center" wrapText="1"/>
    </xf>
    <xf numFmtId="1" fontId="7" fillId="0" borderId="1" xfId="0" applyNumberFormat="1" applyFont="1" applyFill="1" applyBorder="1"/>
    <xf numFmtId="165" fontId="7" fillId="0" borderId="1" xfId="0" applyNumberFormat="1" applyFont="1" applyFill="1" applyBorder="1" applyAlignment="1">
      <alignment horizontal="right"/>
    </xf>
    <xf numFmtId="166" fontId="7" fillId="0" borderId="1" xfId="0" applyNumberFormat="1" applyFont="1" applyFill="1" applyBorder="1" applyAlignment="1">
      <alignment horizontal="right"/>
    </xf>
    <xf numFmtId="2" fontId="7" fillId="0" borderId="1" xfId="0" applyNumberFormat="1" applyFont="1" applyFill="1" applyBorder="1" applyAlignment="1">
      <alignment horizontal="right"/>
    </xf>
    <xf numFmtId="2" fontId="7" fillId="0" borderId="0" xfId="0" applyNumberFormat="1" applyFont="1" applyFill="1" applyBorder="1" applyAlignment="1">
      <alignment horizontal="right"/>
    </xf>
    <xf numFmtId="166" fontId="7" fillId="0" borderId="0" xfId="0" applyNumberFormat="1" applyFont="1" applyFill="1" applyBorder="1" applyAlignment="1">
      <alignment horizontal="right"/>
    </xf>
    <xf numFmtId="165" fontId="7" fillId="0" borderId="0" xfId="0" applyNumberFormat="1" applyFont="1" applyFill="1" applyBorder="1" applyAlignment="1">
      <alignment horizontal="right"/>
    </xf>
    <xf numFmtId="46" fontId="7" fillId="0" borderId="0" xfId="0" applyNumberFormat="1" applyFont="1" applyFill="1" applyBorder="1" applyAlignment="1">
      <alignment horizontal="center"/>
    </xf>
    <xf numFmtId="0" fontId="7" fillId="0" borderId="0" xfId="0" applyFont="1" applyFill="1" applyBorder="1" applyAlignment="1"/>
    <xf numFmtId="0" fontId="7" fillId="0" borderId="0" xfId="0" applyFont="1" applyFill="1" applyBorder="1" applyAlignment="1">
      <alignment horizontal="center" vertical="top" wrapText="1"/>
    </xf>
    <xf numFmtId="0" fontId="7" fillId="0" borderId="1" xfId="0" applyFont="1" applyFill="1" applyBorder="1"/>
    <xf numFmtId="164" fontId="7" fillId="0" borderId="1" xfId="0" applyNumberFormat="1" applyFont="1" applyFill="1" applyBorder="1" applyAlignment="1">
      <alignment horizontal="right"/>
    </xf>
    <xf numFmtId="165" fontId="7" fillId="0" borderId="2" xfId="0" applyNumberFormat="1" applyFont="1" applyFill="1" applyBorder="1" applyAlignment="1">
      <alignment horizontal="right"/>
    </xf>
    <xf numFmtId="165" fontId="7" fillId="0" borderId="3" xfId="0" applyNumberFormat="1" applyFont="1" applyFill="1" applyBorder="1" applyAlignment="1">
      <alignment horizontal="right"/>
    </xf>
    <xf numFmtId="164" fontId="7" fillId="0" borderId="2" xfId="0" applyNumberFormat="1" applyFont="1" applyFill="1" applyBorder="1" applyAlignment="1">
      <alignment horizontal="right"/>
    </xf>
    <xf numFmtId="0" fontId="7" fillId="0" borderId="2" xfId="0" applyFont="1" applyFill="1" applyBorder="1"/>
    <xf numFmtId="164" fontId="7" fillId="0" borderId="2" xfId="0" applyNumberFormat="1" applyFont="1" applyFill="1" applyBorder="1"/>
    <xf numFmtId="165" fontId="7" fillId="0" borderId="2" xfId="0" applyNumberFormat="1" applyFont="1" applyFill="1" applyBorder="1"/>
    <xf numFmtId="164" fontId="7" fillId="0" borderId="1" xfId="0" applyNumberFormat="1" applyFont="1" applyFill="1" applyBorder="1"/>
    <xf numFmtId="168" fontId="7" fillId="0" borderId="1" xfId="0" applyNumberFormat="1" applyFont="1" applyFill="1" applyBorder="1"/>
    <xf numFmtId="0" fontId="7" fillId="0" borderId="0" xfId="0" applyFont="1" applyFill="1" applyAlignment="1"/>
    <xf numFmtId="0" fontId="2" fillId="0" borderId="0" xfId="0" applyFont="1" applyFill="1" applyBorder="1" applyAlignment="1">
      <alignment horizontal="center" vertical="center" wrapText="1"/>
    </xf>
    <xf numFmtId="2" fontId="1" fillId="0" borderId="0" xfId="0" applyNumberFormat="1" applyFont="1" applyFill="1" applyBorder="1"/>
    <xf numFmtId="0" fontId="5" fillId="2" borderId="0" xfId="0" applyFont="1" applyFill="1" applyAlignment="1">
      <alignment horizontal="center"/>
    </xf>
    <xf numFmtId="0" fontId="0" fillId="0" borderId="1" xfId="0" applyBorder="1" applyAlignment="1">
      <alignment horizontal="left"/>
    </xf>
    <xf numFmtId="0" fontId="9" fillId="2" borderId="0" xfId="0" applyFont="1" applyFill="1" applyAlignment="1">
      <alignment horizontal="center"/>
    </xf>
    <xf numFmtId="0" fontId="6" fillId="0" borderId="4"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18088767927756"/>
          <c:y val="8.888886296621086E-2"/>
          <c:w val="0.61968517787519306"/>
          <c:h val="0.65406192649112671"/>
        </c:manualLayout>
      </c:layout>
      <c:scatterChart>
        <c:scatterStyle val="smoothMarker"/>
        <c:varyColors val="0"/>
        <c:ser>
          <c:idx val="0"/>
          <c:order val="0"/>
          <c:tx>
            <c:v>Waste rock,air dried-dry sieving</c:v>
          </c:tx>
          <c:spPr>
            <a:ln w="9525" cap="rnd">
              <a:solidFill>
                <a:schemeClr val="accent1">
                  <a:alpha val="50000"/>
                </a:schemeClr>
              </a:solidFill>
              <a:round/>
            </a:ln>
            <a:effectLst/>
          </c:spPr>
          <c:marker>
            <c:symbol val="diamond"/>
            <c:size val="6"/>
            <c:spPr>
              <a:solidFill>
                <a:schemeClr val="lt1"/>
              </a:solidFill>
              <a:ln w="15875">
                <a:solidFill>
                  <a:schemeClr val="accent1"/>
                </a:solidFill>
                <a:round/>
              </a:ln>
              <a:effectLst/>
            </c:spPr>
          </c:marker>
          <c:xVal>
            <c:numRef>
              <c:f>'Sieve Analysis'!$A$5:$A$11</c:f>
              <c:numCache>
                <c:formatCode>0.0</c:formatCode>
                <c:ptCount val="7"/>
                <c:pt idx="0">
                  <c:v>25</c:v>
                </c:pt>
                <c:pt idx="1">
                  <c:v>20</c:v>
                </c:pt>
                <c:pt idx="2">
                  <c:v>19</c:v>
                </c:pt>
                <c:pt idx="3">
                  <c:v>14</c:v>
                </c:pt>
                <c:pt idx="4">
                  <c:v>12.5</c:v>
                </c:pt>
                <c:pt idx="5">
                  <c:v>9</c:v>
                </c:pt>
                <c:pt idx="6">
                  <c:v>6.3</c:v>
                </c:pt>
              </c:numCache>
            </c:numRef>
          </c:xVal>
          <c:yVal>
            <c:numRef>
              <c:f>'Sieve Analysis'!$E$5:$E$11</c:f>
              <c:numCache>
                <c:formatCode>0.00</c:formatCode>
                <c:ptCount val="7"/>
                <c:pt idx="0">
                  <c:v>90.973385445747255</c:v>
                </c:pt>
                <c:pt idx="1">
                  <c:v>80.122836404243429</c:v>
                </c:pt>
                <c:pt idx="2">
                  <c:v>70.221477759166191</c:v>
                </c:pt>
                <c:pt idx="3">
                  <c:v>54.624976735529494</c:v>
                </c:pt>
                <c:pt idx="4">
                  <c:v>41.838823748371482</c:v>
                </c:pt>
                <c:pt idx="5">
                  <c:v>19.914386748557604</c:v>
                </c:pt>
                <c:pt idx="6">
                  <c:v>11.018053229108503</c:v>
                </c:pt>
              </c:numCache>
            </c:numRef>
          </c:yVal>
          <c:smooth val="1"/>
          <c:extLst>
            <c:ext xmlns:c16="http://schemas.microsoft.com/office/drawing/2014/chart" uri="{C3380CC4-5D6E-409C-BE32-E72D297353CC}">
              <c16:uniqueId val="{00000000-0049-40B3-B500-434CD6DE4D26}"/>
            </c:ext>
          </c:extLst>
        </c:ser>
        <c:ser>
          <c:idx val="1"/>
          <c:order val="1"/>
          <c:tx>
            <c:v>Waste rock,wet sieving</c:v>
          </c:tx>
          <c:spPr>
            <a:ln w="9525" cap="rnd">
              <a:solidFill>
                <a:schemeClr val="accent2">
                  <a:alpha val="50000"/>
                </a:schemeClr>
              </a:solidFill>
              <a:round/>
            </a:ln>
            <a:effectLst/>
          </c:spPr>
          <c:marker>
            <c:symbol val="square"/>
            <c:size val="6"/>
            <c:spPr>
              <a:solidFill>
                <a:schemeClr val="lt1"/>
              </a:solidFill>
              <a:ln w="15875">
                <a:solidFill>
                  <a:schemeClr val="accent2"/>
                </a:solidFill>
                <a:round/>
              </a:ln>
              <a:effectLst/>
            </c:spPr>
          </c:marker>
          <c:xVal>
            <c:numRef>
              <c:f>'Sieve Analysis'!$A$17:$A$26</c:f>
              <c:numCache>
                <c:formatCode>0.0</c:formatCode>
                <c:ptCount val="10"/>
                <c:pt idx="0">
                  <c:v>25</c:v>
                </c:pt>
                <c:pt idx="1">
                  <c:v>20</c:v>
                </c:pt>
                <c:pt idx="2">
                  <c:v>19</c:v>
                </c:pt>
                <c:pt idx="3">
                  <c:v>14</c:v>
                </c:pt>
                <c:pt idx="4">
                  <c:v>12.5</c:v>
                </c:pt>
                <c:pt idx="5">
                  <c:v>9</c:v>
                </c:pt>
                <c:pt idx="6">
                  <c:v>6.3</c:v>
                </c:pt>
                <c:pt idx="7">
                  <c:v>4.5</c:v>
                </c:pt>
                <c:pt idx="8">
                  <c:v>1</c:v>
                </c:pt>
                <c:pt idx="9" formatCode="0.00">
                  <c:v>0.42499999999999999</c:v>
                </c:pt>
              </c:numCache>
            </c:numRef>
          </c:xVal>
          <c:yVal>
            <c:numRef>
              <c:f>'Sieve Analysis'!$E$17:$E$26</c:f>
              <c:numCache>
                <c:formatCode>0.00</c:formatCode>
                <c:ptCount val="10"/>
                <c:pt idx="0">
                  <c:v>94.579996274911537</c:v>
                </c:pt>
                <c:pt idx="1">
                  <c:v>84.708511827155888</c:v>
                </c:pt>
                <c:pt idx="2">
                  <c:v>74.427267647606627</c:v>
                </c:pt>
                <c:pt idx="3">
                  <c:v>59.340659340659336</c:v>
                </c:pt>
                <c:pt idx="4">
                  <c:v>45.706835537344006</c:v>
                </c:pt>
                <c:pt idx="5" formatCode="0.0">
                  <c:v>23.505308251070957</c:v>
                </c:pt>
                <c:pt idx="6" formatCode="0.0">
                  <c:v>12.572173589122741</c:v>
                </c:pt>
                <c:pt idx="7" formatCode="0.0">
                  <c:v>3.1849506425777605</c:v>
                </c:pt>
                <c:pt idx="8" formatCode="0.0">
                  <c:v>1.8625442354255881</c:v>
                </c:pt>
                <c:pt idx="9" formatCode="0.0">
                  <c:v>0.37250884708511478</c:v>
                </c:pt>
              </c:numCache>
            </c:numRef>
          </c:yVal>
          <c:smooth val="1"/>
          <c:extLst>
            <c:ext xmlns:c16="http://schemas.microsoft.com/office/drawing/2014/chart" uri="{C3380CC4-5D6E-409C-BE32-E72D297353CC}">
              <c16:uniqueId val="{00000001-0049-40B3-B500-434CD6DE4D26}"/>
            </c:ext>
          </c:extLst>
        </c:ser>
        <c:ser>
          <c:idx val="2"/>
          <c:order val="2"/>
          <c:tx>
            <c:v>Fine waste,air dried-dry sieving</c:v>
          </c:tx>
          <c:spPr>
            <a:ln w="9525" cap="rnd">
              <a:solidFill>
                <a:schemeClr val="tx1">
                  <a:lumMod val="85000"/>
                  <a:lumOff val="15000"/>
                  <a:alpha val="50000"/>
                </a:schemeClr>
              </a:solidFill>
              <a:round/>
            </a:ln>
            <a:effectLst/>
          </c:spPr>
          <c:marker>
            <c:symbol val="triangle"/>
            <c:size val="6"/>
            <c:spPr>
              <a:solidFill>
                <a:schemeClr val="lt1"/>
              </a:solidFill>
              <a:ln w="15875">
                <a:solidFill>
                  <a:schemeClr val="accent3"/>
                </a:solidFill>
                <a:round/>
              </a:ln>
              <a:effectLst/>
            </c:spPr>
          </c:marker>
          <c:xVal>
            <c:numRef>
              <c:f>'Sieve Analysis'!$A$32:$A$39</c:f>
              <c:numCache>
                <c:formatCode>0.000</c:formatCode>
                <c:ptCount val="8"/>
                <c:pt idx="0">
                  <c:v>1</c:v>
                </c:pt>
                <c:pt idx="1">
                  <c:v>0.42499999999999999</c:v>
                </c:pt>
                <c:pt idx="2">
                  <c:v>0.21199999999999999</c:v>
                </c:pt>
                <c:pt idx="3">
                  <c:v>0.15</c:v>
                </c:pt>
                <c:pt idx="4">
                  <c:v>0.106</c:v>
                </c:pt>
                <c:pt idx="5">
                  <c:v>7.4999999999999997E-2</c:v>
                </c:pt>
                <c:pt idx="6">
                  <c:v>2.5000000000000001E-2</c:v>
                </c:pt>
                <c:pt idx="7">
                  <c:v>2.1000000000000001E-2</c:v>
                </c:pt>
              </c:numCache>
            </c:numRef>
          </c:xVal>
          <c:yVal>
            <c:numRef>
              <c:f>'Sieve Analysis'!$E$32:$E$39</c:f>
              <c:numCache>
                <c:formatCode>0.00</c:formatCode>
                <c:ptCount val="8"/>
                <c:pt idx="0">
                  <c:v>99.707412666082988</c:v>
                </c:pt>
                <c:pt idx="1">
                  <c:v>98.37375877194971</c:v>
                </c:pt>
                <c:pt idx="2">
                  <c:v>92.202207333281905</c:v>
                </c:pt>
                <c:pt idx="3">
                  <c:v>84.887523985357006</c:v>
                </c:pt>
                <c:pt idx="4">
                  <c:v>76.833433886603117</c:v>
                </c:pt>
                <c:pt idx="5" formatCode="0.0">
                  <c:v>64.454041107386331</c:v>
                </c:pt>
                <c:pt idx="6" formatCode="0.0">
                  <c:v>10.629312260996969</c:v>
                </c:pt>
                <c:pt idx="7" formatCode="0.0">
                  <c:v>9.8436358852694639E-2</c:v>
                </c:pt>
              </c:numCache>
            </c:numRef>
          </c:yVal>
          <c:smooth val="1"/>
          <c:extLst>
            <c:ext xmlns:c16="http://schemas.microsoft.com/office/drawing/2014/chart" uri="{C3380CC4-5D6E-409C-BE32-E72D297353CC}">
              <c16:uniqueId val="{00000001-5218-4939-AE73-474C1E4271C9}"/>
            </c:ext>
          </c:extLst>
        </c:ser>
        <c:ser>
          <c:idx val="3"/>
          <c:order val="3"/>
          <c:tx>
            <c:v>Fine waste,wet sieving</c:v>
          </c:tx>
          <c:spPr>
            <a:ln w="9525" cap="rnd">
              <a:solidFill>
                <a:schemeClr val="accent4">
                  <a:alpha val="50000"/>
                </a:schemeClr>
              </a:solidFill>
              <a:round/>
            </a:ln>
            <a:effectLst/>
          </c:spPr>
          <c:marker>
            <c:symbol val="x"/>
            <c:size val="6"/>
            <c:spPr>
              <a:solidFill>
                <a:schemeClr val="accent5">
                  <a:lumMod val="50000"/>
                </a:schemeClr>
              </a:solidFill>
              <a:ln w="15875">
                <a:solidFill>
                  <a:schemeClr val="accent4"/>
                </a:solidFill>
                <a:round/>
              </a:ln>
              <a:effectLst/>
            </c:spPr>
          </c:marker>
          <c:xVal>
            <c:numRef>
              <c:f>'Sieve Analysis'!$A$45:$A$54</c:f>
              <c:numCache>
                <c:formatCode>0.000</c:formatCode>
                <c:ptCount val="10"/>
                <c:pt idx="0">
                  <c:v>1</c:v>
                </c:pt>
                <c:pt idx="1">
                  <c:v>0.42499999999999999</c:v>
                </c:pt>
                <c:pt idx="2">
                  <c:v>0.21199999999999999</c:v>
                </c:pt>
                <c:pt idx="3">
                  <c:v>0.15</c:v>
                </c:pt>
                <c:pt idx="4">
                  <c:v>0.106</c:v>
                </c:pt>
                <c:pt idx="5">
                  <c:v>7.4999999999999997E-2</c:v>
                </c:pt>
                <c:pt idx="6">
                  <c:v>2.5000000000000001E-2</c:v>
                </c:pt>
                <c:pt idx="7">
                  <c:v>2.1000000000000001E-2</c:v>
                </c:pt>
                <c:pt idx="8">
                  <c:v>1.7999999999999999E-2</c:v>
                </c:pt>
                <c:pt idx="9">
                  <c:v>1.4999999999999999E-2</c:v>
                </c:pt>
              </c:numCache>
            </c:numRef>
          </c:xVal>
          <c:yVal>
            <c:numRef>
              <c:f>'Sieve Analysis'!$E$45:$E$54</c:f>
              <c:numCache>
                <c:formatCode>0.00</c:formatCode>
                <c:ptCount val="10"/>
                <c:pt idx="0">
                  <c:v>99.85447984477851</c:v>
                </c:pt>
                <c:pt idx="1">
                  <c:v>99.581119553194199</c:v>
                </c:pt>
                <c:pt idx="2">
                  <c:v>95.680182058860879</c:v>
                </c:pt>
                <c:pt idx="3">
                  <c:v>93.157379367871343</c:v>
                </c:pt>
                <c:pt idx="4">
                  <c:v>86.208225288773662</c:v>
                </c:pt>
                <c:pt idx="5" formatCode="0.0">
                  <c:v>81.996754129871078</c:v>
                </c:pt>
                <c:pt idx="6" formatCode="0.0">
                  <c:v>56.766460550891267</c:v>
                </c:pt>
                <c:pt idx="7" formatCode="0.0">
                  <c:v>18.588953161550037</c:v>
                </c:pt>
                <c:pt idx="8" formatCode="0.0">
                  <c:v>4.9345385968411648</c:v>
                </c:pt>
                <c:pt idx="9" formatCode="0.0">
                  <c:v>1.9108020381888338</c:v>
                </c:pt>
              </c:numCache>
            </c:numRef>
          </c:yVal>
          <c:smooth val="1"/>
          <c:extLst>
            <c:ext xmlns:c16="http://schemas.microsoft.com/office/drawing/2014/chart" uri="{C3380CC4-5D6E-409C-BE32-E72D297353CC}">
              <c16:uniqueId val="{00000002-5218-4939-AE73-474C1E4271C9}"/>
            </c:ext>
          </c:extLst>
        </c:ser>
        <c:dLbls>
          <c:showLegendKey val="0"/>
          <c:showVal val="0"/>
          <c:showCatName val="0"/>
          <c:showSerName val="0"/>
          <c:showPercent val="0"/>
          <c:showBubbleSize val="0"/>
        </c:dLbls>
        <c:axId val="449964600"/>
        <c:axId val="449965584"/>
      </c:scatterChart>
      <c:valAx>
        <c:axId val="449964600"/>
        <c:scaling>
          <c:logBase val="10"/>
          <c:orientation val="minMax"/>
          <c:min val="1.0000000000000002E-3"/>
        </c:scaling>
        <c:delete val="0"/>
        <c:axPos val="b"/>
        <c:majorGridlines>
          <c:spPr>
            <a:ln w="9525" cap="flat" cmpd="sng" algn="ctr">
              <a:solidFill>
                <a:schemeClr val="tx1">
                  <a:lumMod val="50000"/>
                  <a:lumOff val="50000"/>
                </a:schemeClr>
              </a:solidFill>
              <a:round/>
            </a:ln>
            <a:effectLst/>
          </c:spPr>
        </c:majorGridlines>
        <c:minorGridlines>
          <c:spPr>
            <a:ln w="9525" cap="flat" cmpd="sng" algn="ctr">
              <a:solidFill>
                <a:schemeClr val="dk1">
                  <a:lumMod val="15000"/>
                  <a:lumOff val="85000"/>
                </a:schemeClr>
              </a:solidFill>
              <a:round/>
            </a:ln>
            <a:effectLst/>
          </c:spPr>
        </c:minorGridlines>
        <c:title>
          <c:tx>
            <c:rich>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ZA"/>
                  <a:t>Particle size (mm)</a:t>
                </a:r>
              </a:p>
            </c:rich>
          </c:tx>
          <c:overlay val="0"/>
          <c:spPr>
            <a:noFill/>
            <a:ln>
              <a:noFill/>
            </a:ln>
            <a:effectLst/>
          </c:spPr>
          <c:txPr>
            <a:bodyPr rot="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General" sourceLinked="0"/>
        <c:majorTickMark val="none"/>
        <c:minorTickMark val="none"/>
        <c:tickLblPos val="nextTo"/>
        <c:spPr>
          <a:noFill/>
          <a:ln w="9525" cap="flat" cmpd="sng" algn="ctr">
            <a:solidFill>
              <a:schemeClr val="tx1">
                <a:lumMod val="85000"/>
                <a:lumOff val="1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49965584"/>
        <c:crossesAt val="1.0000000000000002E-3"/>
        <c:crossBetween val="midCat"/>
      </c:valAx>
      <c:valAx>
        <c:axId val="449965584"/>
        <c:scaling>
          <c:orientation val="minMax"/>
        </c:scaling>
        <c:delete val="0"/>
        <c:axPos val="l"/>
        <c:majorGridlines>
          <c:spPr>
            <a:ln w="9525" cap="flat" cmpd="sng" algn="ctr">
              <a:solidFill>
                <a:schemeClr val="tx1">
                  <a:lumMod val="75000"/>
                  <a:lumOff val="25000"/>
                </a:schemeClr>
              </a:solidFill>
              <a:round/>
            </a:ln>
            <a:effectLst/>
          </c:spPr>
        </c:majorGridlines>
        <c:title>
          <c:tx>
            <c:rich>
              <a:bodyPr rot="-54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ZA"/>
                  <a:t>Cummulative  Passing ( %)</a:t>
                </a:r>
              </a:p>
            </c:rich>
          </c:tx>
          <c:overlay val="0"/>
          <c:spPr>
            <a:noFill/>
            <a:ln>
              <a:noFill/>
            </a:ln>
            <a:effectLst/>
          </c:spPr>
          <c:txPr>
            <a:bodyPr rot="-5400000" spcFirstLastPara="1" vertOverflow="ellipsis" vert="horz" wrap="square" anchor="ctr" anchorCtr="1"/>
            <a:lstStyle/>
            <a:p>
              <a:pPr>
                <a:defRPr sz="9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none"/>
        <c:minorTickMark val="none"/>
        <c:tickLblPos val="nextTo"/>
        <c:spPr>
          <a:noFill/>
          <a:ln w="9525" cap="flat" cmpd="sng" algn="ctr">
            <a:solidFill>
              <a:schemeClr val="tx1">
                <a:lumMod val="75000"/>
                <a:lumOff val="2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49964600"/>
        <c:crossesAt val="1.0000000000000002E-3"/>
        <c:crossBetween val="midCat"/>
        <c:minorUnit val="4"/>
      </c:valAx>
      <c:spPr>
        <a:noFill/>
        <a:ln>
          <a:noFill/>
        </a:ln>
        <a:effectLst/>
      </c:spPr>
    </c:plotArea>
    <c:legend>
      <c:legendPos val="b"/>
      <c:layout>
        <c:manualLayout>
          <c:xMode val="edge"/>
          <c:yMode val="edge"/>
          <c:x val="0.23794621698517365"/>
          <c:y val="8.304252423395099E-2"/>
          <c:w val="0.66193472539891052"/>
          <c:h val="0.10367071238716409"/>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007132915965063"/>
          <c:y val="3.7482758620689657E-2"/>
          <c:w val="0.79682263653851915"/>
          <c:h val="0.80156585249042145"/>
        </c:manualLayout>
      </c:layout>
      <c:scatterChart>
        <c:scatterStyle val="lineMarker"/>
        <c:varyColors val="0"/>
        <c:ser>
          <c:idx val="0"/>
          <c:order val="0"/>
          <c:tx>
            <c:v>Waste rock : fine waste,2 : 3 (w/w)</c:v>
          </c:tx>
          <c:spPr>
            <a:ln w="25400" cap="rnd">
              <a:noFill/>
              <a:round/>
            </a:ln>
            <a:effectLst/>
          </c:spPr>
          <c:marker>
            <c:symbol val="diamond"/>
            <c:size val="6"/>
            <c:spPr>
              <a:solidFill>
                <a:schemeClr val="lt1"/>
              </a:solidFill>
              <a:ln w="15875">
                <a:solidFill>
                  <a:schemeClr val="accent1"/>
                </a:solidFill>
                <a:round/>
              </a:ln>
              <a:effectLst/>
            </c:spPr>
          </c:marker>
          <c:xVal>
            <c:numRef>
              <c:f>'Packing density tests'!$AA$25:$AA$35</c:f>
              <c:numCache>
                <c:formatCode>0.000</c:formatCode>
                <c:ptCount val="11"/>
                <c:pt idx="0">
                  <c:v>0</c:v>
                </c:pt>
                <c:pt idx="1">
                  <c:v>3.9947484557635068E-2</c:v>
                </c:pt>
                <c:pt idx="2">
                  <c:v>7.8032305294305937E-2</c:v>
                </c:pt>
                <c:pt idx="3">
                  <c:v>0.10736123676674739</c:v>
                </c:pt>
                <c:pt idx="4">
                  <c:v>0.13458045940269603</c:v>
                </c:pt>
                <c:pt idx="5">
                  <c:v>0.1471549313051165</c:v>
                </c:pt>
                <c:pt idx="6">
                  <c:v>0.1704754121270062</c:v>
                </c:pt>
                <c:pt idx="7">
                  <c:v>0.20623839868060109</c:v>
                </c:pt>
                <c:pt idx="8">
                  <c:v>0.23784261180863608</c:v>
                </c:pt>
                <c:pt idx="9">
                  <c:v>0.27350749383913125</c:v>
                </c:pt>
                <c:pt idx="10">
                  <c:v>0.32589791939254803</c:v>
                </c:pt>
              </c:numCache>
            </c:numRef>
          </c:xVal>
          <c:yVal>
            <c:numRef>
              <c:f>'Packing density tests'!$AB$25:$AB$35</c:f>
              <c:numCache>
                <c:formatCode>0.000</c:formatCode>
                <c:ptCount val="11"/>
                <c:pt idx="0">
                  <c:v>0.57658137882018479</c:v>
                </c:pt>
                <c:pt idx="1">
                  <c:v>0.50039043110085513</c:v>
                </c:pt>
                <c:pt idx="2">
                  <c:v>0.51233496034233905</c:v>
                </c:pt>
                <c:pt idx="3">
                  <c:v>0.55856302389525903</c:v>
                </c:pt>
                <c:pt idx="4">
                  <c:v>0.59412307278211951</c:v>
                </c:pt>
                <c:pt idx="5">
                  <c:v>0.67919365127299502</c:v>
                </c:pt>
                <c:pt idx="6">
                  <c:v>0.70353860781861499</c:v>
                </c:pt>
                <c:pt idx="7">
                  <c:v>0.67846421437275173</c:v>
                </c:pt>
                <c:pt idx="8">
                  <c:v>0.67235518033321395</c:v>
                </c:pt>
                <c:pt idx="9">
                  <c:v>0.6577664423283478</c:v>
                </c:pt>
                <c:pt idx="10">
                  <c:v>0.61336197102603662</c:v>
                </c:pt>
              </c:numCache>
            </c:numRef>
          </c:yVal>
          <c:smooth val="0"/>
          <c:extLst>
            <c:ext xmlns:c16="http://schemas.microsoft.com/office/drawing/2014/chart" uri="{C3380CC4-5D6E-409C-BE32-E72D297353CC}">
              <c16:uniqueId val="{00000000-EB0D-4ADF-AF8B-845C8878BE0E}"/>
            </c:ext>
          </c:extLst>
        </c:ser>
        <c:ser>
          <c:idx val="1"/>
          <c:order val="1"/>
          <c:tx>
            <c:v>Waste rock : fine waste , 3 : 2 (w/w)</c:v>
          </c:tx>
          <c:spPr>
            <a:ln w="25400" cap="rnd">
              <a:noFill/>
              <a:round/>
            </a:ln>
            <a:effectLst/>
          </c:spPr>
          <c:marker>
            <c:symbol val="square"/>
            <c:size val="6"/>
            <c:spPr>
              <a:solidFill>
                <a:schemeClr val="lt1"/>
              </a:solidFill>
              <a:ln w="15875">
                <a:solidFill>
                  <a:schemeClr val="accent2"/>
                </a:solidFill>
                <a:round/>
              </a:ln>
              <a:effectLst/>
            </c:spPr>
          </c:marker>
          <c:xVal>
            <c:numRef>
              <c:f>'Packing density tests'!$AA$40:$AA$50</c:f>
              <c:numCache>
                <c:formatCode>0.000</c:formatCode>
                <c:ptCount val="11"/>
                <c:pt idx="0">
                  <c:v>0</c:v>
                </c:pt>
                <c:pt idx="1">
                  <c:v>2.6684644345938893E-2</c:v>
                </c:pt>
                <c:pt idx="2">
                  <c:v>5.3086365525280822E-2</c:v>
                </c:pt>
                <c:pt idx="3">
                  <c:v>7.5689997903267053E-2</c:v>
                </c:pt>
                <c:pt idx="4">
                  <c:v>8.9410801861511915E-2</c:v>
                </c:pt>
                <c:pt idx="5">
                  <c:v>0.11286282087101603</c:v>
                </c:pt>
                <c:pt idx="6">
                  <c:v>0.13621696161964295</c:v>
                </c:pt>
                <c:pt idx="7">
                  <c:v>0.1628581192470141</c:v>
                </c:pt>
                <c:pt idx="8">
                  <c:v>0.1875496039910047</c:v>
                </c:pt>
                <c:pt idx="9">
                  <c:v>0.21375318519482278</c:v>
                </c:pt>
                <c:pt idx="10">
                  <c:v>0.24665061215862205</c:v>
                </c:pt>
              </c:numCache>
            </c:numRef>
          </c:xVal>
          <c:yVal>
            <c:numRef>
              <c:f>'Packing density tests'!$AB$40:$AB$50</c:f>
              <c:numCache>
                <c:formatCode>0.000</c:formatCode>
                <c:ptCount val="11"/>
                <c:pt idx="0">
                  <c:v>0.78501342493879811</c:v>
                </c:pt>
                <c:pt idx="1">
                  <c:v>0.74909520097208726</c:v>
                </c:pt>
                <c:pt idx="2">
                  <c:v>0.75308749511851325</c:v>
                </c:pt>
                <c:pt idx="3">
                  <c:v>0.79228456491978383</c:v>
                </c:pt>
                <c:pt idx="4">
                  <c:v>0.89426953356938621</c:v>
                </c:pt>
                <c:pt idx="5">
                  <c:v>0.88555907361354858</c:v>
                </c:pt>
                <c:pt idx="6">
                  <c:v>0.88047797197264299</c:v>
                </c:pt>
                <c:pt idx="7">
                  <c:v>0.8591857365250386</c:v>
                </c:pt>
                <c:pt idx="8">
                  <c:v>0.85265289155816071</c:v>
                </c:pt>
                <c:pt idx="9">
                  <c:v>0.84164383800286524</c:v>
                </c:pt>
                <c:pt idx="10">
                  <c:v>0.81043135649444642</c:v>
                </c:pt>
              </c:numCache>
            </c:numRef>
          </c:yVal>
          <c:smooth val="0"/>
          <c:extLst>
            <c:ext xmlns:c16="http://schemas.microsoft.com/office/drawing/2014/chart" uri="{C3380CC4-5D6E-409C-BE32-E72D297353CC}">
              <c16:uniqueId val="{00000001-EB0D-4ADF-AF8B-845C8878BE0E}"/>
            </c:ext>
          </c:extLst>
        </c:ser>
        <c:dLbls>
          <c:showLegendKey val="0"/>
          <c:showVal val="0"/>
          <c:showCatName val="0"/>
          <c:showSerName val="0"/>
          <c:showPercent val="0"/>
          <c:showBubbleSize val="0"/>
        </c:dLbls>
        <c:axId val="409486448"/>
        <c:axId val="409479888"/>
      </c:scatterChart>
      <c:valAx>
        <c:axId val="409486448"/>
        <c:scaling>
          <c:orientation val="minMax"/>
        </c:scaling>
        <c:delete val="0"/>
        <c:axPos val="b"/>
        <c:title>
          <c:tx>
            <c:rich>
              <a:bodyPr rot="0" spcFirstLastPara="1" vertOverflow="ellipsis" vert="horz" wrap="square" anchor="ctr" anchorCtr="1"/>
              <a:lstStyle/>
              <a:p>
                <a:pPr>
                  <a:defRPr sz="1200" b="1" i="0" u="none" strike="noStrike" kern="1200" baseline="0">
                    <a:ln>
                      <a:noFill/>
                    </a:ln>
                    <a:solidFill>
                      <a:sysClr val="windowText" lastClr="000000"/>
                    </a:solidFill>
                    <a:latin typeface="+mn-lt"/>
                    <a:ea typeface="+mn-ea"/>
                    <a:cs typeface="+mn-cs"/>
                  </a:defRPr>
                </a:pPr>
                <a:r>
                  <a:rPr lang="en-US"/>
                  <a:t>Water/Solid ratio [m³ (water) / m³ (solids) ]</a:t>
                </a:r>
              </a:p>
            </c:rich>
          </c:tx>
          <c:overlay val="0"/>
          <c:spPr>
            <a:noFill/>
            <a:ln>
              <a:noFill/>
            </a:ln>
            <a:effectLst/>
          </c:spPr>
          <c:txPr>
            <a:bodyPr rot="0" spcFirstLastPara="1" vertOverflow="ellipsis" vert="horz" wrap="square" anchor="ctr" anchorCtr="1"/>
            <a:lstStyle/>
            <a:p>
              <a:pPr>
                <a:defRPr sz="1200" b="1" i="0" u="none" strike="noStrike" kern="1200" baseline="0">
                  <a:ln>
                    <a:noFill/>
                  </a:ln>
                  <a:solidFill>
                    <a:sysClr val="windowText" lastClr="000000"/>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ln>
                  <a:noFill/>
                </a:ln>
                <a:solidFill>
                  <a:sysClr val="windowText" lastClr="000000"/>
                </a:solidFill>
                <a:latin typeface="+mn-lt"/>
                <a:ea typeface="+mn-ea"/>
                <a:cs typeface="+mn-cs"/>
              </a:defRPr>
            </a:pPr>
            <a:endParaRPr lang="en-US"/>
          </a:p>
        </c:txPr>
        <c:crossAx val="409479888"/>
        <c:crosses val="autoZero"/>
        <c:crossBetween val="midCat"/>
      </c:valAx>
      <c:valAx>
        <c:axId val="409479888"/>
        <c:scaling>
          <c:orientation val="minMax"/>
          <c:min val="0.4"/>
        </c:scaling>
        <c:delete val="0"/>
        <c:axPos val="l"/>
        <c:title>
          <c:tx>
            <c:rich>
              <a:bodyPr rot="-5400000" spcFirstLastPara="1" vertOverflow="ellipsis" vert="horz" wrap="square" anchor="ctr" anchorCtr="1"/>
              <a:lstStyle/>
              <a:p>
                <a:pPr>
                  <a:defRPr sz="1200" b="1" i="0" u="none" strike="noStrike" kern="1200" baseline="0">
                    <a:ln>
                      <a:noFill/>
                    </a:ln>
                    <a:solidFill>
                      <a:sysClr val="windowText" lastClr="000000"/>
                    </a:solidFill>
                    <a:latin typeface="+mn-lt"/>
                    <a:ea typeface="+mn-ea"/>
                    <a:cs typeface="+mn-cs"/>
                  </a:defRPr>
                </a:pPr>
                <a:r>
                  <a:rPr lang="en-US"/>
                  <a:t>Solids concentration  </a:t>
                </a:r>
              </a:p>
              <a:p>
                <a:pPr>
                  <a:defRPr/>
                </a:pPr>
                <a:r>
                  <a:rPr lang="en-US"/>
                  <a:t>[m³ (solids) /m³(mould) ]</a:t>
                </a:r>
              </a:p>
            </c:rich>
          </c:tx>
          <c:layout>
            <c:manualLayout>
              <c:xMode val="edge"/>
              <c:yMode val="edge"/>
              <c:x val="1.8861785271080487E-2"/>
              <c:y val="0.12090249092738485"/>
            </c:manualLayout>
          </c:layout>
          <c:overlay val="0"/>
          <c:spPr>
            <a:noFill/>
            <a:ln>
              <a:noFill/>
            </a:ln>
            <a:effectLst/>
          </c:spPr>
          <c:txPr>
            <a:bodyPr rot="-5400000" spcFirstLastPara="1" vertOverflow="ellipsis" vert="horz" wrap="square" anchor="ctr" anchorCtr="1"/>
            <a:lstStyle/>
            <a:p>
              <a:pPr>
                <a:defRPr sz="1200" b="1" i="0" u="none" strike="noStrike" kern="1200" baseline="0">
                  <a:ln>
                    <a:noFill/>
                  </a:ln>
                  <a:solidFill>
                    <a:sysClr val="windowText" lastClr="000000"/>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ln>
                  <a:noFill/>
                </a:ln>
                <a:solidFill>
                  <a:sysClr val="windowText" lastClr="000000"/>
                </a:solidFill>
                <a:latin typeface="+mn-lt"/>
                <a:ea typeface="+mn-ea"/>
                <a:cs typeface="+mn-cs"/>
              </a:defRPr>
            </a:pPr>
            <a:endParaRPr lang="en-US"/>
          </a:p>
        </c:txPr>
        <c:crossAx val="409486448"/>
        <c:crosses val="autoZero"/>
        <c:crossBetween val="midCat"/>
        <c:majorUnit val="0.2"/>
      </c:valAx>
      <c:spPr>
        <a:noFill/>
        <a:ln>
          <a:solidFill>
            <a:sysClr val="windowText" lastClr="000000"/>
          </a:solidFill>
        </a:ln>
        <a:effectLst/>
      </c:spPr>
    </c:plotArea>
    <c:legend>
      <c:legendPos val="b"/>
      <c:layout>
        <c:manualLayout>
          <c:xMode val="edge"/>
          <c:yMode val="edge"/>
          <c:x val="0.40867559684666371"/>
          <c:y val="3.3349886540016076E-2"/>
          <c:w val="0.51873871695058138"/>
          <c:h val="0.13086542145593869"/>
        </c:manualLayout>
      </c:layout>
      <c:overlay val="0"/>
      <c:spPr>
        <a:noFill/>
        <a:ln>
          <a:noFill/>
        </a:ln>
        <a:effectLst/>
      </c:spPr>
      <c:txPr>
        <a:bodyPr rot="0" spcFirstLastPara="1" vertOverflow="ellipsis" vert="horz" wrap="square" anchor="ctr" anchorCtr="1"/>
        <a:lstStyle/>
        <a:p>
          <a:pPr>
            <a:defRPr sz="1200" b="0" i="0" u="none" strike="noStrike" kern="1200" baseline="0">
              <a:ln>
                <a:noFill/>
              </a:ln>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sz="1200">
          <a:ln>
            <a:noFill/>
          </a:ln>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82612887674755"/>
          <c:y val="3.8187573571119258E-2"/>
          <c:w val="0.83659207777599232"/>
          <c:h val="0.79783455418188931"/>
        </c:manualLayout>
      </c:layout>
      <c:scatterChart>
        <c:scatterStyle val="lineMarker"/>
        <c:varyColors val="0"/>
        <c:ser>
          <c:idx val="0"/>
          <c:order val="0"/>
          <c:tx>
            <c:v>Waste rock : fine waste, 2 : 3 (w/w)</c:v>
          </c:tx>
          <c:spPr>
            <a:ln w="25400" cap="rnd">
              <a:noFill/>
              <a:round/>
            </a:ln>
            <a:effectLst/>
          </c:spPr>
          <c:marker>
            <c:symbol val="diamond"/>
            <c:size val="6"/>
            <c:spPr>
              <a:solidFill>
                <a:schemeClr val="lt1"/>
              </a:solidFill>
              <a:ln w="15875">
                <a:solidFill>
                  <a:schemeClr val="accent1"/>
                </a:solidFill>
                <a:round/>
              </a:ln>
              <a:effectLst/>
            </c:spPr>
          </c:marker>
          <c:xVal>
            <c:numRef>
              <c:f>'Packing density tests'!$AA$25:$AA$35</c:f>
              <c:numCache>
                <c:formatCode>0.000</c:formatCode>
                <c:ptCount val="11"/>
                <c:pt idx="0">
                  <c:v>0</c:v>
                </c:pt>
                <c:pt idx="1">
                  <c:v>3.9947484557635068E-2</c:v>
                </c:pt>
                <c:pt idx="2">
                  <c:v>7.8032305294305937E-2</c:v>
                </c:pt>
                <c:pt idx="3">
                  <c:v>0.10736123676674739</c:v>
                </c:pt>
                <c:pt idx="4">
                  <c:v>0.13458045940269603</c:v>
                </c:pt>
                <c:pt idx="5">
                  <c:v>0.1471549313051165</c:v>
                </c:pt>
                <c:pt idx="6">
                  <c:v>0.1704754121270062</c:v>
                </c:pt>
                <c:pt idx="7">
                  <c:v>0.20623839868060109</c:v>
                </c:pt>
                <c:pt idx="8">
                  <c:v>0.23784261180863608</c:v>
                </c:pt>
                <c:pt idx="9">
                  <c:v>0.27350749383913125</c:v>
                </c:pt>
                <c:pt idx="10">
                  <c:v>0.32589791939254803</c:v>
                </c:pt>
              </c:numCache>
            </c:numRef>
          </c:xVal>
          <c:yVal>
            <c:numRef>
              <c:f>'Packing density tests'!$Y$25:$Y$35</c:f>
              <c:numCache>
                <c:formatCode>0.000</c:formatCode>
                <c:ptCount val="11"/>
                <c:pt idx="0">
                  <c:v>0.73436055469953787</c:v>
                </c:pt>
                <c:pt idx="1">
                  <c:v>0.99843949413662347</c:v>
                </c:pt>
                <c:pt idx="2">
                  <c:v>0.95184806309490577</c:v>
                </c:pt>
                <c:pt idx="3">
                  <c:v>0.79030826821704991</c:v>
                </c:pt>
                <c:pt idx="4">
                  <c:v>0.68315294559638506</c:v>
                </c:pt>
                <c:pt idx="5">
                  <c:v>0.47233413935145901</c:v>
                </c:pt>
                <c:pt idx="6">
                  <c:v>0.42138610289006084</c:v>
                </c:pt>
                <c:pt idx="7">
                  <c:v>0.4739170892373622</c:v>
                </c:pt>
                <c:pt idx="8">
                  <c:v>0.48730913251000424</c:v>
                </c:pt>
                <c:pt idx="9">
                  <c:v>0.52029646945840069</c:v>
                </c:pt>
                <c:pt idx="10">
                  <c:v>0.63035865808112024</c:v>
                </c:pt>
              </c:numCache>
            </c:numRef>
          </c:yVal>
          <c:smooth val="0"/>
          <c:extLst>
            <c:ext xmlns:c16="http://schemas.microsoft.com/office/drawing/2014/chart" uri="{C3380CC4-5D6E-409C-BE32-E72D297353CC}">
              <c16:uniqueId val="{00000000-D3A3-434E-A18D-972DF9AC2DA5}"/>
            </c:ext>
          </c:extLst>
        </c:ser>
        <c:ser>
          <c:idx val="1"/>
          <c:order val="1"/>
          <c:tx>
            <c:v>Waste rock : fine waste, 3 : 2 (w/w)</c:v>
          </c:tx>
          <c:spPr>
            <a:ln w="25400" cap="rnd">
              <a:noFill/>
              <a:round/>
            </a:ln>
            <a:effectLst/>
          </c:spPr>
          <c:marker>
            <c:symbol val="square"/>
            <c:size val="6"/>
            <c:spPr>
              <a:solidFill>
                <a:schemeClr val="lt1"/>
              </a:solidFill>
              <a:ln w="15875">
                <a:solidFill>
                  <a:schemeClr val="accent2"/>
                </a:solidFill>
                <a:round/>
              </a:ln>
              <a:effectLst/>
            </c:spPr>
          </c:marker>
          <c:xVal>
            <c:numRef>
              <c:f>'Packing density tests'!$AA$40:$AA$50</c:f>
              <c:numCache>
                <c:formatCode>0.000</c:formatCode>
                <c:ptCount val="11"/>
                <c:pt idx="0">
                  <c:v>0</c:v>
                </c:pt>
                <c:pt idx="1">
                  <c:v>2.6684644345938893E-2</c:v>
                </c:pt>
                <c:pt idx="2">
                  <c:v>5.3086365525280822E-2</c:v>
                </c:pt>
                <c:pt idx="3">
                  <c:v>7.5689997903267053E-2</c:v>
                </c:pt>
                <c:pt idx="4">
                  <c:v>8.9410801861511915E-2</c:v>
                </c:pt>
                <c:pt idx="5">
                  <c:v>0.11286282087101603</c:v>
                </c:pt>
                <c:pt idx="6">
                  <c:v>0.13621696161964295</c:v>
                </c:pt>
                <c:pt idx="7">
                  <c:v>0.1628581192470141</c:v>
                </c:pt>
                <c:pt idx="8">
                  <c:v>0.1875496039910047</c:v>
                </c:pt>
                <c:pt idx="9">
                  <c:v>0.21375318519482278</c:v>
                </c:pt>
                <c:pt idx="10">
                  <c:v>0.24665061215862205</c:v>
                </c:pt>
              </c:numCache>
            </c:numRef>
          </c:xVal>
          <c:yVal>
            <c:numRef>
              <c:f>'Packing density tests'!$Y$40:$Y$50</c:f>
              <c:numCache>
                <c:formatCode>0.000</c:formatCode>
                <c:ptCount val="11"/>
                <c:pt idx="0">
                  <c:v>0.27386356491669284</c:v>
                </c:pt>
                <c:pt idx="1">
                  <c:v>0.33494380781283628</c:v>
                </c:pt>
                <c:pt idx="2">
                  <c:v>0.32786695633902424</c:v>
                </c:pt>
                <c:pt idx="3">
                  <c:v>0.26217276503581349</c:v>
                </c:pt>
                <c:pt idx="4">
                  <c:v>0.11823109528130891</c:v>
                </c:pt>
                <c:pt idx="5">
                  <c:v>0.12923014375480571</c:v>
                </c:pt>
                <c:pt idx="6">
                  <c:v>0.13574675554866758</c:v>
                </c:pt>
                <c:pt idx="7">
                  <c:v>0.16389269221866062</c:v>
                </c:pt>
                <c:pt idx="8">
                  <c:v>0.17281019029041608</c:v>
                </c:pt>
                <c:pt idx="9">
                  <c:v>0.18815103829774096</c:v>
                </c:pt>
                <c:pt idx="10">
                  <c:v>0.23391079575886653</c:v>
                </c:pt>
              </c:numCache>
            </c:numRef>
          </c:yVal>
          <c:smooth val="0"/>
          <c:extLst>
            <c:ext xmlns:c16="http://schemas.microsoft.com/office/drawing/2014/chart" uri="{C3380CC4-5D6E-409C-BE32-E72D297353CC}">
              <c16:uniqueId val="{00000001-D3A3-434E-A18D-972DF9AC2DA5}"/>
            </c:ext>
          </c:extLst>
        </c:ser>
        <c:dLbls>
          <c:showLegendKey val="0"/>
          <c:showVal val="0"/>
          <c:showCatName val="0"/>
          <c:showSerName val="0"/>
          <c:showPercent val="0"/>
          <c:showBubbleSize val="0"/>
        </c:dLbls>
        <c:axId val="481493392"/>
        <c:axId val="481499952"/>
      </c:scatterChart>
      <c:valAx>
        <c:axId val="481493392"/>
        <c:scaling>
          <c:orientation val="minMax"/>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ZA"/>
                  <a:t>Water/Solid ratio [m³ </a:t>
                </a:r>
                <a:r>
                  <a:rPr lang="en-ZA" sz="1000"/>
                  <a:t>(water) </a:t>
                </a:r>
                <a:r>
                  <a:rPr lang="en-ZA"/>
                  <a:t>/m³ </a:t>
                </a:r>
                <a:r>
                  <a:rPr lang="en-ZA" sz="1000"/>
                  <a:t>(solids) </a:t>
                </a:r>
                <a:r>
                  <a:rPr lang="en-ZA"/>
                  <a:t>]</a:t>
                </a:r>
              </a:p>
            </c:rich>
          </c:tx>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481499952"/>
        <c:crosses val="autoZero"/>
        <c:crossBetween val="midCat"/>
      </c:valAx>
      <c:valAx>
        <c:axId val="481499952"/>
        <c:scaling>
          <c:orientation val="minMax"/>
        </c:scaling>
        <c:delete val="0"/>
        <c:axPos val="l"/>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ZA"/>
                  <a:t>Voids ratio [m³ </a:t>
                </a:r>
                <a:r>
                  <a:rPr lang="en-ZA" sz="1000"/>
                  <a:t>(voids) </a:t>
                </a:r>
                <a:r>
                  <a:rPr lang="en-ZA"/>
                  <a:t>/m³ </a:t>
                </a:r>
                <a:r>
                  <a:rPr lang="en-ZA" sz="1000"/>
                  <a:t>(solids)</a:t>
                </a:r>
                <a:r>
                  <a:rPr lang="en-ZA"/>
                  <a:t>]</a:t>
                </a:r>
              </a:p>
            </c:rich>
          </c:tx>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481493392"/>
        <c:crosses val="autoZero"/>
        <c:crossBetween val="midCat"/>
        <c:minorUnit val="0.1"/>
      </c:valAx>
      <c:spPr>
        <a:noFill/>
        <a:ln>
          <a:solidFill>
            <a:sysClr val="windowText" lastClr="000000"/>
          </a:solidFill>
        </a:ln>
        <a:effectLst/>
      </c:spPr>
    </c:plotArea>
    <c:legend>
      <c:legendPos val="b"/>
      <c:layout>
        <c:manualLayout>
          <c:xMode val="edge"/>
          <c:yMode val="edge"/>
          <c:x val="0.2289420295677326"/>
          <c:y val="5.9091227663468769E-2"/>
          <c:w val="0.69226980556001927"/>
          <c:h val="0.1155907951475082"/>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948148733083934"/>
          <c:y val="3.8972446802789378E-2"/>
          <c:w val="0.79531769141932107"/>
          <c:h val="0.79367942642820288"/>
        </c:manualLayout>
      </c:layout>
      <c:scatterChart>
        <c:scatterStyle val="lineMarker"/>
        <c:varyColors val="0"/>
        <c:ser>
          <c:idx val="0"/>
          <c:order val="0"/>
          <c:tx>
            <c:v>Waste rock : fine waste, 2 : 3 (w,w)</c:v>
          </c:tx>
          <c:spPr>
            <a:ln w="25400" cap="rnd">
              <a:solidFill>
                <a:schemeClr val="accent1"/>
              </a:solidFill>
              <a:prstDash val="sysDot"/>
              <a:round/>
            </a:ln>
            <a:effectLst/>
          </c:spPr>
          <c:marker>
            <c:symbol val="diamond"/>
            <c:size val="6"/>
            <c:spPr>
              <a:solidFill>
                <a:schemeClr val="lt1"/>
              </a:solidFill>
              <a:ln w="15875">
                <a:solidFill>
                  <a:schemeClr val="accent1"/>
                </a:solidFill>
                <a:round/>
              </a:ln>
              <a:effectLst/>
            </c:spPr>
          </c:marker>
          <c:xVal>
            <c:numRef>
              <c:f>'Packing density tests'!$AF$26:$AF$35</c:f>
              <c:numCache>
                <c:formatCode>0.000</c:formatCode>
                <c:ptCount val="10"/>
                <c:pt idx="0">
                  <c:v>0.50039043110085524</c:v>
                </c:pt>
                <c:pt idx="1">
                  <c:v>0.51233496034233916</c:v>
                </c:pt>
                <c:pt idx="2">
                  <c:v>0.55856302389525914</c:v>
                </c:pt>
                <c:pt idx="3">
                  <c:v>0.59412307278211962</c:v>
                </c:pt>
                <c:pt idx="4">
                  <c:v>0.67919365127299491</c:v>
                </c:pt>
                <c:pt idx="5">
                  <c:v>0.70353860781861499</c:v>
                </c:pt>
                <c:pt idx="6">
                  <c:v>0.67846421437275173</c:v>
                </c:pt>
                <c:pt idx="7">
                  <c:v>0.67235518033321406</c:v>
                </c:pt>
                <c:pt idx="8">
                  <c:v>0.65776644232834791</c:v>
                </c:pt>
                <c:pt idx="9">
                  <c:v>0.61336197102603662</c:v>
                </c:pt>
              </c:numCache>
            </c:numRef>
          </c:xVal>
          <c:yVal>
            <c:numRef>
              <c:f>'Packing density tests'!$AE$26:$AE$35</c:f>
              <c:numCache>
                <c:formatCode>0.000</c:formatCode>
                <c:ptCount val="10"/>
                <c:pt idx="0">
                  <c:v>1.1000000000000038E-2</c:v>
                </c:pt>
                <c:pt idx="1">
                  <c:v>9.0000000000000357E-3</c:v>
                </c:pt>
                <c:pt idx="2">
                  <c:v>7.9999999999999793E-3</c:v>
                </c:pt>
                <c:pt idx="3">
                  <c:v>4.6666666666666523E-3</c:v>
                </c:pt>
                <c:pt idx="4">
                  <c:v>4.3333333333333557E-3</c:v>
                </c:pt>
                <c:pt idx="5">
                  <c:v>2.3333333333333539E-3</c:v>
                </c:pt>
                <c:pt idx="6">
                  <c:v>1.6666666666666774E-3</c:v>
                </c:pt>
                <c:pt idx="7">
                  <c:v>0</c:v>
                </c:pt>
                <c:pt idx="8">
                  <c:v>3.3333333333335213E-4</c:v>
                </c:pt>
                <c:pt idx="9">
                  <c:v>6.6666666666664876E-4</c:v>
                </c:pt>
              </c:numCache>
            </c:numRef>
          </c:yVal>
          <c:smooth val="0"/>
          <c:extLst>
            <c:ext xmlns:c16="http://schemas.microsoft.com/office/drawing/2014/chart" uri="{C3380CC4-5D6E-409C-BE32-E72D297353CC}">
              <c16:uniqueId val="{00000000-8E3E-4B36-A123-3F420240E4F5}"/>
            </c:ext>
          </c:extLst>
        </c:ser>
        <c:ser>
          <c:idx val="1"/>
          <c:order val="1"/>
          <c:tx>
            <c:v>Waste rock : fine waste, 3 : 2 ( w,w)</c:v>
          </c:tx>
          <c:spPr>
            <a:ln w="25400" cap="rnd">
              <a:solidFill>
                <a:schemeClr val="tx1">
                  <a:lumMod val="50000"/>
                  <a:lumOff val="50000"/>
                </a:schemeClr>
              </a:solidFill>
              <a:prstDash val="sysDot"/>
              <a:round/>
            </a:ln>
            <a:effectLst/>
          </c:spPr>
          <c:marker>
            <c:symbol val="square"/>
            <c:size val="6"/>
            <c:spPr>
              <a:solidFill>
                <a:schemeClr val="lt1"/>
              </a:solidFill>
              <a:ln w="15875">
                <a:solidFill>
                  <a:schemeClr val="accent2"/>
                </a:solidFill>
                <a:round/>
              </a:ln>
              <a:effectLst/>
            </c:spPr>
          </c:marker>
          <c:xVal>
            <c:numRef>
              <c:f>'Packing density tests'!$AF$41:$AF$50</c:f>
              <c:numCache>
                <c:formatCode>0.000</c:formatCode>
                <c:ptCount val="10"/>
                <c:pt idx="0">
                  <c:v>0.74909520097208726</c:v>
                </c:pt>
                <c:pt idx="1">
                  <c:v>0.75308749511851325</c:v>
                </c:pt>
                <c:pt idx="2">
                  <c:v>0.79228456491978383</c:v>
                </c:pt>
                <c:pt idx="3">
                  <c:v>0.89426953356938621</c:v>
                </c:pt>
                <c:pt idx="4">
                  <c:v>0.88555907361354858</c:v>
                </c:pt>
                <c:pt idx="5">
                  <c:v>0.88047797197264299</c:v>
                </c:pt>
                <c:pt idx="6">
                  <c:v>0.8591857365250386</c:v>
                </c:pt>
                <c:pt idx="7">
                  <c:v>0.85265289155816071</c:v>
                </c:pt>
                <c:pt idx="8">
                  <c:v>0.84164383800286524</c:v>
                </c:pt>
                <c:pt idx="9">
                  <c:v>0.81043135649444642</c:v>
                </c:pt>
              </c:numCache>
            </c:numRef>
          </c:xVal>
          <c:yVal>
            <c:numRef>
              <c:f>'Packing density tests'!$AE$41:$AE$50</c:f>
              <c:numCache>
                <c:formatCode>0.000</c:formatCode>
                <c:ptCount val="10"/>
                <c:pt idx="0">
                  <c:v>7.9999999999999793E-3</c:v>
                </c:pt>
                <c:pt idx="1">
                  <c:v>7.000000000000034E-3</c:v>
                </c:pt>
                <c:pt idx="2">
                  <c:v>5.9999999999999776E-3</c:v>
                </c:pt>
                <c:pt idx="3">
                  <c:v>5.0000000000000322E-3</c:v>
                </c:pt>
                <c:pt idx="4">
                  <c:v>3.9999999999999758E-3</c:v>
                </c:pt>
                <c:pt idx="5">
                  <c:v>1.999999999999974E-3</c:v>
                </c:pt>
                <c:pt idx="6">
                  <c:v>3.3333333333335213E-4</c:v>
                </c:pt>
                <c:pt idx="7">
                  <c:v>3.3333333333335213E-4</c:v>
                </c:pt>
                <c:pt idx="8">
                  <c:v>1.0000000000000286E-3</c:v>
                </c:pt>
                <c:pt idx="9">
                  <c:v>0</c:v>
                </c:pt>
              </c:numCache>
            </c:numRef>
          </c:yVal>
          <c:smooth val="0"/>
          <c:extLst>
            <c:ext xmlns:c16="http://schemas.microsoft.com/office/drawing/2014/chart" uri="{C3380CC4-5D6E-409C-BE32-E72D297353CC}">
              <c16:uniqueId val="{00000001-8E3E-4B36-A123-3F420240E4F5}"/>
            </c:ext>
          </c:extLst>
        </c:ser>
        <c:dLbls>
          <c:showLegendKey val="0"/>
          <c:showVal val="0"/>
          <c:showCatName val="0"/>
          <c:showSerName val="0"/>
          <c:showPercent val="0"/>
          <c:showBubbleSize val="0"/>
        </c:dLbls>
        <c:axId val="417565688"/>
        <c:axId val="417557816"/>
      </c:scatterChart>
      <c:valAx>
        <c:axId val="417565688"/>
        <c:scaling>
          <c:orientation val="minMax"/>
          <c:min val="0.4"/>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ZA"/>
                  <a:t>Packing density [m³ </a:t>
                </a:r>
                <a:r>
                  <a:rPr lang="en-ZA" sz="1000"/>
                  <a:t>(solids) </a:t>
                </a:r>
                <a:r>
                  <a:rPr lang="en-ZA"/>
                  <a:t>/m³ </a:t>
                </a:r>
                <a:r>
                  <a:rPr lang="en-ZA" sz="1000"/>
                  <a:t>(mould) </a:t>
                </a:r>
                <a:r>
                  <a:rPr lang="en-ZA"/>
                  <a:t>]</a:t>
                </a:r>
              </a:p>
            </c:rich>
          </c:tx>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0"/>
        <c:majorTickMark val="out"/>
        <c:minorTickMark val="none"/>
        <c:tickLblPos val="nextTo"/>
        <c:spPr>
          <a:noFill/>
          <a:ln w="9525" cap="flat" cmpd="sng" algn="ctr">
            <a:solidFill>
              <a:schemeClr val="dk1">
                <a:lumMod val="15000"/>
                <a:lumOff val="85000"/>
                <a:alpha val="54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417557816"/>
        <c:crosses val="autoZero"/>
        <c:crossBetween val="midCat"/>
      </c:valAx>
      <c:valAx>
        <c:axId val="417557816"/>
        <c:scaling>
          <c:orientation val="minMax"/>
        </c:scaling>
        <c:delete val="0"/>
        <c:axPos val="l"/>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ZA"/>
                  <a:t>Slump height [∆m]</a:t>
                </a:r>
              </a:p>
            </c:rich>
          </c:tx>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0"/>
        <c:majorTickMark val="out"/>
        <c:minorTickMark val="none"/>
        <c:tickLblPos val="nextTo"/>
        <c:spPr>
          <a:noFill/>
          <a:ln w="9525" cap="flat" cmpd="sng" algn="ctr">
            <a:solidFill>
              <a:schemeClr val="dk1">
                <a:lumMod val="15000"/>
                <a:lumOff val="85000"/>
                <a:alpha val="54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417565688"/>
        <c:crosses val="autoZero"/>
        <c:crossBetween val="midCat"/>
      </c:valAx>
      <c:spPr>
        <a:noFill/>
        <a:ln>
          <a:solidFill>
            <a:sysClr val="windowText" lastClr="000000"/>
          </a:solidFill>
        </a:ln>
        <a:effectLst/>
      </c:spPr>
    </c:plotArea>
    <c:legend>
      <c:legendPos val="b"/>
      <c:layout>
        <c:manualLayout>
          <c:xMode val="edge"/>
          <c:yMode val="edge"/>
          <c:x val="0.37743240975629017"/>
          <c:y val="4.3972725661143276E-2"/>
          <c:w val="0.57666525185324102"/>
          <c:h val="0.15090594107722979"/>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464101129666948"/>
          <c:y val="3.912710911136108E-2"/>
          <c:w val="0.8308181503213542"/>
          <c:h val="0.75794000749906265"/>
        </c:manualLayout>
      </c:layout>
      <c:scatterChart>
        <c:scatterStyle val="lineMarker"/>
        <c:varyColors val="0"/>
        <c:ser>
          <c:idx val="0"/>
          <c:order val="0"/>
          <c:tx>
            <c:v>Waste rock : fine waste, 2 : 3 (w/w)</c:v>
          </c:tx>
          <c:spPr>
            <a:ln w="25400" cap="rnd">
              <a:noFill/>
              <a:round/>
            </a:ln>
            <a:effectLst/>
          </c:spPr>
          <c:marker>
            <c:symbol val="diamond"/>
            <c:size val="6"/>
            <c:spPr>
              <a:solidFill>
                <a:schemeClr val="lt1"/>
              </a:solidFill>
              <a:ln w="15875">
                <a:solidFill>
                  <a:schemeClr val="accent1"/>
                </a:solidFill>
                <a:round/>
              </a:ln>
              <a:effectLst/>
            </c:spPr>
          </c:marker>
          <c:xVal>
            <c:numRef>
              <c:f>'Packing density tests'!$AA$25:$AA$35</c:f>
              <c:numCache>
                <c:formatCode>0.000</c:formatCode>
                <c:ptCount val="11"/>
                <c:pt idx="0">
                  <c:v>0</c:v>
                </c:pt>
                <c:pt idx="1">
                  <c:v>3.9947484557635068E-2</c:v>
                </c:pt>
                <c:pt idx="2">
                  <c:v>7.8032305294305937E-2</c:v>
                </c:pt>
                <c:pt idx="3">
                  <c:v>0.10736123676674739</c:v>
                </c:pt>
                <c:pt idx="4">
                  <c:v>0.13458045940269603</c:v>
                </c:pt>
                <c:pt idx="5">
                  <c:v>0.1471549313051165</c:v>
                </c:pt>
                <c:pt idx="6">
                  <c:v>0.1704754121270062</c:v>
                </c:pt>
                <c:pt idx="7">
                  <c:v>0.20623839868060109</c:v>
                </c:pt>
                <c:pt idx="8">
                  <c:v>0.23784261180863608</c:v>
                </c:pt>
                <c:pt idx="9">
                  <c:v>0.27350749383913125</c:v>
                </c:pt>
                <c:pt idx="10">
                  <c:v>0.32589791939254803</c:v>
                </c:pt>
              </c:numCache>
            </c:numRef>
          </c:xVal>
          <c:yVal>
            <c:numRef>
              <c:f>'Packing density tests'!$AG$25:$AG$35</c:f>
              <c:numCache>
                <c:formatCode>0.000</c:formatCode>
                <c:ptCount val="11"/>
                <c:pt idx="0">
                  <c:v>0.47</c:v>
                </c:pt>
                <c:pt idx="1">
                  <c:v>0.28699999999999998</c:v>
                </c:pt>
                <c:pt idx="2">
                  <c:v>0.29733333333333328</c:v>
                </c:pt>
                <c:pt idx="3">
                  <c:v>0.32400000000000001</c:v>
                </c:pt>
                <c:pt idx="4">
                  <c:v>0.33</c:v>
                </c:pt>
                <c:pt idx="5">
                  <c:v>0.34</c:v>
                </c:pt>
                <c:pt idx="6">
                  <c:v>0.35099999999999998</c:v>
                </c:pt>
                <c:pt idx="7">
                  <c:v>0.38966666666666666</c:v>
                </c:pt>
                <c:pt idx="8">
                  <c:v>0.42199999999999999</c:v>
                </c:pt>
                <c:pt idx="9">
                  <c:v>0.47233333333333327</c:v>
                </c:pt>
                <c:pt idx="10">
                  <c:v>0.53166666666666673</c:v>
                </c:pt>
              </c:numCache>
            </c:numRef>
          </c:yVal>
          <c:smooth val="0"/>
          <c:extLst>
            <c:ext xmlns:c16="http://schemas.microsoft.com/office/drawing/2014/chart" uri="{C3380CC4-5D6E-409C-BE32-E72D297353CC}">
              <c16:uniqueId val="{00000000-2828-494A-8C6E-772DAF15DEB0}"/>
            </c:ext>
          </c:extLst>
        </c:ser>
        <c:ser>
          <c:idx val="1"/>
          <c:order val="1"/>
          <c:tx>
            <c:v>Waste rock fine waste, 3 : 2 (w/w) </c:v>
          </c:tx>
          <c:spPr>
            <a:ln w="25400" cap="rnd">
              <a:noFill/>
              <a:round/>
            </a:ln>
            <a:effectLst/>
          </c:spPr>
          <c:marker>
            <c:symbol val="square"/>
            <c:size val="6"/>
            <c:spPr>
              <a:solidFill>
                <a:schemeClr val="lt1"/>
              </a:solidFill>
              <a:ln w="15875">
                <a:solidFill>
                  <a:schemeClr val="accent2"/>
                </a:solidFill>
                <a:round/>
              </a:ln>
              <a:effectLst/>
            </c:spPr>
          </c:marker>
          <c:xVal>
            <c:numRef>
              <c:f>'Packing density tests'!$AA$40:$AA$50</c:f>
              <c:numCache>
                <c:formatCode>0.000</c:formatCode>
                <c:ptCount val="11"/>
                <c:pt idx="0">
                  <c:v>0</c:v>
                </c:pt>
                <c:pt idx="1">
                  <c:v>2.6684644345938893E-2</c:v>
                </c:pt>
                <c:pt idx="2">
                  <c:v>5.3086365525280822E-2</c:v>
                </c:pt>
                <c:pt idx="3">
                  <c:v>7.5689997903267053E-2</c:v>
                </c:pt>
                <c:pt idx="4">
                  <c:v>8.9410801861511915E-2</c:v>
                </c:pt>
                <c:pt idx="5">
                  <c:v>0.11286282087101603</c:v>
                </c:pt>
                <c:pt idx="6">
                  <c:v>0.13621696161964295</c:v>
                </c:pt>
                <c:pt idx="7">
                  <c:v>0.1628581192470141</c:v>
                </c:pt>
                <c:pt idx="8">
                  <c:v>0.1875496039910047</c:v>
                </c:pt>
                <c:pt idx="9">
                  <c:v>0.21375318519482278</c:v>
                </c:pt>
                <c:pt idx="10">
                  <c:v>0.24665061215862205</c:v>
                </c:pt>
              </c:numCache>
            </c:numRef>
          </c:xVal>
          <c:yVal>
            <c:numRef>
              <c:f>'Packing density tests'!$AG$40:$AG$50</c:f>
              <c:numCache>
                <c:formatCode>0.000</c:formatCode>
                <c:ptCount val="11"/>
                <c:pt idx="0">
                  <c:v>0.46600000000000003</c:v>
                </c:pt>
                <c:pt idx="1">
                  <c:v>0.28299999999999997</c:v>
                </c:pt>
                <c:pt idx="2">
                  <c:v>0.28899999999999998</c:v>
                </c:pt>
                <c:pt idx="3">
                  <c:v>0.317</c:v>
                </c:pt>
                <c:pt idx="4">
                  <c:v>0.33</c:v>
                </c:pt>
                <c:pt idx="5">
                  <c:v>0.33400000000000002</c:v>
                </c:pt>
                <c:pt idx="6">
                  <c:v>0.34699999999999998</c:v>
                </c:pt>
                <c:pt idx="7">
                  <c:v>0.38400000000000001</c:v>
                </c:pt>
                <c:pt idx="8">
                  <c:v>0.41599999999999998</c:v>
                </c:pt>
                <c:pt idx="9">
                  <c:v>0.46400000000000002</c:v>
                </c:pt>
                <c:pt idx="10">
                  <c:v>0.51600000000000001</c:v>
                </c:pt>
              </c:numCache>
            </c:numRef>
          </c:yVal>
          <c:smooth val="0"/>
          <c:extLst>
            <c:ext xmlns:c16="http://schemas.microsoft.com/office/drawing/2014/chart" uri="{C3380CC4-5D6E-409C-BE32-E72D297353CC}">
              <c16:uniqueId val="{00000001-2828-494A-8C6E-772DAF15DEB0}"/>
            </c:ext>
          </c:extLst>
        </c:ser>
        <c:dLbls>
          <c:showLegendKey val="0"/>
          <c:showVal val="0"/>
          <c:showCatName val="0"/>
          <c:showSerName val="0"/>
          <c:showPercent val="0"/>
          <c:showBubbleSize val="0"/>
        </c:dLbls>
        <c:axId val="484183240"/>
        <c:axId val="484178648"/>
      </c:scatterChart>
      <c:valAx>
        <c:axId val="484183240"/>
        <c:scaling>
          <c:orientation val="minMax"/>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Water/Solid ratio  [m³ </a:t>
                </a:r>
                <a:r>
                  <a:rPr lang="en-US" sz="1000"/>
                  <a:t>(water)</a:t>
                </a:r>
                <a:r>
                  <a:rPr lang="en-US"/>
                  <a:t> / m³ </a:t>
                </a:r>
                <a:r>
                  <a:rPr lang="en-US" sz="1050"/>
                  <a:t>(solids) </a:t>
                </a:r>
                <a:r>
                  <a:rPr lang="en-US"/>
                  <a:t>]</a:t>
                </a:r>
              </a:p>
            </c:rich>
          </c:tx>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dk1">
                <a:lumMod val="15000"/>
                <a:lumOff val="85000"/>
                <a:alpha val="54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484178648"/>
        <c:crosses val="autoZero"/>
        <c:crossBetween val="midCat"/>
      </c:valAx>
      <c:valAx>
        <c:axId val="484178648"/>
        <c:scaling>
          <c:orientation val="minMax"/>
          <c:max val="0.70000000000000007"/>
        </c:scaling>
        <c:delete val="0"/>
        <c:axPos val="l"/>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Spread [m]</a:t>
                </a:r>
              </a:p>
            </c:rich>
          </c:tx>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dk1">
                <a:lumMod val="15000"/>
                <a:lumOff val="85000"/>
                <a:alpha val="54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484183240"/>
        <c:crosses val="autoZero"/>
        <c:crossBetween val="midCat"/>
      </c:valAx>
      <c:spPr>
        <a:noFill/>
        <a:ln>
          <a:solidFill>
            <a:sysClr val="windowText" lastClr="000000"/>
          </a:solidFill>
        </a:ln>
        <a:effectLst/>
      </c:spPr>
    </c:plotArea>
    <c:legend>
      <c:legendPos val="b"/>
      <c:layout>
        <c:manualLayout>
          <c:xMode val="edge"/>
          <c:yMode val="edge"/>
          <c:x val="0.12889318058099816"/>
          <c:y val="4.1950696978237376E-2"/>
          <c:w val="0.81818464184694306"/>
          <c:h val="0.13208673915760533"/>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25726040920523"/>
          <c:y val="3.7923198061780738E-2"/>
          <c:w val="0.82411450153777976"/>
          <c:h val="0.82384954572986069"/>
        </c:manualLayout>
      </c:layout>
      <c:scatterChart>
        <c:scatterStyle val="lineMarker"/>
        <c:varyColors val="0"/>
        <c:ser>
          <c:idx val="0"/>
          <c:order val="0"/>
          <c:tx>
            <c:v>Waste rock : fine waste, 2 : 3 (w/w)</c:v>
          </c:tx>
          <c:spPr>
            <a:ln w="25400" cap="rnd">
              <a:solidFill>
                <a:schemeClr val="tx1">
                  <a:lumMod val="50000"/>
                  <a:lumOff val="50000"/>
                </a:schemeClr>
              </a:solidFill>
              <a:prstDash val="sysDot"/>
              <a:round/>
            </a:ln>
            <a:effectLst/>
          </c:spPr>
          <c:marker>
            <c:symbol val="diamond"/>
            <c:size val="6"/>
            <c:spPr>
              <a:solidFill>
                <a:schemeClr val="lt1"/>
              </a:solidFill>
              <a:ln w="15875">
                <a:solidFill>
                  <a:schemeClr val="accent1"/>
                </a:solidFill>
                <a:round/>
              </a:ln>
              <a:effectLst/>
            </c:spPr>
          </c:marker>
          <c:xVal>
            <c:numRef>
              <c:f>'Packing density tests'!$AB$26:$AB$35</c:f>
              <c:numCache>
                <c:formatCode>0.000</c:formatCode>
                <c:ptCount val="10"/>
                <c:pt idx="0">
                  <c:v>0.50039043110085513</c:v>
                </c:pt>
                <c:pt idx="1">
                  <c:v>0.51233496034233905</c:v>
                </c:pt>
                <c:pt idx="2">
                  <c:v>0.55856302389525903</c:v>
                </c:pt>
                <c:pt idx="3">
                  <c:v>0.59412307278211951</c:v>
                </c:pt>
                <c:pt idx="4">
                  <c:v>0.67919365127299502</c:v>
                </c:pt>
                <c:pt idx="5">
                  <c:v>0.70353860781861499</c:v>
                </c:pt>
                <c:pt idx="6">
                  <c:v>0.67846421437275173</c:v>
                </c:pt>
                <c:pt idx="7">
                  <c:v>0.67235518033321395</c:v>
                </c:pt>
                <c:pt idx="8">
                  <c:v>0.6577664423283478</c:v>
                </c:pt>
                <c:pt idx="9">
                  <c:v>0.61336197102603662</c:v>
                </c:pt>
              </c:numCache>
            </c:numRef>
          </c:xVal>
          <c:yVal>
            <c:numRef>
              <c:f>'Packing density tests'!$AG$26:$AG$35</c:f>
              <c:numCache>
                <c:formatCode>0.000</c:formatCode>
                <c:ptCount val="10"/>
                <c:pt idx="0">
                  <c:v>0.28699999999999998</c:v>
                </c:pt>
                <c:pt idx="1">
                  <c:v>0.29733333333333328</c:v>
                </c:pt>
                <c:pt idx="2">
                  <c:v>0.32400000000000001</c:v>
                </c:pt>
                <c:pt idx="3">
                  <c:v>0.33</c:v>
                </c:pt>
                <c:pt idx="4">
                  <c:v>0.34</c:v>
                </c:pt>
                <c:pt idx="5">
                  <c:v>0.35099999999999998</c:v>
                </c:pt>
                <c:pt idx="6">
                  <c:v>0.38966666666666666</c:v>
                </c:pt>
                <c:pt idx="7">
                  <c:v>0.42199999999999999</c:v>
                </c:pt>
                <c:pt idx="8">
                  <c:v>0.47233333333333327</c:v>
                </c:pt>
                <c:pt idx="9">
                  <c:v>0.53166666666666673</c:v>
                </c:pt>
              </c:numCache>
            </c:numRef>
          </c:yVal>
          <c:smooth val="0"/>
          <c:extLst>
            <c:ext xmlns:c16="http://schemas.microsoft.com/office/drawing/2014/chart" uri="{C3380CC4-5D6E-409C-BE32-E72D297353CC}">
              <c16:uniqueId val="{00000000-E06C-4D51-8458-659508720B64}"/>
            </c:ext>
          </c:extLst>
        </c:ser>
        <c:ser>
          <c:idx val="1"/>
          <c:order val="1"/>
          <c:tx>
            <c:v>Waste rock : fine waste, 3 : 2 (w/w)</c:v>
          </c:tx>
          <c:spPr>
            <a:ln w="25400" cap="rnd">
              <a:solidFill>
                <a:schemeClr val="tx1">
                  <a:lumMod val="50000"/>
                  <a:lumOff val="50000"/>
                </a:schemeClr>
              </a:solidFill>
              <a:prstDash val="sysDot"/>
              <a:round/>
            </a:ln>
            <a:effectLst/>
          </c:spPr>
          <c:marker>
            <c:symbol val="square"/>
            <c:size val="6"/>
            <c:spPr>
              <a:solidFill>
                <a:schemeClr val="lt1"/>
              </a:solidFill>
              <a:ln w="15875">
                <a:solidFill>
                  <a:schemeClr val="accent2"/>
                </a:solidFill>
                <a:round/>
              </a:ln>
              <a:effectLst/>
            </c:spPr>
          </c:marker>
          <c:xVal>
            <c:numRef>
              <c:f>'Packing density tests'!$AB$41:$AB$50</c:f>
              <c:numCache>
                <c:formatCode>0.000</c:formatCode>
                <c:ptCount val="10"/>
                <c:pt idx="0">
                  <c:v>0.74909520097208726</c:v>
                </c:pt>
                <c:pt idx="1">
                  <c:v>0.75308749511851325</c:v>
                </c:pt>
                <c:pt idx="2">
                  <c:v>0.79228456491978383</c:v>
                </c:pt>
                <c:pt idx="3">
                  <c:v>0.89426953356938621</c:v>
                </c:pt>
                <c:pt idx="4">
                  <c:v>0.88555907361354858</c:v>
                </c:pt>
                <c:pt idx="5">
                  <c:v>0.88047797197264299</c:v>
                </c:pt>
                <c:pt idx="6">
                  <c:v>0.8591857365250386</c:v>
                </c:pt>
                <c:pt idx="7">
                  <c:v>0.85265289155816071</c:v>
                </c:pt>
                <c:pt idx="8">
                  <c:v>0.84164383800286524</c:v>
                </c:pt>
                <c:pt idx="9">
                  <c:v>0.81043135649444642</c:v>
                </c:pt>
              </c:numCache>
            </c:numRef>
          </c:xVal>
          <c:yVal>
            <c:numRef>
              <c:f>'Packing density tests'!$AG$41:$AG$50</c:f>
              <c:numCache>
                <c:formatCode>0.000</c:formatCode>
                <c:ptCount val="10"/>
                <c:pt idx="0">
                  <c:v>0.28299999999999997</c:v>
                </c:pt>
                <c:pt idx="1">
                  <c:v>0.28899999999999998</c:v>
                </c:pt>
                <c:pt idx="2">
                  <c:v>0.317</c:v>
                </c:pt>
                <c:pt idx="3">
                  <c:v>0.33</c:v>
                </c:pt>
                <c:pt idx="4">
                  <c:v>0.33400000000000002</c:v>
                </c:pt>
                <c:pt idx="5">
                  <c:v>0.34699999999999998</c:v>
                </c:pt>
                <c:pt idx="6">
                  <c:v>0.38400000000000001</c:v>
                </c:pt>
                <c:pt idx="7">
                  <c:v>0.41599999999999998</c:v>
                </c:pt>
                <c:pt idx="8">
                  <c:v>0.46400000000000002</c:v>
                </c:pt>
                <c:pt idx="9">
                  <c:v>0.51600000000000001</c:v>
                </c:pt>
              </c:numCache>
            </c:numRef>
          </c:yVal>
          <c:smooth val="0"/>
          <c:extLst>
            <c:ext xmlns:c16="http://schemas.microsoft.com/office/drawing/2014/chart" uri="{C3380CC4-5D6E-409C-BE32-E72D297353CC}">
              <c16:uniqueId val="{00000001-E06C-4D51-8458-659508720B64}"/>
            </c:ext>
          </c:extLst>
        </c:ser>
        <c:dLbls>
          <c:showLegendKey val="0"/>
          <c:showVal val="0"/>
          <c:showCatName val="0"/>
          <c:showSerName val="0"/>
          <c:showPercent val="0"/>
          <c:showBubbleSize val="0"/>
        </c:dLbls>
        <c:axId val="481493720"/>
        <c:axId val="481502248"/>
      </c:scatterChart>
      <c:valAx>
        <c:axId val="481493720"/>
        <c:scaling>
          <c:orientation val="minMax"/>
          <c:min val="0.2"/>
        </c:scaling>
        <c:delete val="0"/>
        <c:axPos val="b"/>
        <c:title>
          <c:tx>
            <c:rich>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Spread [m]</a:t>
                </a:r>
              </a:p>
            </c:rich>
          </c:tx>
          <c:overlay val="0"/>
          <c:spPr>
            <a:noFill/>
            <a:ln>
              <a:noFill/>
            </a:ln>
            <a:effectLst/>
          </c:spPr>
          <c:txPr>
            <a:bodyPr rot="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dk1">
                <a:lumMod val="15000"/>
                <a:lumOff val="85000"/>
                <a:alpha val="54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481502248"/>
        <c:crosses val="autoZero"/>
        <c:crossBetween val="midCat"/>
      </c:valAx>
      <c:valAx>
        <c:axId val="481502248"/>
        <c:scaling>
          <c:orientation val="minMax"/>
          <c:min val="0.2"/>
        </c:scaling>
        <c:delete val="0"/>
        <c:axPos val="l"/>
        <c:title>
          <c:tx>
            <c:rich>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r>
                  <a:rPr lang="en-US"/>
                  <a:t>Solid concentration</a:t>
                </a:r>
              </a:p>
              <a:p>
                <a:pPr>
                  <a:defRPr/>
                </a:pPr>
                <a:r>
                  <a:rPr lang="en-US"/>
                  <a:t> [m³ </a:t>
                </a:r>
                <a:r>
                  <a:rPr lang="en-US" sz="1000"/>
                  <a:t>(solids) </a:t>
                </a:r>
                <a:r>
                  <a:rPr lang="en-US"/>
                  <a:t>/m³ </a:t>
                </a:r>
                <a:r>
                  <a:rPr lang="en-US" sz="1000"/>
                  <a:t>(mould) </a:t>
                </a:r>
                <a:r>
                  <a:rPr lang="en-US"/>
                  <a:t>]</a:t>
                </a:r>
              </a:p>
            </c:rich>
          </c:tx>
          <c:overlay val="0"/>
          <c:spPr>
            <a:noFill/>
            <a:ln>
              <a:noFill/>
            </a:ln>
            <a:effectLst/>
          </c:spPr>
          <c:txPr>
            <a:bodyPr rot="-5400000" spcFirstLastPara="1" vertOverflow="ellipsis" vert="horz" wrap="square" anchor="ctr" anchorCtr="1"/>
            <a:lstStyle/>
            <a:p>
              <a:pPr>
                <a:defRPr sz="1200" b="1" i="0" u="none" strike="noStrike" kern="1200" baseline="0">
                  <a:solidFill>
                    <a:sysClr val="windowText" lastClr="000000"/>
                  </a:solidFill>
                  <a:latin typeface="+mn-lt"/>
                  <a:ea typeface="+mn-ea"/>
                  <a:cs typeface="+mn-cs"/>
                </a:defRPr>
              </a:pPr>
              <a:endParaRPr lang="en-US"/>
            </a:p>
          </c:txPr>
        </c:title>
        <c:numFmt formatCode="General" sourceLinked="0"/>
        <c:majorTickMark val="none"/>
        <c:minorTickMark val="none"/>
        <c:tickLblPos val="nextTo"/>
        <c:spPr>
          <a:noFill/>
          <a:ln w="9525" cap="flat" cmpd="sng" algn="ctr">
            <a:solidFill>
              <a:schemeClr val="dk1">
                <a:lumMod val="15000"/>
                <a:lumOff val="85000"/>
                <a:alpha val="54000"/>
              </a:schemeClr>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crossAx val="481493720"/>
        <c:crosses val="autoZero"/>
        <c:crossBetween val="midCat"/>
        <c:majorUnit val="0.1"/>
      </c:valAx>
      <c:spPr>
        <a:noFill/>
        <a:ln>
          <a:solidFill>
            <a:sysClr val="windowText" lastClr="000000"/>
          </a:solid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0.2401852808825447"/>
          <c:y val="4.5224470018170808E-2"/>
          <c:w val="0.54038400802726749"/>
          <c:h val="0.12126929133858269"/>
        </c:manualLayout>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noFill/>
      <a:round/>
    </a:ln>
    <a:effectLst/>
  </c:spPr>
  <c:txPr>
    <a:bodyPr/>
    <a:lstStyle/>
    <a:p>
      <a:pPr>
        <a:defRPr sz="1200">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0">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tx1"/>
    </cs:fontRef>
    <cs:spPr>
      <a:ln w="9525" cap="rnd">
        <a:solidFill>
          <a:schemeClr val="phClr">
            <a:alpha val="50000"/>
          </a:scheme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15000"/>
            <a:lumOff val="8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2.xml><?xml version="1.0" encoding="utf-8"?>
<cs:chartStyle xmlns:cs="http://schemas.microsoft.com/office/drawing/2012/chartStyle" xmlns:a="http://schemas.openxmlformats.org/drawingml/2006/main" id="250">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tx1"/>
    </cs:fontRef>
    <cs:spPr>
      <a:ln w="9525" cap="rnd">
        <a:solidFill>
          <a:schemeClr val="phClr">
            <a:alpha val="50000"/>
          </a:scheme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15000"/>
            <a:lumOff val="8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3.xml><?xml version="1.0" encoding="utf-8"?>
<cs:chartStyle xmlns:cs="http://schemas.microsoft.com/office/drawing/2012/chartStyle" xmlns:a="http://schemas.openxmlformats.org/drawingml/2006/main" id="250">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tx1"/>
    </cs:fontRef>
    <cs:spPr>
      <a:ln w="9525" cap="rnd">
        <a:solidFill>
          <a:schemeClr val="phClr">
            <a:alpha val="50000"/>
          </a:scheme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15000"/>
            <a:lumOff val="8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4.xml><?xml version="1.0" encoding="utf-8"?>
<cs:chartStyle xmlns:cs="http://schemas.microsoft.com/office/drawing/2012/chartStyle" xmlns:a="http://schemas.openxmlformats.org/drawingml/2006/main" id="250">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tx1"/>
    </cs:fontRef>
    <cs:spPr>
      <a:ln w="9525" cap="rnd">
        <a:solidFill>
          <a:schemeClr val="phClr">
            <a:alpha val="50000"/>
          </a:scheme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15000"/>
            <a:lumOff val="8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xml><?xml version="1.0" encoding="utf-8"?>
<cs:chartStyle xmlns:cs="http://schemas.microsoft.com/office/drawing/2012/chartStyle" xmlns:a="http://schemas.openxmlformats.org/drawingml/2006/main" id="250">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tx1"/>
    </cs:fontRef>
    <cs:spPr>
      <a:ln w="9525" cap="rnd">
        <a:solidFill>
          <a:schemeClr val="phClr">
            <a:alpha val="50000"/>
          </a:scheme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15000"/>
            <a:lumOff val="8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6.xml><?xml version="1.0" encoding="utf-8"?>
<cs:chartStyle xmlns:cs="http://schemas.microsoft.com/office/drawing/2012/chartStyle" xmlns:a="http://schemas.openxmlformats.org/drawingml/2006/main" id="250">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tx1"/>
    </cs:fontRef>
    <cs:spPr>
      <a:ln w="9525" cap="rnd">
        <a:solidFill>
          <a:schemeClr val="phClr">
            <a:alpha val="50000"/>
          </a:scheme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15000"/>
            <a:lumOff val="8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spPr>
      <a:ln w="9525" cap="flat" cmpd="sng" algn="ctr">
        <a:solidFill>
          <a:schemeClr val="dk1">
            <a:lumMod val="15000"/>
            <a:lumOff val="85000"/>
            <a:alpha val="54000"/>
          </a:schemeClr>
        </a:solidFill>
        <a:round/>
      </a:ln>
    </cs:spPr>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19049</xdr:colOff>
      <xdr:row>2</xdr:row>
      <xdr:rowOff>0</xdr:rowOff>
    </xdr:from>
    <xdr:to>
      <xdr:col>21</xdr:col>
      <xdr:colOff>142875</xdr:colOff>
      <xdr:row>41</xdr:row>
      <xdr:rowOff>85726</xdr:rowOff>
    </xdr:to>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61E7BD26-5671-4DC6-B70F-E3D02BF6E7E4}"/>
                </a:ext>
              </a:extLst>
            </xdr:cNvPr>
            <xdr:cNvSpPr txBox="1"/>
          </xdr:nvSpPr>
          <xdr:spPr>
            <a:xfrm>
              <a:off x="19049" y="428625"/>
              <a:ext cx="12925426" cy="7515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mn-lt"/>
                  <a:ea typeface="+mn-ea"/>
                  <a:cs typeface="+mn-cs"/>
                </a:rPr>
                <a:t>Packing density</a:t>
              </a:r>
            </a:p>
            <a:p>
              <a:endParaRPr lang="en-ZA" sz="1100">
                <a:solidFill>
                  <a:schemeClr val="dk1"/>
                </a:solidFill>
                <a:effectLst/>
                <a:latin typeface="+mn-lt"/>
                <a:ea typeface="+mn-ea"/>
                <a:cs typeface="+mn-cs"/>
              </a:endParaRPr>
            </a:p>
            <a:p>
              <a:r>
                <a:rPr lang="en-AU" sz="1100">
                  <a:solidFill>
                    <a:schemeClr val="dk1"/>
                  </a:solidFill>
                  <a:effectLst/>
                  <a:latin typeface="+mn-lt"/>
                  <a:ea typeface="+mn-ea"/>
                  <a:cs typeface="+mn-cs"/>
                </a:rPr>
                <a:t>Packing density </a:t>
              </a:r>
              <a14:m>
                <m:oMath xmlns:m="http://schemas.openxmlformats.org/officeDocument/2006/math">
                  <m:r>
                    <a:rPr lang="en-AU" sz="1100">
                      <a:solidFill>
                        <a:schemeClr val="dk1"/>
                      </a:solidFill>
                      <a:effectLst/>
                      <a:latin typeface="Cambria Math" panose="02040503050406030204" pitchFamily="18" charset="0"/>
                      <a:ea typeface="+mn-ea"/>
                      <a:cs typeface="+mn-cs"/>
                    </a:rPr>
                    <m:t>ø</m:t>
                  </m:r>
                </m:oMath>
              </a14:m>
              <a:r>
                <a:rPr lang="en-AU" sz="1100">
                  <a:solidFill>
                    <a:schemeClr val="dk1"/>
                  </a:solidFill>
                  <a:effectLst/>
                  <a:latin typeface="+mn-lt"/>
                  <a:ea typeface="+mn-ea"/>
                  <a:cs typeface="+mn-cs"/>
                </a:rPr>
                <a:t>,  is an important tool for evaluating aggregates of different particle size distributions. As a dry packing, the packing density is defined as the ratio of solid volume </a:t>
              </a:r>
              <a:r>
                <a:rPr lang="en-AU" sz="1100" i="1">
                  <a:solidFill>
                    <a:schemeClr val="dk1"/>
                  </a:solidFill>
                  <a:effectLst/>
                  <a:latin typeface="+mn-lt"/>
                  <a:ea typeface="+mn-ea"/>
                  <a:cs typeface="+mn-cs"/>
                </a:rPr>
                <a:t>V</a:t>
              </a:r>
              <a:r>
                <a:rPr lang="en-AU" sz="1100" baseline="-25000">
                  <a:solidFill>
                    <a:schemeClr val="dk1"/>
                  </a:solidFill>
                  <a:effectLst/>
                  <a:latin typeface="+mn-lt"/>
                  <a:ea typeface="+mn-ea"/>
                  <a:cs typeface="+mn-cs"/>
                </a:rPr>
                <a:t>s</a:t>
              </a:r>
              <a:r>
                <a:rPr lang="en-AU" sz="1100">
                  <a:solidFill>
                    <a:schemeClr val="dk1"/>
                  </a:solidFill>
                  <a:effectLst/>
                  <a:latin typeface="+mn-lt"/>
                  <a:ea typeface="+mn-ea"/>
                  <a:cs typeface="+mn-cs"/>
                </a:rPr>
                <a:t> to the bulk volume </a:t>
              </a:r>
              <a:r>
                <a:rPr lang="en-AU" sz="1100" i="1">
                  <a:solidFill>
                    <a:schemeClr val="dk1"/>
                  </a:solidFill>
                  <a:effectLst/>
                  <a:latin typeface="+mn-lt"/>
                  <a:ea typeface="+mn-ea"/>
                  <a:cs typeface="+mn-cs"/>
                </a:rPr>
                <a:t>V</a:t>
              </a:r>
              <a:r>
                <a:rPr lang="en-AU" sz="1100">
                  <a:solidFill>
                    <a:schemeClr val="dk1"/>
                  </a:solidFill>
                  <a:effectLst/>
                  <a:latin typeface="+mn-lt"/>
                  <a:ea typeface="+mn-ea"/>
                  <a:cs typeface="+mn-cs"/>
                </a:rPr>
                <a:t> </a:t>
              </a:r>
              <a:r>
                <a:rPr lang="en-GB" sz="1100">
                  <a:solidFill>
                    <a:schemeClr val="dk1"/>
                  </a:solidFill>
                  <a:effectLst/>
                  <a:latin typeface="+mn-lt"/>
                  <a:ea typeface="+mn-ea"/>
                  <a:cs typeface="+mn-cs"/>
                </a:rPr>
                <a:t>(Wong and Kwan, 2008).</a:t>
              </a:r>
              <a:r>
                <a:rPr lang="en-AU" sz="1100">
                  <a:solidFill>
                    <a:schemeClr val="dk1"/>
                  </a:solidFill>
                  <a:effectLst/>
                  <a:latin typeface="+mn-lt"/>
                  <a:ea typeface="+mn-ea"/>
                  <a:cs typeface="+mn-cs"/>
                </a:rPr>
                <a:t> In the co-disposal of coal waste rock and fine coal waste, an optimal packing density is preferred due to its associated decrease in bed void content or voidage, </a:t>
              </a:r>
              <a:r>
                <a:rPr lang="en-GB" sz="1100" i="1">
                  <a:solidFill>
                    <a:schemeClr val="dk1"/>
                  </a:solidFill>
                  <a:effectLst/>
                  <a:latin typeface="+mn-lt"/>
                  <a:ea typeface="+mn-ea"/>
                  <a:cs typeface="+mn-cs"/>
                </a:rPr>
                <a:t>ɛ</a:t>
              </a:r>
              <a:r>
                <a:rPr lang="en-AU" sz="1100">
                  <a:solidFill>
                    <a:schemeClr val="dk1"/>
                  </a:solidFill>
                  <a:effectLst/>
                  <a:latin typeface="+mn-lt"/>
                  <a:ea typeface="+mn-ea"/>
                  <a:cs typeface="+mn-cs"/>
                </a:rPr>
                <a:t>. </a:t>
              </a:r>
              <a:r>
                <a:rPr lang="en-GB" sz="1100">
                  <a:solidFill>
                    <a:schemeClr val="dk1"/>
                  </a:solidFill>
                  <a:effectLst/>
                  <a:latin typeface="+mn-lt"/>
                  <a:ea typeface="+mn-ea"/>
                  <a:cs typeface="+mn-cs"/>
                </a:rPr>
                <a:t>In this study the voidage, </a:t>
              </a:r>
              <a:r>
                <a:rPr lang="en-GB" sz="1100" i="1">
                  <a:solidFill>
                    <a:schemeClr val="dk1"/>
                  </a:solidFill>
                  <a:effectLst/>
                  <a:latin typeface="+mn-lt"/>
                  <a:ea typeface="+mn-ea"/>
                  <a:cs typeface="+mn-cs"/>
                </a:rPr>
                <a:t>ɛ</a:t>
              </a:r>
              <a:r>
                <a:rPr lang="en-GB" sz="1100">
                  <a:solidFill>
                    <a:schemeClr val="dk1"/>
                  </a:solidFill>
                  <a:effectLst/>
                  <a:latin typeface="+mn-lt"/>
                  <a:ea typeface="+mn-ea"/>
                  <a:cs typeface="+mn-cs"/>
                </a:rPr>
                <a:t>, is defined as the ratio of the volume of voids (</a:t>
              </a:r>
              <a:r>
                <a:rPr lang="en-GB" sz="1100" i="1">
                  <a:solidFill>
                    <a:schemeClr val="dk1"/>
                  </a:solidFill>
                  <a:effectLst/>
                  <a:latin typeface="+mn-lt"/>
                  <a:ea typeface="+mn-ea"/>
                  <a:cs typeface="+mn-cs"/>
                </a:rPr>
                <a:t>V</a:t>
              </a:r>
              <a:r>
                <a:rPr lang="en-GB" sz="1100">
                  <a:solidFill>
                    <a:schemeClr val="dk1"/>
                  </a:solidFill>
                  <a:effectLst/>
                  <a:latin typeface="+mn-lt"/>
                  <a:ea typeface="+mn-ea"/>
                  <a:cs typeface="+mn-cs"/>
                </a:rPr>
                <a:t> - </a:t>
              </a:r>
              <a:r>
                <a:rPr lang="en-GB" sz="1100" i="1">
                  <a:solidFill>
                    <a:schemeClr val="dk1"/>
                  </a:solidFill>
                  <a:effectLst/>
                  <a:latin typeface="+mn-lt"/>
                  <a:ea typeface="+mn-ea"/>
                  <a:cs typeface="+mn-cs"/>
                </a:rPr>
                <a:t>V</a:t>
              </a:r>
              <a:r>
                <a:rPr lang="en-GB" sz="1100" baseline="-25000">
                  <a:solidFill>
                    <a:schemeClr val="dk1"/>
                  </a:solidFill>
                  <a:effectLst/>
                  <a:latin typeface="+mn-lt"/>
                  <a:ea typeface="+mn-ea"/>
                  <a:cs typeface="+mn-cs"/>
                </a:rPr>
                <a:t>s</a:t>
              </a:r>
              <a:r>
                <a:rPr lang="en-GB" sz="1100">
                  <a:solidFill>
                    <a:schemeClr val="dk1"/>
                  </a:solidFill>
                  <a:effectLst/>
                  <a:latin typeface="+mn-lt"/>
                  <a:ea typeface="+mn-ea"/>
                  <a:cs typeface="+mn-cs"/>
                </a:rPr>
                <a:t>) to the </a:t>
              </a:r>
              <a:r>
                <a:rPr lang="en-GB" sz="1100" i="1">
                  <a:solidFill>
                    <a:schemeClr val="dk1"/>
                  </a:solidFill>
                  <a:effectLst/>
                  <a:latin typeface="+mn-lt"/>
                  <a:ea typeface="+mn-ea"/>
                  <a:cs typeface="+mn-cs"/>
                </a:rPr>
                <a:t> </a:t>
              </a:r>
              <a:r>
                <a:rPr lang="en-GB" sz="1100">
                  <a:solidFill>
                    <a:schemeClr val="dk1"/>
                  </a:solidFill>
                  <a:effectLst/>
                  <a:latin typeface="+mn-lt"/>
                  <a:ea typeface="+mn-ea"/>
                  <a:cs typeface="+mn-cs"/>
                </a:rPr>
                <a:t>bulk volume </a:t>
              </a:r>
              <a:r>
                <a:rPr lang="en-GB" sz="1100" i="1">
                  <a:solidFill>
                    <a:schemeClr val="dk1"/>
                  </a:solidFill>
                  <a:effectLst/>
                  <a:latin typeface="+mn-lt"/>
                  <a:ea typeface="+mn-ea"/>
                  <a:cs typeface="+mn-cs"/>
                </a:rPr>
                <a:t>V</a:t>
              </a:r>
              <a:r>
                <a:rPr lang="en-GB" sz="1100">
                  <a:solidFill>
                    <a:schemeClr val="dk1"/>
                  </a:solidFill>
                  <a:effectLst/>
                  <a:latin typeface="+mn-lt"/>
                  <a:ea typeface="+mn-ea"/>
                  <a:cs typeface="+mn-cs"/>
                </a:rPr>
                <a:t> of the granular material and it is related to the void ratio </a:t>
              </a:r>
              <a:r>
                <a:rPr lang="en-GB" sz="1100" i="1">
                  <a:solidFill>
                    <a:schemeClr val="dk1"/>
                  </a:solidFill>
                  <a:effectLst/>
                  <a:latin typeface="+mn-lt"/>
                  <a:ea typeface="+mn-ea"/>
                  <a:cs typeface="+mn-cs"/>
                </a:rPr>
                <a:t>u</a:t>
              </a:r>
              <a:r>
                <a:rPr lang="en-GB" sz="1100">
                  <a:solidFill>
                    <a:schemeClr val="dk1"/>
                  </a:solidFill>
                  <a:effectLst/>
                  <a:latin typeface="+mn-lt"/>
                  <a:ea typeface="+mn-ea"/>
                  <a:cs typeface="+mn-cs"/>
                </a:rPr>
                <a:t>, </a:t>
              </a:r>
              <a:r>
                <a:rPr lang="en-AU" sz="1100">
                  <a:solidFill>
                    <a:schemeClr val="dk1"/>
                  </a:solidFill>
                  <a:effectLst/>
                  <a:latin typeface="+mn-lt"/>
                  <a:ea typeface="+mn-ea"/>
                  <a:cs typeface="+mn-cs"/>
                </a:rPr>
                <a:t>the ratio of the volume of voids to the solid volume </a:t>
              </a:r>
              <a:r>
                <a:rPr lang="en-GB" sz="1100" i="1">
                  <a:solidFill>
                    <a:schemeClr val="dk1"/>
                  </a:solidFill>
                  <a:effectLst/>
                  <a:latin typeface="+mn-lt"/>
                  <a:ea typeface="+mn-ea"/>
                  <a:cs typeface="+mn-cs"/>
                </a:rPr>
                <a:t>V</a:t>
              </a:r>
              <a:r>
                <a:rPr lang="en-GB" sz="1100" baseline="-25000">
                  <a:solidFill>
                    <a:schemeClr val="dk1"/>
                  </a:solidFill>
                  <a:effectLst/>
                  <a:latin typeface="+mn-lt"/>
                  <a:ea typeface="+mn-ea"/>
                  <a:cs typeface="+mn-cs"/>
                </a:rPr>
                <a:t>s</a:t>
              </a:r>
              <a:r>
                <a:rPr lang="en-GB" sz="1100">
                  <a:solidFill>
                    <a:schemeClr val="dk1"/>
                  </a:solidFill>
                  <a:effectLst/>
                  <a:latin typeface="+mn-lt"/>
                  <a:ea typeface="+mn-ea"/>
                  <a:cs typeface="+mn-cs"/>
                </a:rPr>
                <a:t> </a:t>
              </a:r>
              <a:r>
                <a:rPr lang="en-AU" sz="1100">
                  <a:solidFill>
                    <a:schemeClr val="dk1"/>
                  </a:solidFill>
                  <a:effectLst/>
                  <a:latin typeface="+mn-lt"/>
                  <a:ea typeface="+mn-ea"/>
                  <a:cs typeface="+mn-cs"/>
                </a:rPr>
                <a:t>of the granular material (Equation 1 </a:t>
              </a:r>
              <a:r>
                <a:rPr lang="en-GB" sz="1100">
                  <a:solidFill>
                    <a:schemeClr val="dk1"/>
                  </a:solidFill>
                  <a:effectLst/>
                  <a:latin typeface="+mn-lt"/>
                  <a:ea typeface="+mn-ea"/>
                  <a:cs typeface="+mn-cs"/>
                </a:rPr>
                <a:t>and </a:t>
              </a:r>
              <a:r>
                <a:rPr lang="en-AU" sz="1100">
                  <a:solidFill>
                    <a:schemeClr val="dk1"/>
                  </a:solidFill>
                  <a:effectLst/>
                  <a:latin typeface="+mn-lt"/>
                  <a:ea typeface="+mn-ea"/>
                  <a:cs typeface="+mn-cs"/>
                </a:rPr>
                <a:t>2</a:t>
              </a:r>
              <a:r>
                <a:rPr lang="en-GB" sz="1100">
                  <a:solidFill>
                    <a:schemeClr val="dk1"/>
                  </a:solidFill>
                  <a:effectLst/>
                  <a:latin typeface="+mn-lt"/>
                  <a:ea typeface="+mn-ea"/>
                  <a:cs typeface="+mn-cs"/>
                </a:rPr>
                <a:t>).</a:t>
              </a:r>
              <a:endParaRPr lang="en-ZA" sz="1100">
                <a:solidFill>
                  <a:schemeClr val="dk1"/>
                </a:solidFill>
                <a:effectLst/>
                <a:latin typeface="+mn-lt"/>
                <a:ea typeface="+mn-ea"/>
                <a:cs typeface="+mn-cs"/>
              </a:endParaRPr>
            </a:p>
            <a:p>
              <a:pPr algn="l"/>
              <a14:m>
                <m:oMath xmlns:m="http://schemas.openxmlformats.org/officeDocument/2006/math">
                  <m:r>
                    <m:rPr>
                      <m:nor/>
                    </m:rPr>
                    <a:rPr lang="en-AU" sz="1100">
                      <a:solidFill>
                        <a:schemeClr val="dk1"/>
                      </a:solidFill>
                      <a:effectLst/>
                      <a:latin typeface="+mn-lt"/>
                      <a:ea typeface="+mn-ea"/>
                      <a:cs typeface="+mn-cs"/>
                    </a:rPr>
                    <m:t>u</m:t>
                  </m:r>
                  <m:r>
                    <m:rPr>
                      <m:nor/>
                    </m:rPr>
                    <a:rPr lang="en-AU" sz="1100">
                      <a:solidFill>
                        <a:schemeClr val="dk1"/>
                      </a:solidFill>
                      <a:effectLst/>
                      <a:latin typeface="+mn-lt"/>
                      <a:ea typeface="+mn-ea"/>
                      <a:cs typeface="+mn-cs"/>
                    </a:rPr>
                    <m:t>=</m:t>
                  </m:r>
                  <m:f>
                    <m:fPr>
                      <m:ctrlPr>
                        <a:rPr lang="en-ZA" sz="1100" i="1">
                          <a:solidFill>
                            <a:schemeClr val="dk1"/>
                          </a:solidFill>
                          <a:effectLst/>
                          <a:latin typeface="Cambria Math" panose="02040503050406030204" pitchFamily="18" charset="0"/>
                          <a:ea typeface="+mn-ea"/>
                          <a:cs typeface="+mn-cs"/>
                        </a:rPr>
                      </m:ctrlPr>
                    </m:fPr>
                    <m:num>
                      <m:r>
                        <m:rPr>
                          <m:nor/>
                        </m:rPr>
                        <a:rPr lang="en-AU" sz="1100">
                          <a:solidFill>
                            <a:schemeClr val="dk1"/>
                          </a:solidFill>
                          <a:effectLst/>
                          <a:latin typeface="+mn-lt"/>
                          <a:ea typeface="+mn-ea"/>
                          <a:cs typeface="+mn-cs"/>
                        </a:rPr>
                        <m:t>1</m:t>
                      </m:r>
                      <m:r>
                        <m:rPr>
                          <m:nor/>
                        </m:rPr>
                        <a:rPr lang="en-AU" sz="1100" i="1">
                          <a:solidFill>
                            <a:schemeClr val="dk1"/>
                          </a:solidFill>
                          <a:effectLst/>
                          <a:latin typeface="+mn-lt"/>
                          <a:ea typeface="+mn-ea"/>
                          <a:cs typeface="+mn-cs"/>
                        </a:rPr>
                        <m:t>−</m:t>
                      </m:r>
                      <m:r>
                        <m:rPr>
                          <m:nor/>
                        </m:rPr>
                        <a:rPr lang="en-AU" sz="1100">
                          <a:solidFill>
                            <a:schemeClr val="dk1"/>
                          </a:solidFill>
                          <a:effectLst/>
                          <a:latin typeface="+mn-lt"/>
                          <a:ea typeface="+mn-ea"/>
                          <a:cs typeface="+mn-cs"/>
                        </a:rPr>
                        <m:t> ø</m:t>
                      </m:r>
                    </m:num>
                    <m:den>
                      <m:r>
                        <m:rPr>
                          <m:nor/>
                        </m:rPr>
                        <a:rPr lang="en-AU" sz="1100">
                          <a:solidFill>
                            <a:schemeClr val="dk1"/>
                          </a:solidFill>
                          <a:effectLst/>
                          <a:latin typeface="+mn-lt"/>
                          <a:ea typeface="+mn-ea"/>
                          <a:cs typeface="+mn-cs"/>
                        </a:rPr>
                        <m:t>ø</m:t>
                      </m:r>
                    </m:den>
                  </m:f>
                  <m:r>
                    <a:rPr lang="en-AU" sz="1100">
                      <a:solidFill>
                        <a:schemeClr val="dk1"/>
                      </a:solidFill>
                      <a:effectLst/>
                      <a:latin typeface="Cambria Math" panose="02040503050406030204" pitchFamily="18" charset="0"/>
                      <a:ea typeface="+mn-ea"/>
                      <a:cs typeface="+mn-cs"/>
                    </a:rPr>
                    <m:t> </m:t>
                  </m:r>
                  <m:r>
                    <a:rPr lang="en-ZA" sz="1100" b="0" i="0">
                      <a:solidFill>
                        <a:schemeClr val="dk1"/>
                      </a:solidFill>
                      <a:effectLst/>
                      <a:latin typeface="Cambria Math" panose="02040503050406030204" pitchFamily="18" charset="0"/>
                      <a:ea typeface="+mn-ea"/>
                      <a:cs typeface="+mn-cs"/>
                    </a:rPr>
                    <m:t>         </m:t>
                  </m:r>
                </m:oMath>
              </a14:m>
              <a:r>
                <a:rPr lang="en-AU" sz="1100">
                  <a:solidFill>
                    <a:schemeClr val="dk1"/>
                  </a:solidFill>
                  <a:effectLst/>
                  <a:latin typeface="+mn-lt"/>
                  <a:ea typeface="+mn-ea"/>
                  <a:cs typeface="+mn-cs"/>
                </a:rPr>
                <a:t>(1)</a:t>
              </a:r>
              <a:endParaRPr lang="en-ZA" sz="1100">
                <a:solidFill>
                  <a:schemeClr val="dk1"/>
                </a:solidFill>
                <a:effectLst/>
                <a:latin typeface="+mn-lt"/>
                <a:ea typeface="+mn-ea"/>
                <a:cs typeface="+mn-cs"/>
              </a:endParaRPr>
            </a:p>
            <a:p>
              <a:r>
                <a:rPr lang="en-AU"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GB" sz="1100">
                  <a:solidFill>
                    <a:schemeClr val="dk1"/>
                  </a:solidFill>
                  <a:effectLst/>
                  <a:ea typeface="+mn-ea"/>
                  <a:cs typeface="+mn-cs"/>
                </a:rPr>
                <a:t> </a:t>
              </a:r>
              <a14:m>
                <m:oMath xmlns:m="http://schemas.openxmlformats.org/officeDocument/2006/math">
                  <m:r>
                    <m:rPr>
                      <m:nor/>
                    </m:rPr>
                    <a:rPr lang="en-GB" sz="1100">
                      <a:solidFill>
                        <a:schemeClr val="dk1"/>
                      </a:solidFill>
                      <a:effectLst/>
                      <a:latin typeface="+mn-lt"/>
                      <a:ea typeface="+mn-ea"/>
                      <a:cs typeface="+mn-cs"/>
                    </a:rPr>
                    <m:t>ɛ</m:t>
                  </m:r>
                  <m:r>
                    <m:rPr>
                      <m:nor/>
                    </m:rPr>
                    <a:rPr lang="en-AU" sz="1100">
                      <a:solidFill>
                        <a:schemeClr val="dk1"/>
                      </a:solidFill>
                      <a:effectLst/>
                      <a:latin typeface="+mn-lt"/>
                      <a:ea typeface="+mn-ea"/>
                      <a:cs typeface="+mn-cs"/>
                    </a:rPr>
                    <m:t>=</m:t>
                  </m:r>
                  <m:f>
                    <m:fPr>
                      <m:ctrlPr>
                        <a:rPr lang="en-ZA" sz="1100" i="1">
                          <a:solidFill>
                            <a:schemeClr val="dk1"/>
                          </a:solidFill>
                          <a:effectLst/>
                          <a:latin typeface="Cambria Math" panose="02040503050406030204" pitchFamily="18" charset="0"/>
                          <a:ea typeface="+mn-ea"/>
                          <a:cs typeface="+mn-cs"/>
                        </a:rPr>
                      </m:ctrlPr>
                    </m:fPr>
                    <m:num>
                      <m:d>
                        <m:dPr>
                          <m:ctrlPr>
                            <a:rPr lang="en-ZA" sz="1100" i="1">
                              <a:solidFill>
                                <a:schemeClr val="dk1"/>
                              </a:solidFill>
                              <a:effectLst/>
                              <a:latin typeface="Cambria Math" panose="02040503050406030204" pitchFamily="18" charset="0"/>
                              <a:ea typeface="+mn-ea"/>
                              <a:cs typeface="+mn-cs"/>
                            </a:rPr>
                          </m:ctrlPr>
                        </m:dPr>
                        <m:e>
                          <m:r>
                            <m:rPr>
                              <m:nor/>
                            </m:rPr>
                            <a:rPr lang="en-AU" sz="1100">
                              <a:solidFill>
                                <a:schemeClr val="dk1"/>
                              </a:solidFill>
                              <a:effectLst/>
                              <a:latin typeface="+mn-lt"/>
                              <a:ea typeface="+mn-ea"/>
                              <a:cs typeface="+mn-cs"/>
                            </a:rPr>
                            <m:t>V</m:t>
                          </m:r>
                          <m:r>
                            <m:rPr>
                              <m:nor/>
                            </m:rPr>
                            <a:rPr lang="en-AU" sz="1100" i="1">
                              <a:solidFill>
                                <a:schemeClr val="dk1"/>
                              </a:solidFill>
                              <a:effectLst/>
                              <a:latin typeface="+mn-lt"/>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m:rPr>
                                  <m:nor/>
                                </m:rPr>
                                <a:rPr lang="en-AU" sz="1100">
                                  <a:solidFill>
                                    <a:schemeClr val="dk1"/>
                                  </a:solidFill>
                                  <a:effectLst/>
                                  <a:latin typeface="+mn-lt"/>
                                  <a:ea typeface="+mn-ea"/>
                                  <a:cs typeface="+mn-cs"/>
                                </a:rPr>
                                <m:t>V</m:t>
                              </m:r>
                            </m:e>
                            <m:sub>
                              <m:r>
                                <m:rPr>
                                  <m:nor/>
                                </m:rPr>
                                <a:rPr lang="en-AU" sz="1100">
                                  <a:solidFill>
                                    <a:schemeClr val="dk1"/>
                                  </a:solidFill>
                                  <a:effectLst/>
                                  <a:latin typeface="+mn-lt"/>
                                  <a:ea typeface="+mn-ea"/>
                                  <a:cs typeface="+mn-cs"/>
                                </a:rPr>
                                <m:t>s</m:t>
                              </m:r>
                            </m:sub>
                          </m:sSub>
                        </m:e>
                      </m:d>
                    </m:num>
                    <m:den>
                      <m:r>
                        <m:rPr>
                          <m:nor/>
                        </m:rPr>
                        <a:rPr lang="en-AU" sz="1100">
                          <a:solidFill>
                            <a:schemeClr val="dk1"/>
                          </a:solidFill>
                          <a:effectLst/>
                          <a:latin typeface="+mn-lt"/>
                          <a:ea typeface="+mn-ea"/>
                          <a:cs typeface="+mn-cs"/>
                        </a:rPr>
                        <m:t>V</m:t>
                      </m:r>
                    </m:den>
                  </m:f>
                  <m:r>
                    <m:rPr>
                      <m:nor/>
                    </m:rPr>
                    <a:rPr lang="en-AU" sz="1100">
                      <a:solidFill>
                        <a:schemeClr val="dk1"/>
                      </a:solidFill>
                      <a:effectLst/>
                      <a:latin typeface="+mn-lt"/>
                      <a:ea typeface="+mn-ea"/>
                      <a:cs typeface="+mn-cs"/>
                    </a:rPr>
                    <m:t>=</m:t>
                  </m:r>
                  <m:f>
                    <m:fPr>
                      <m:ctrlPr>
                        <a:rPr lang="en-ZA" sz="1100" i="1">
                          <a:solidFill>
                            <a:schemeClr val="dk1"/>
                          </a:solidFill>
                          <a:effectLst/>
                          <a:latin typeface="Cambria Math" panose="02040503050406030204" pitchFamily="18" charset="0"/>
                          <a:ea typeface="+mn-ea"/>
                          <a:cs typeface="+mn-cs"/>
                        </a:rPr>
                      </m:ctrlPr>
                    </m:fPr>
                    <m:num>
                      <m:r>
                        <m:rPr>
                          <m:nor/>
                        </m:rPr>
                        <a:rPr lang="en-AU" sz="1100">
                          <a:solidFill>
                            <a:schemeClr val="dk1"/>
                          </a:solidFill>
                          <a:effectLst/>
                          <a:latin typeface="+mn-lt"/>
                          <a:ea typeface="+mn-ea"/>
                          <a:cs typeface="+mn-cs"/>
                        </a:rPr>
                        <m:t>u</m:t>
                      </m:r>
                    </m:num>
                    <m:den>
                      <m:r>
                        <m:rPr>
                          <m:nor/>
                        </m:rPr>
                        <a:rPr lang="en-AU" sz="1100">
                          <a:solidFill>
                            <a:schemeClr val="dk1"/>
                          </a:solidFill>
                          <a:effectLst/>
                          <a:latin typeface="+mn-lt"/>
                          <a:ea typeface="+mn-ea"/>
                          <a:cs typeface="+mn-cs"/>
                        </a:rPr>
                        <m:t>1+</m:t>
                      </m:r>
                      <m:r>
                        <m:rPr>
                          <m:nor/>
                        </m:rPr>
                        <a:rPr lang="en-AU" sz="1100">
                          <a:solidFill>
                            <a:schemeClr val="dk1"/>
                          </a:solidFill>
                          <a:effectLst/>
                          <a:latin typeface="+mn-lt"/>
                          <a:ea typeface="+mn-ea"/>
                          <a:cs typeface="+mn-cs"/>
                        </a:rPr>
                        <m:t>u</m:t>
                      </m:r>
                    </m:den>
                  </m:f>
                  <m:r>
                    <m:rPr>
                      <m:nor/>
                    </m:rPr>
                    <a:rPr lang="en-AU" sz="1100">
                      <a:solidFill>
                        <a:schemeClr val="dk1"/>
                      </a:solidFill>
                      <a:effectLst/>
                      <a:latin typeface="+mn-lt"/>
                      <a:ea typeface="+mn-ea"/>
                      <a:cs typeface="+mn-cs"/>
                    </a:rPr>
                    <m:t> </m:t>
                  </m:r>
                </m:oMath>
              </a14:m>
              <a:r>
                <a:rPr lang="en-AU" sz="1100">
                  <a:solidFill>
                    <a:schemeClr val="dk1"/>
                  </a:solidFill>
                  <a:effectLst/>
                  <a:latin typeface="+mn-lt"/>
                  <a:ea typeface="+mn-ea"/>
                  <a:cs typeface="+mn-cs"/>
                </a:rPr>
                <a:t>  (2)</a:t>
              </a:r>
              <a:endParaRPr lang="en-ZA" sz="1100">
                <a:solidFill>
                  <a:schemeClr val="dk1"/>
                </a:solidFill>
                <a:effectLst/>
                <a:latin typeface="+mn-lt"/>
                <a:ea typeface="+mn-ea"/>
                <a:cs typeface="+mn-cs"/>
              </a:endParaRPr>
            </a:p>
            <a:p>
              <a:r>
                <a:rPr lang="en-AU"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AU" sz="1100">
                  <a:solidFill>
                    <a:schemeClr val="dk1"/>
                  </a:solidFill>
                  <a:effectLst/>
                  <a:latin typeface="+mn-lt"/>
                  <a:ea typeface="+mn-ea"/>
                  <a:cs typeface="+mn-cs"/>
                </a:rPr>
                <a:t>where </a:t>
              </a:r>
              <a14:m>
                <m:oMath xmlns:m="http://schemas.openxmlformats.org/officeDocument/2006/math">
                  <m:r>
                    <a:rPr lang="en-AU" sz="1100">
                      <a:solidFill>
                        <a:schemeClr val="dk1"/>
                      </a:solidFill>
                      <a:effectLst/>
                      <a:latin typeface="Cambria Math" panose="02040503050406030204" pitchFamily="18" charset="0"/>
                      <a:ea typeface="+mn-ea"/>
                      <a:cs typeface="+mn-cs"/>
                    </a:rPr>
                    <m:t>ø</m:t>
                  </m:r>
                </m:oMath>
              </a14:m>
              <a:r>
                <a:rPr lang="en-AU" sz="1100">
                  <a:solidFill>
                    <a:schemeClr val="dk1"/>
                  </a:solidFill>
                  <a:effectLst/>
                  <a:latin typeface="+mn-lt"/>
                  <a:ea typeface="+mn-ea"/>
                  <a:cs typeface="+mn-cs"/>
                </a:rPr>
                <a:t> = </a:t>
              </a:r>
              <a:r>
                <a:rPr lang="en-AU" sz="1100" i="1">
                  <a:solidFill>
                    <a:schemeClr val="dk1"/>
                  </a:solidFill>
                  <a:effectLst/>
                  <a:latin typeface="+mn-lt"/>
                  <a:ea typeface="+mn-ea"/>
                  <a:cs typeface="+mn-cs"/>
                </a:rPr>
                <a:t>V</a:t>
              </a:r>
              <a:r>
                <a:rPr lang="en-AU" sz="1100" baseline="-25000">
                  <a:solidFill>
                    <a:schemeClr val="dk1"/>
                  </a:solidFill>
                  <a:effectLst/>
                  <a:latin typeface="+mn-lt"/>
                  <a:ea typeface="+mn-ea"/>
                  <a:cs typeface="+mn-cs"/>
                </a:rPr>
                <a:t>s</a:t>
              </a:r>
              <a:r>
                <a:rPr lang="en-AU" sz="1100">
                  <a:solidFill>
                    <a:schemeClr val="dk1"/>
                  </a:solidFill>
                  <a:effectLst/>
                  <a:latin typeface="+mn-lt"/>
                  <a:ea typeface="+mn-ea"/>
                  <a:cs typeface="+mn-cs"/>
                </a:rPr>
                <a:t>/</a:t>
              </a:r>
              <a:r>
                <a:rPr lang="en-AU" sz="1100" i="1">
                  <a:solidFill>
                    <a:schemeClr val="dk1"/>
                  </a:solidFill>
                  <a:effectLst/>
                  <a:latin typeface="+mn-lt"/>
                  <a:ea typeface="+mn-ea"/>
                  <a:cs typeface="+mn-cs"/>
                </a:rPr>
                <a:t>V</a:t>
              </a:r>
              <a:r>
                <a:rPr lang="en-AU" sz="1100">
                  <a:solidFill>
                    <a:schemeClr val="dk1"/>
                  </a:solidFill>
                  <a:effectLst/>
                  <a:latin typeface="+mn-lt"/>
                  <a:ea typeface="+mn-ea"/>
                  <a:cs typeface="+mn-cs"/>
                </a:rPr>
                <a:t>.  In this investigation, the packing density ø is evaluated either on a dry or wet basis. In a mixture of  water (</a:t>
              </a:r>
              <a:r>
                <a:rPr lang="en-AU" sz="1100" i="1">
                  <a:solidFill>
                    <a:schemeClr val="dk1"/>
                  </a:solidFill>
                  <a:effectLst/>
                  <a:latin typeface="+mn-lt"/>
                  <a:ea typeface="+mn-ea"/>
                  <a:cs typeface="+mn-cs"/>
                </a:rPr>
                <a:t>W</a:t>
              </a:r>
              <a:r>
                <a:rPr lang="en-AU" sz="1100">
                  <a:solidFill>
                    <a:schemeClr val="dk1"/>
                  </a:solidFill>
                  <a:effectLst/>
                  <a:latin typeface="+mn-lt"/>
                  <a:ea typeface="+mn-ea"/>
                  <a:cs typeface="+mn-cs"/>
                </a:rPr>
                <a:t>) and solid particles (</a:t>
              </a:r>
              <a:r>
                <a:rPr lang="en-AU" sz="1100" i="1">
                  <a:solidFill>
                    <a:schemeClr val="dk1"/>
                  </a:solidFill>
                  <a:effectLst/>
                  <a:latin typeface="+mn-lt"/>
                  <a:ea typeface="+mn-ea"/>
                  <a:cs typeface="+mn-cs"/>
                </a:rPr>
                <a:t>S</a:t>
              </a:r>
              <a:r>
                <a:rPr lang="en-AU" sz="1100">
                  <a:solidFill>
                    <a:schemeClr val="dk1"/>
                  </a:solidFill>
                  <a:effectLst/>
                  <a:latin typeface="+mn-lt"/>
                  <a:ea typeface="+mn-ea"/>
                  <a:cs typeface="+mn-cs"/>
                </a:rPr>
                <a:t>), the </a:t>
              </a:r>
              <a:r>
                <a:rPr lang="en-AU" sz="1100" i="1">
                  <a:solidFill>
                    <a:schemeClr val="dk1"/>
                  </a:solidFill>
                  <a:effectLst/>
                  <a:latin typeface="+mn-lt"/>
                  <a:ea typeface="+mn-ea"/>
                  <a:cs typeface="+mn-cs"/>
                </a:rPr>
                <a:t>W</a:t>
              </a:r>
              <a:r>
                <a:rPr lang="en-AU" sz="1100">
                  <a:solidFill>
                    <a:schemeClr val="dk1"/>
                  </a:solidFill>
                  <a:effectLst/>
                  <a:latin typeface="+mn-lt"/>
                  <a:ea typeface="+mn-ea"/>
                  <a:cs typeface="+mn-cs"/>
                </a:rPr>
                <a:t>/</a:t>
              </a:r>
              <a:r>
                <a:rPr lang="en-AU" sz="1100" i="1">
                  <a:solidFill>
                    <a:schemeClr val="dk1"/>
                  </a:solidFill>
                  <a:effectLst/>
                  <a:latin typeface="+mn-lt"/>
                  <a:ea typeface="+mn-ea"/>
                  <a:cs typeface="+mn-cs"/>
                </a:rPr>
                <a:t>S</a:t>
              </a:r>
              <a:r>
                <a:rPr lang="en-AU" sz="1100">
                  <a:solidFill>
                    <a:schemeClr val="dk1"/>
                  </a:solidFill>
                  <a:effectLst/>
                  <a:latin typeface="+mn-lt"/>
                  <a:ea typeface="+mn-ea"/>
                  <a:cs typeface="+mn-cs"/>
                </a:rPr>
                <a:t> ratio by volume determines the concentration of solid particles in the mixture (Li and Kwan, 2014). </a:t>
              </a:r>
              <a:endParaRPr lang="en-ZA" sz="1100" b="1">
                <a:solidFill>
                  <a:schemeClr val="dk1"/>
                </a:solidFill>
                <a:effectLst/>
                <a:latin typeface="+mn-lt"/>
                <a:ea typeface="+mn-ea"/>
                <a:cs typeface="+mn-cs"/>
              </a:endParaRPr>
            </a:p>
            <a:p>
              <a:endParaRPr lang="en-ZA" sz="1100" b="1">
                <a:solidFill>
                  <a:schemeClr val="dk1"/>
                </a:solidFill>
                <a:effectLst/>
                <a:latin typeface="+mn-lt"/>
                <a:ea typeface="+mn-ea"/>
                <a:cs typeface="+mn-cs"/>
              </a:endParaRPr>
            </a:p>
            <a:p>
              <a:r>
                <a:rPr lang="en-ZA" sz="1100" b="1">
                  <a:solidFill>
                    <a:schemeClr val="dk1"/>
                  </a:solidFill>
                  <a:effectLst/>
                  <a:latin typeface="+mn-lt"/>
                  <a:ea typeface="+mn-ea"/>
                  <a:cs typeface="+mn-cs"/>
                </a:rPr>
                <a:t>Dry packing density tests</a:t>
              </a:r>
            </a:p>
            <a:p>
              <a:r>
                <a:rPr lang="en-ZA" sz="1100">
                  <a:solidFill>
                    <a:schemeClr val="dk1"/>
                  </a:solidFill>
                  <a:effectLst/>
                  <a:latin typeface="+mn-lt"/>
                  <a:ea typeface="+mn-ea"/>
                  <a:cs typeface="+mn-cs"/>
                </a:rPr>
                <a:t> </a:t>
              </a:r>
            </a:p>
            <a:p>
              <a:r>
                <a:rPr lang="en-GB" sz="1100">
                  <a:solidFill>
                    <a:schemeClr val="dk1"/>
                  </a:solidFill>
                  <a:effectLst/>
                  <a:latin typeface="+mn-lt"/>
                  <a:ea typeface="+mn-ea"/>
                  <a:cs typeface="+mn-cs"/>
                </a:rPr>
                <a:t>For the dry packing density tests, a cylindrical PVC mould with an aspect ratio of 1 (H = 190 mm, </a:t>
              </a:r>
              <a:r>
                <a:rPr lang="en-GB" sz="1100" i="1">
                  <a:solidFill>
                    <a:schemeClr val="dk1"/>
                  </a:solidFill>
                  <a:effectLst/>
                  <a:latin typeface="+mn-lt"/>
                  <a:ea typeface="+mn-ea"/>
                  <a:cs typeface="+mn-cs"/>
                </a:rPr>
                <a:t>V</a:t>
              </a:r>
              <a:r>
                <a:rPr lang="en-GB" sz="1100">
                  <a:solidFill>
                    <a:schemeClr val="dk1"/>
                  </a:solidFill>
                  <a:effectLst/>
                  <a:latin typeface="+mn-lt"/>
                  <a:ea typeface="+mn-ea"/>
                  <a:cs typeface="+mn-cs"/>
                </a:rPr>
                <a:t> = 5.36 L) was used and calibrated (ASTM:C29/C29M-09, 2009). Two sample packing protocols were practiced. In the assisted packing method, the PVC mould was initially filled partway to one third of its capacity with dry sample and manually levelled. Thereafter, to facilitate settling of the introduced particles, rodding was applied to each layer with a steel rod. The vessel was then further filled to two thirds full and the rodding procedure was repeated. Finally, the mould was filled to overflow, and the rodding procedure was once again applied. The surface of the packed vessel was levelled to limit any projections that exceeded the mould surface. </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In the unassisted packing approach, the PVC mould was filled with dry sample to overflow from a height not exceeding 50 mm above the top surface of the mould. Caution was taken to avoid segregation of the particles when introducing the waste ore to the vessel. The packed sample was thereafter levelled as outlined in the assisted packing approach. In each of these packing procedures, the mass of the packed sample was determined by measuring the weight to the nearest 0.005 kg.</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GB" sz="1100" b="1">
                  <a:solidFill>
                    <a:schemeClr val="dk1"/>
                  </a:solidFill>
                  <a:effectLst/>
                  <a:latin typeface="+mn-lt"/>
                  <a:ea typeface="+mn-ea"/>
                  <a:cs typeface="+mn-cs"/>
                </a:rPr>
                <a:t>Wet packing density tests</a:t>
              </a:r>
              <a:endParaRPr lang="en-ZA" sz="1100" b="1">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In the wet packing method, the approach refined by Wong and Kwan (2008) was used to measure the packing density of  coal waste rock and fine waste blends. The co-mingled samples were initially mixed with pre-defined quantities of water in successive batches to ensure homogeneity in the mixture (Clayton et al., 2003). The co-mingled slurry was then introduced into the PVC mould using the unassisted packing procedure prior to the packing density being assessed. </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GB" sz="1100" b="1">
                  <a:solidFill>
                    <a:schemeClr val="dk1"/>
                  </a:solidFill>
                  <a:effectLst/>
                  <a:latin typeface="+mn-lt"/>
                  <a:ea typeface="+mn-ea"/>
                  <a:cs typeface="+mn-cs"/>
                </a:rPr>
                <a:t>Slump tests</a:t>
              </a:r>
              <a:endParaRPr lang="en-ZA" sz="1100" b="1">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The consistency of each mixed dry sample was monitored using a modified slump testing procedure (ASTM Committee C09.47, 2009; Clayton et al., 2003). Well-mixed samples were placed into the PVC mould which was open on both ends and maintained upright on a flat surface during the packing process. Assisted and unassisted packing protocols were used as comparison in each of these tests. For the slump test, the PVC mould was raised vertically 210 mm in 4 seconds avoiding any lateral or torsional dispersion of the packed contents. Upon release from the mould, the sample was allowed to flow freely until it gradually settled. Thereafter, the diameters of the sample heap were measured in orthogonal directions. These measurements constituted the average spread of the packed ore while the slump height </a:t>
              </a:r>
              <a:r>
                <a:rPr lang="en-GB" sz="1100" i="1">
                  <a:solidFill>
                    <a:schemeClr val="dk1"/>
                  </a:solidFill>
                  <a:effectLst/>
                  <a:latin typeface="+mn-lt"/>
                  <a:ea typeface="+mn-ea"/>
                  <a:cs typeface="+mn-cs"/>
                </a:rPr>
                <a:t>H</a:t>
              </a:r>
              <a:r>
                <a:rPr lang="en-GB" sz="1100">
                  <a:solidFill>
                    <a:schemeClr val="dk1"/>
                  </a:solidFill>
                  <a:effectLst/>
                  <a:latin typeface="+mn-lt"/>
                  <a:ea typeface="+mn-ea"/>
                  <a:cs typeface="+mn-cs"/>
                </a:rPr>
                <a:t> was determined from the difference of the mould internal height (</a:t>
              </a:r>
              <a:r>
                <a:rPr lang="en-GB" sz="1100" i="1">
                  <a:solidFill>
                    <a:schemeClr val="dk1"/>
                  </a:solidFill>
                  <a:effectLst/>
                  <a:latin typeface="+mn-lt"/>
                  <a:ea typeface="+mn-ea"/>
                  <a:cs typeface="+mn-cs"/>
                </a:rPr>
                <a:t>H</a:t>
              </a:r>
              <a:r>
                <a:rPr lang="en-GB" sz="1100" baseline="-25000">
                  <a:solidFill>
                    <a:schemeClr val="dk1"/>
                  </a:solidFill>
                  <a:effectLst/>
                  <a:latin typeface="+mn-lt"/>
                  <a:ea typeface="+mn-ea"/>
                  <a:cs typeface="+mn-cs"/>
                </a:rPr>
                <a:t>mould</a:t>
              </a:r>
              <a:r>
                <a:rPr lang="en-GB" sz="1100">
                  <a:solidFill>
                    <a:schemeClr val="dk1"/>
                  </a:solidFill>
                  <a:effectLst/>
                  <a:latin typeface="+mn-lt"/>
                  <a:ea typeface="+mn-ea"/>
                  <a:cs typeface="+mn-cs"/>
                </a:rPr>
                <a:t>) and the midpoint apex of the heap (</a:t>
              </a:r>
              <a:r>
                <a:rPr lang="en-GB" sz="1100" i="1">
                  <a:solidFill>
                    <a:schemeClr val="dk1"/>
                  </a:solidFill>
                  <a:effectLst/>
                  <a:latin typeface="+mn-lt"/>
                  <a:ea typeface="+mn-ea"/>
                  <a:cs typeface="+mn-cs"/>
                </a:rPr>
                <a:t>H</a:t>
              </a:r>
              <a:r>
                <a:rPr lang="en-GB" sz="1100" baseline="-25000">
                  <a:solidFill>
                    <a:schemeClr val="dk1"/>
                  </a:solidFill>
                  <a:effectLst/>
                  <a:latin typeface="+mn-lt"/>
                  <a:ea typeface="+mn-ea"/>
                  <a:cs typeface="+mn-cs"/>
                </a:rPr>
                <a:t>heap</a:t>
              </a:r>
              <a:r>
                <a:rPr lang="en-GB" sz="1100">
                  <a:solidFill>
                    <a:schemeClr val="dk1"/>
                  </a:solidFill>
                  <a:effectLst/>
                  <a:latin typeface="+mn-lt"/>
                  <a:ea typeface="+mn-ea"/>
                  <a:cs typeface="+mn-cs"/>
                </a:rPr>
                <a:t>) after settlement.</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For the wet sample tests, the</a:t>
              </a:r>
              <a:r>
                <a:rPr lang="en-GB" sz="1100" b="1">
                  <a:solidFill>
                    <a:schemeClr val="dk1"/>
                  </a:solidFill>
                  <a:effectLst/>
                  <a:latin typeface="+mn-lt"/>
                  <a:ea typeface="+mn-ea"/>
                  <a:cs typeface="+mn-cs"/>
                </a:rPr>
                <a:t> </a:t>
              </a:r>
              <a:r>
                <a:rPr lang="en-AU" sz="1100">
                  <a:solidFill>
                    <a:schemeClr val="dk1"/>
                  </a:solidFill>
                  <a:effectLst/>
                  <a:latin typeface="+mn-lt"/>
                  <a:ea typeface="+mn-ea"/>
                  <a:cs typeface="+mn-cs"/>
                </a:rPr>
                <a:t>slump flow test developed by Pashias et al. (1996) was used to assess the consistency of the samples. As with the dry applications, the PVC mould was filled with a wet sample to overfill. The top of the mould was then smoothed over and then lifted slowly and evenly to ensure minimal disturbance upon release. The slump height of each sample was measured four times and the average value was taken as the final slump (Clayton et al., 2003). The diameter of the slumped sample was measured in two perpendicular directions in accordance with standard protocols and averaged to give the mean spread (ASTM Committee C09.47, 2009). Both slump and spread were measured to the nearest 1 mm. </a:t>
              </a:r>
              <a:endParaRPr lang="en-ZA" sz="1100">
                <a:solidFill>
                  <a:schemeClr val="dk1"/>
                </a:solidFill>
                <a:effectLst/>
                <a:latin typeface="+mn-lt"/>
                <a:ea typeface="+mn-ea"/>
                <a:cs typeface="+mn-cs"/>
              </a:endParaRPr>
            </a:p>
            <a:p>
              <a:endParaRPr lang="en-ZA" sz="1100"/>
            </a:p>
          </xdr:txBody>
        </xdr:sp>
      </mc:Choice>
      <mc:Fallback xmlns="">
        <xdr:sp macro="" textlink="">
          <xdr:nvSpPr>
            <xdr:cNvPr id="2" name="TextBox 1">
              <a:extLst>
                <a:ext uri="{FF2B5EF4-FFF2-40B4-BE49-F238E27FC236}">
                  <a16:creationId xmlns:a16="http://schemas.microsoft.com/office/drawing/2014/main" id="{61E7BD26-5671-4DC6-B70F-E3D02BF6E7E4}"/>
                </a:ext>
              </a:extLst>
            </xdr:cNvPr>
            <xdr:cNvSpPr txBox="1"/>
          </xdr:nvSpPr>
          <xdr:spPr>
            <a:xfrm>
              <a:off x="19049" y="428625"/>
              <a:ext cx="12925426" cy="75152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mn-lt"/>
                  <a:ea typeface="+mn-ea"/>
                  <a:cs typeface="+mn-cs"/>
                </a:rPr>
                <a:t>Packing density</a:t>
              </a:r>
            </a:p>
            <a:p>
              <a:endParaRPr lang="en-ZA" sz="1100">
                <a:solidFill>
                  <a:schemeClr val="dk1"/>
                </a:solidFill>
                <a:effectLst/>
                <a:latin typeface="+mn-lt"/>
                <a:ea typeface="+mn-ea"/>
                <a:cs typeface="+mn-cs"/>
              </a:endParaRPr>
            </a:p>
            <a:p>
              <a:r>
                <a:rPr lang="en-AU" sz="1100">
                  <a:solidFill>
                    <a:schemeClr val="dk1"/>
                  </a:solidFill>
                  <a:effectLst/>
                  <a:latin typeface="+mn-lt"/>
                  <a:ea typeface="+mn-ea"/>
                  <a:cs typeface="+mn-cs"/>
                </a:rPr>
                <a:t>Packing density </a:t>
              </a:r>
              <a:r>
                <a:rPr lang="en-AU" sz="1100" i="0">
                  <a:solidFill>
                    <a:schemeClr val="dk1"/>
                  </a:solidFill>
                  <a:effectLst/>
                  <a:latin typeface="+mn-lt"/>
                  <a:ea typeface="+mn-ea"/>
                  <a:cs typeface="+mn-cs"/>
                </a:rPr>
                <a:t>ø</a:t>
              </a:r>
              <a:r>
                <a:rPr lang="en-AU" sz="1100">
                  <a:solidFill>
                    <a:schemeClr val="dk1"/>
                  </a:solidFill>
                  <a:effectLst/>
                  <a:latin typeface="+mn-lt"/>
                  <a:ea typeface="+mn-ea"/>
                  <a:cs typeface="+mn-cs"/>
                </a:rPr>
                <a:t>,  is an important tool for evaluating aggregates of different particle size distributions. As a dry packing, the packing density is defined as the ratio of solid volume </a:t>
              </a:r>
              <a:r>
                <a:rPr lang="en-AU" sz="1100" i="1">
                  <a:solidFill>
                    <a:schemeClr val="dk1"/>
                  </a:solidFill>
                  <a:effectLst/>
                  <a:latin typeface="+mn-lt"/>
                  <a:ea typeface="+mn-ea"/>
                  <a:cs typeface="+mn-cs"/>
                </a:rPr>
                <a:t>V</a:t>
              </a:r>
              <a:r>
                <a:rPr lang="en-AU" sz="1100" baseline="-25000">
                  <a:solidFill>
                    <a:schemeClr val="dk1"/>
                  </a:solidFill>
                  <a:effectLst/>
                  <a:latin typeface="+mn-lt"/>
                  <a:ea typeface="+mn-ea"/>
                  <a:cs typeface="+mn-cs"/>
                </a:rPr>
                <a:t>s</a:t>
              </a:r>
              <a:r>
                <a:rPr lang="en-AU" sz="1100">
                  <a:solidFill>
                    <a:schemeClr val="dk1"/>
                  </a:solidFill>
                  <a:effectLst/>
                  <a:latin typeface="+mn-lt"/>
                  <a:ea typeface="+mn-ea"/>
                  <a:cs typeface="+mn-cs"/>
                </a:rPr>
                <a:t> to the bulk volume </a:t>
              </a:r>
              <a:r>
                <a:rPr lang="en-AU" sz="1100" i="1">
                  <a:solidFill>
                    <a:schemeClr val="dk1"/>
                  </a:solidFill>
                  <a:effectLst/>
                  <a:latin typeface="+mn-lt"/>
                  <a:ea typeface="+mn-ea"/>
                  <a:cs typeface="+mn-cs"/>
                </a:rPr>
                <a:t>V</a:t>
              </a:r>
              <a:r>
                <a:rPr lang="en-AU" sz="1100">
                  <a:solidFill>
                    <a:schemeClr val="dk1"/>
                  </a:solidFill>
                  <a:effectLst/>
                  <a:latin typeface="+mn-lt"/>
                  <a:ea typeface="+mn-ea"/>
                  <a:cs typeface="+mn-cs"/>
                </a:rPr>
                <a:t> </a:t>
              </a:r>
              <a:r>
                <a:rPr lang="en-GB" sz="1100">
                  <a:solidFill>
                    <a:schemeClr val="dk1"/>
                  </a:solidFill>
                  <a:effectLst/>
                  <a:latin typeface="+mn-lt"/>
                  <a:ea typeface="+mn-ea"/>
                  <a:cs typeface="+mn-cs"/>
                </a:rPr>
                <a:t>(Wong and Kwan, 2008).</a:t>
              </a:r>
              <a:r>
                <a:rPr lang="en-AU" sz="1100">
                  <a:solidFill>
                    <a:schemeClr val="dk1"/>
                  </a:solidFill>
                  <a:effectLst/>
                  <a:latin typeface="+mn-lt"/>
                  <a:ea typeface="+mn-ea"/>
                  <a:cs typeface="+mn-cs"/>
                </a:rPr>
                <a:t> In the co-disposal of coal waste rock and fine coal waste, an optimal packing density is preferred due to its associated decrease in bed void content or voidage, </a:t>
              </a:r>
              <a:r>
                <a:rPr lang="en-GB" sz="1100" i="1">
                  <a:solidFill>
                    <a:schemeClr val="dk1"/>
                  </a:solidFill>
                  <a:effectLst/>
                  <a:latin typeface="+mn-lt"/>
                  <a:ea typeface="+mn-ea"/>
                  <a:cs typeface="+mn-cs"/>
                </a:rPr>
                <a:t>ɛ</a:t>
              </a:r>
              <a:r>
                <a:rPr lang="en-AU" sz="1100">
                  <a:solidFill>
                    <a:schemeClr val="dk1"/>
                  </a:solidFill>
                  <a:effectLst/>
                  <a:latin typeface="+mn-lt"/>
                  <a:ea typeface="+mn-ea"/>
                  <a:cs typeface="+mn-cs"/>
                </a:rPr>
                <a:t>. </a:t>
              </a:r>
              <a:r>
                <a:rPr lang="en-GB" sz="1100">
                  <a:solidFill>
                    <a:schemeClr val="dk1"/>
                  </a:solidFill>
                  <a:effectLst/>
                  <a:latin typeface="+mn-lt"/>
                  <a:ea typeface="+mn-ea"/>
                  <a:cs typeface="+mn-cs"/>
                </a:rPr>
                <a:t>In this study the voidage, </a:t>
              </a:r>
              <a:r>
                <a:rPr lang="en-GB" sz="1100" i="1">
                  <a:solidFill>
                    <a:schemeClr val="dk1"/>
                  </a:solidFill>
                  <a:effectLst/>
                  <a:latin typeface="+mn-lt"/>
                  <a:ea typeface="+mn-ea"/>
                  <a:cs typeface="+mn-cs"/>
                </a:rPr>
                <a:t>ɛ</a:t>
              </a:r>
              <a:r>
                <a:rPr lang="en-GB" sz="1100">
                  <a:solidFill>
                    <a:schemeClr val="dk1"/>
                  </a:solidFill>
                  <a:effectLst/>
                  <a:latin typeface="+mn-lt"/>
                  <a:ea typeface="+mn-ea"/>
                  <a:cs typeface="+mn-cs"/>
                </a:rPr>
                <a:t>, is defined as the ratio of the volume of voids (</a:t>
              </a:r>
              <a:r>
                <a:rPr lang="en-GB" sz="1100" i="1">
                  <a:solidFill>
                    <a:schemeClr val="dk1"/>
                  </a:solidFill>
                  <a:effectLst/>
                  <a:latin typeface="+mn-lt"/>
                  <a:ea typeface="+mn-ea"/>
                  <a:cs typeface="+mn-cs"/>
                </a:rPr>
                <a:t>V</a:t>
              </a:r>
              <a:r>
                <a:rPr lang="en-GB" sz="1100">
                  <a:solidFill>
                    <a:schemeClr val="dk1"/>
                  </a:solidFill>
                  <a:effectLst/>
                  <a:latin typeface="+mn-lt"/>
                  <a:ea typeface="+mn-ea"/>
                  <a:cs typeface="+mn-cs"/>
                </a:rPr>
                <a:t> - </a:t>
              </a:r>
              <a:r>
                <a:rPr lang="en-GB" sz="1100" i="1">
                  <a:solidFill>
                    <a:schemeClr val="dk1"/>
                  </a:solidFill>
                  <a:effectLst/>
                  <a:latin typeface="+mn-lt"/>
                  <a:ea typeface="+mn-ea"/>
                  <a:cs typeface="+mn-cs"/>
                </a:rPr>
                <a:t>V</a:t>
              </a:r>
              <a:r>
                <a:rPr lang="en-GB" sz="1100" baseline="-25000">
                  <a:solidFill>
                    <a:schemeClr val="dk1"/>
                  </a:solidFill>
                  <a:effectLst/>
                  <a:latin typeface="+mn-lt"/>
                  <a:ea typeface="+mn-ea"/>
                  <a:cs typeface="+mn-cs"/>
                </a:rPr>
                <a:t>s</a:t>
              </a:r>
              <a:r>
                <a:rPr lang="en-GB" sz="1100">
                  <a:solidFill>
                    <a:schemeClr val="dk1"/>
                  </a:solidFill>
                  <a:effectLst/>
                  <a:latin typeface="+mn-lt"/>
                  <a:ea typeface="+mn-ea"/>
                  <a:cs typeface="+mn-cs"/>
                </a:rPr>
                <a:t>) to the </a:t>
              </a:r>
              <a:r>
                <a:rPr lang="en-GB" sz="1100" i="1">
                  <a:solidFill>
                    <a:schemeClr val="dk1"/>
                  </a:solidFill>
                  <a:effectLst/>
                  <a:latin typeface="+mn-lt"/>
                  <a:ea typeface="+mn-ea"/>
                  <a:cs typeface="+mn-cs"/>
                </a:rPr>
                <a:t> </a:t>
              </a:r>
              <a:r>
                <a:rPr lang="en-GB" sz="1100">
                  <a:solidFill>
                    <a:schemeClr val="dk1"/>
                  </a:solidFill>
                  <a:effectLst/>
                  <a:latin typeface="+mn-lt"/>
                  <a:ea typeface="+mn-ea"/>
                  <a:cs typeface="+mn-cs"/>
                </a:rPr>
                <a:t>bulk volume </a:t>
              </a:r>
              <a:r>
                <a:rPr lang="en-GB" sz="1100" i="1">
                  <a:solidFill>
                    <a:schemeClr val="dk1"/>
                  </a:solidFill>
                  <a:effectLst/>
                  <a:latin typeface="+mn-lt"/>
                  <a:ea typeface="+mn-ea"/>
                  <a:cs typeface="+mn-cs"/>
                </a:rPr>
                <a:t>V</a:t>
              </a:r>
              <a:r>
                <a:rPr lang="en-GB" sz="1100">
                  <a:solidFill>
                    <a:schemeClr val="dk1"/>
                  </a:solidFill>
                  <a:effectLst/>
                  <a:latin typeface="+mn-lt"/>
                  <a:ea typeface="+mn-ea"/>
                  <a:cs typeface="+mn-cs"/>
                </a:rPr>
                <a:t> of the granular material and it is related to the void ratio </a:t>
              </a:r>
              <a:r>
                <a:rPr lang="en-GB" sz="1100" i="1">
                  <a:solidFill>
                    <a:schemeClr val="dk1"/>
                  </a:solidFill>
                  <a:effectLst/>
                  <a:latin typeface="+mn-lt"/>
                  <a:ea typeface="+mn-ea"/>
                  <a:cs typeface="+mn-cs"/>
                </a:rPr>
                <a:t>u</a:t>
              </a:r>
              <a:r>
                <a:rPr lang="en-GB" sz="1100">
                  <a:solidFill>
                    <a:schemeClr val="dk1"/>
                  </a:solidFill>
                  <a:effectLst/>
                  <a:latin typeface="+mn-lt"/>
                  <a:ea typeface="+mn-ea"/>
                  <a:cs typeface="+mn-cs"/>
                </a:rPr>
                <a:t>, </a:t>
              </a:r>
              <a:r>
                <a:rPr lang="en-AU" sz="1100">
                  <a:solidFill>
                    <a:schemeClr val="dk1"/>
                  </a:solidFill>
                  <a:effectLst/>
                  <a:latin typeface="+mn-lt"/>
                  <a:ea typeface="+mn-ea"/>
                  <a:cs typeface="+mn-cs"/>
                </a:rPr>
                <a:t>the ratio of the volume of voids to the solid volume </a:t>
              </a:r>
              <a:r>
                <a:rPr lang="en-GB" sz="1100" i="1">
                  <a:solidFill>
                    <a:schemeClr val="dk1"/>
                  </a:solidFill>
                  <a:effectLst/>
                  <a:latin typeface="+mn-lt"/>
                  <a:ea typeface="+mn-ea"/>
                  <a:cs typeface="+mn-cs"/>
                </a:rPr>
                <a:t>V</a:t>
              </a:r>
              <a:r>
                <a:rPr lang="en-GB" sz="1100" baseline="-25000">
                  <a:solidFill>
                    <a:schemeClr val="dk1"/>
                  </a:solidFill>
                  <a:effectLst/>
                  <a:latin typeface="+mn-lt"/>
                  <a:ea typeface="+mn-ea"/>
                  <a:cs typeface="+mn-cs"/>
                </a:rPr>
                <a:t>s</a:t>
              </a:r>
              <a:r>
                <a:rPr lang="en-GB" sz="1100">
                  <a:solidFill>
                    <a:schemeClr val="dk1"/>
                  </a:solidFill>
                  <a:effectLst/>
                  <a:latin typeface="+mn-lt"/>
                  <a:ea typeface="+mn-ea"/>
                  <a:cs typeface="+mn-cs"/>
                </a:rPr>
                <a:t> </a:t>
              </a:r>
              <a:r>
                <a:rPr lang="en-AU" sz="1100">
                  <a:solidFill>
                    <a:schemeClr val="dk1"/>
                  </a:solidFill>
                  <a:effectLst/>
                  <a:latin typeface="+mn-lt"/>
                  <a:ea typeface="+mn-ea"/>
                  <a:cs typeface="+mn-cs"/>
                </a:rPr>
                <a:t>of the granular material (Equation 1 </a:t>
              </a:r>
              <a:r>
                <a:rPr lang="en-GB" sz="1100">
                  <a:solidFill>
                    <a:schemeClr val="dk1"/>
                  </a:solidFill>
                  <a:effectLst/>
                  <a:latin typeface="+mn-lt"/>
                  <a:ea typeface="+mn-ea"/>
                  <a:cs typeface="+mn-cs"/>
                </a:rPr>
                <a:t>and </a:t>
              </a:r>
              <a:r>
                <a:rPr lang="en-AU" sz="1100">
                  <a:solidFill>
                    <a:schemeClr val="dk1"/>
                  </a:solidFill>
                  <a:effectLst/>
                  <a:latin typeface="+mn-lt"/>
                  <a:ea typeface="+mn-ea"/>
                  <a:cs typeface="+mn-cs"/>
                </a:rPr>
                <a:t>2</a:t>
              </a:r>
              <a:r>
                <a:rPr lang="en-GB" sz="1100">
                  <a:solidFill>
                    <a:schemeClr val="dk1"/>
                  </a:solidFill>
                  <a:effectLst/>
                  <a:latin typeface="+mn-lt"/>
                  <a:ea typeface="+mn-ea"/>
                  <a:cs typeface="+mn-cs"/>
                </a:rPr>
                <a:t>).</a:t>
              </a:r>
              <a:endParaRPr lang="en-ZA" sz="1100">
                <a:solidFill>
                  <a:schemeClr val="dk1"/>
                </a:solidFill>
                <a:effectLst/>
                <a:latin typeface="+mn-lt"/>
                <a:ea typeface="+mn-ea"/>
                <a:cs typeface="+mn-cs"/>
              </a:endParaRPr>
            </a:p>
            <a:p>
              <a:pPr algn="l"/>
              <a:r>
                <a:rPr lang="en-AU" sz="1100" i="0">
                  <a:solidFill>
                    <a:schemeClr val="dk1"/>
                  </a:solidFill>
                  <a:effectLst/>
                  <a:latin typeface="Cambria Math" panose="02040503050406030204" pitchFamily="18" charset="0"/>
                  <a:ea typeface="+mn-ea"/>
                  <a:cs typeface="+mn-cs"/>
                </a:rPr>
                <a:t>"u=</a:t>
              </a:r>
              <a:r>
                <a:rPr lang="en-ZA" sz="1100" i="0">
                  <a:solidFill>
                    <a:schemeClr val="dk1"/>
                  </a:solidFill>
                  <a:effectLst/>
                  <a:latin typeface="+mn-lt"/>
                  <a:ea typeface="+mn-ea"/>
                  <a:cs typeface="+mn-cs"/>
                </a:rPr>
                <a:t>" </a:t>
              </a:r>
              <a:r>
                <a:rPr lang="en-AU" sz="1100" i="0">
                  <a:solidFill>
                    <a:schemeClr val="dk1"/>
                  </a:solidFill>
                  <a:effectLst/>
                  <a:latin typeface="+mn-lt"/>
                  <a:ea typeface="+mn-ea"/>
                  <a:cs typeface="+mn-cs"/>
                </a:rPr>
                <a:t> "1− ø" </a:t>
              </a:r>
              <a:r>
                <a:rPr lang="en-ZA" sz="1100" i="0">
                  <a:solidFill>
                    <a:schemeClr val="dk1"/>
                  </a:solidFill>
                  <a:effectLst/>
                  <a:latin typeface="+mn-lt"/>
                  <a:ea typeface="+mn-ea"/>
                  <a:cs typeface="+mn-cs"/>
                </a:rPr>
                <a:t>/</a:t>
              </a:r>
              <a:r>
                <a:rPr lang="en-AU" sz="1100" i="0">
                  <a:solidFill>
                    <a:schemeClr val="dk1"/>
                  </a:solidFill>
                  <a:effectLst/>
                  <a:latin typeface="+mn-lt"/>
                  <a:ea typeface="+mn-ea"/>
                  <a:cs typeface="+mn-cs"/>
                </a:rPr>
                <a:t>"ø"   </a:t>
              </a:r>
              <a:r>
                <a:rPr lang="en-ZA" sz="1100" b="0" i="0">
                  <a:solidFill>
                    <a:schemeClr val="dk1"/>
                  </a:solidFill>
                  <a:effectLst/>
                  <a:latin typeface="Cambria Math" panose="02040503050406030204" pitchFamily="18" charset="0"/>
                  <a:ea typeface="+mn-ea"/>
                  <a:cs typeface="+mn-cs"/>
                </a:rPr>
                <a:t>         </a:t>
              </a:r>
              <a:r>
                <a:rPr lang="en-AU" sz="1100">
                  <a:solidFill>
                    <a:schemeClr val="dk1"/>
                  </a:solidFill>
                  <a:effectLst/>
                  <a:latin typeface="+mn-lt"/>
                  <a:ea typeface="+mn-ea"/>
                  <a:cs typeface="+mn-cs"/>
                </a:rPr>
                <a:t>(1)</a:t>
              </a:r>
              <a:endParaRPr lang="en-ZA" sz="1100">
                <a:solidFill>
                  <a:schemeClr val="dk1"/>
                </a:solidFill>
                <a:effectLst/>
                <a:latin typeface="+mn-lt"/>
                <a:ea typeface="+mn-ea"/>
                <a:cs typeface="+mn-cs"/>
              </a:endParaRPr>
            </a:p>
            <a:p>
              <a:r>
                <a:rPr lang="en-AU"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GB" sz="1100">
                  <a:solidFill>
                    <a:schemeClr val="dk1"/>
                  </a:solidFill>
                  <a:effectLst/>
                  <a:ea typeface="+mn-ea"/>
                  <a:cs typeface="+mn-cs"/>
                </a:rPr>
                <a:t> </a:t>
              </a:r>
              <a:r>
                <a:rPr lang="en-GB" sz="1100" i="0">
                  <a:solidFill>
                    <a:schemeClr val="dk1"/>
                  </a:solidFill>
                  <a:effectLst/>
                  <a:latin typeface="Cambria Math" panose="02040503050406030204" pitchFamily="18" charset="0"/>
                  <a:ea typeface="+mn-ea"/>
                  <a:cs typeface="+mn-cs"/>
                </a:rPr>
                <a:t>"ɛ</a:t>
              </a:r>
              <a:r>
                <a:rPr lang="en-AU" sz="1100" i="0">
                  <a:solidFill>
                    <a:schemeClr val="dk1"/>
                  </a:solidFill>
                  <a:effectLst/>
                  <a:latin typeface="Cambria Math" panose="02040503050406030204" pitchFamily="18" charset="0"/>
                  <a:ea typeface="+mn-ea"/>
                  <a:cs typeface="+mn-cs"/>
                </a:rPr>
                <a:t>=</a:t>
              </a:r>
              <a:r>
                <a:rPr lang="en-ZA" sz="1100" i="0">
                  <a:solidFill>
                    <a:schemeClr val="dk1"/>
                  </a:solidFill>
                  <a:effectLst/>
                  <a:latin typeface="+mn-lt"/>
                  <a:ea typeface="+mn-ea"/>
                  <a:cs typeface="+mn-cs"/>
                </a:rPr>
                <a:t>"  ((</a:t>
              </a:r>
              <a:r>
                <a:rPr lang="en-AU" sz="1100" i="0">
                  <a:solidFill>
                    <a:schemeClr val="dk1"/>
                  </a:solidFill>
                  <a:effectLst/>
                  <a:latin typeface="+mn-lt"/>
                  <a:ea typeface="+mn-ea"/>
                  <a:cs typeface="+mn-cs"/>
                </a:rPr>
                <a:t>"V−</a:t>
              </a:r>
              <a:r>
                <a:rPr lang="en-ZA" sz="1100" i="0">
                  <a:solidFill>
                    <a:schemeClr val="dk1"/>
                  </a:solidFill>
                  <a:effectLst/>
                  <a:latin typeface="+mn-lt"/>
                  <a:ea typeface="+mn-ea"/>
                  <a:cs typeface="+mn-cs"/>
                </a:rPr>
                <a:t>" </a:t>
              </a:r>
              <a:r>
                <a:rPr lang="en-AU" sz="1100" i="0">
                  <a:solidFill>
                    <a:schemeClr val="dk1"/>
                  </a:solidFill>
                  <a:effectLst/>
                  <a:latin typeface="+mn-lt"/>
                  <a:ea typeface="+mn-ea"/>
                  <a:cs typeface="+mn-cs"/>
                </a:rPr>
                <a:t>"V" </a:t>
              </a:r>
              <a:r>
                <a:rPr lang="en-ZA" sz="1100" i="0">
                  <a:solidFill>
                    <a:schemeClr val="dk1"/>
                  </a:solidFill>
                  <a:effectLst/>
                  <a:latin typeface="+mn-lt"/>
                  <a:ea typeface="+mn-ea"/>
                  <a:cs typeface="+mn-cs"/>
                </a:rPr>
                <a:t>_</a:t>
              </a:r>
              <a:r>
                <a:rPr lang="en-AU" sz="1100" i="0">
                  <a:solidFill>
                    <a:schemeClr val="dk1"/>
                  </a:solidFill>
                  <a:effectLst/>
                  <a:latin typeface="+mn-lt"/>
                  <a:ea typeface="+mn-ea"/>
                  <a:cs typeface="+mn-cs"/>
                </a:rPr>
                <a:t>"s"  )</a:t>
              </a:r>
              <a:r>
                <a:rPr lang="en-ZA" sz="1100" i="0">
                  <a:solidFill>
                    <a:schemeClr val="dk1"/>
                  </a:solidFill>
                  <a:effectLst/>
                  <a:latin typeface="+mn-lt"/>
                  <a:ea typeface="+mn-ea"/>
                  <a:cs typeface="+mn-cs"/>
                </a:rPr>
                <a:t>)/</a:t>
              </a:r>
              <a:r>
                <a:rPr lang="en-AU" sz="1100" i="0">
                  <a:solidFill>
                    <a:schemeClr val="dk1"/>
                  </a:solidFill>
                  <a:effectLst/>
                  <a:latin typeface="+mn-lt"/>
                  <a:ea typeface="+mn-ea"/>
                  <a:cs typeface="+mn-cs"/>
                </a:rPr>
                <a:t>"V"  </a:t>
              </a:r>
              <a:r>
                <a:rPr lang="en-AU" sz="1100" i="0">
                  <a:solidFill>
                    <a:schemeClr val="dk1"/>
                  </a:solidFill>
                  <a:effectLst/>
                  <a:latin typeface="Cambria Math" panose="02040503050406030204" pitchFamily="18" charset="0"/>
                  <a:ea typeface="+mn-ea"/>
                  <a:cs typeface="+mn-cs"/>
                </a:rPr>
                <a:t>"=</a:t>
              </a:r>
              <a:r>
                <a:rPr lang="en-ZA" sz="1100" i="0">
                  <a:solidFill>
                    <a:schemeClr val="dk1"/>
                  </a:solidFill>
                  <a:effectLst/>
                  <a:latin typeface="+mn-lt"/>
                  <a:ea typeface="+mn-ea"/>
                  <a:cs typeface="+mn-cs"/>
                </a:rPr>
                <a:t>" </a:t>
              </a:r>
              <a:r>
                <a:rPr lang="en-AU" sz="1100" i="0">
                  <a:solidFill>
                    <a:schemeClr val="dk1"/>
                  </a:solidFill>
                  <a:effectLst/>
                  <a:latin typeface="+mn-lt"/>
                  <a:ea typeface="+mn-ea"/>
                  <a:cs typeface="+mn-cs"/>
                </a:rPr>
                <a:t> "u" </a:t>
              </a:r>
              <a:r>
                <a:rPr lang="en-ZA" sz="1100" i="0">
                  <a:solidFill>
                    <a:schemeClr val="dk1"/>
                  </a:solidFill>
                  <a:effectLst/>
                  <a:latin typeface="+mn-lt"/>
                  <a:ea typeface="+mn-ea"/>
                  <a:cs typeface="+mn-cs"/>
                </a:rPr>
                <a:t>/</a:t>
              </a:r>
              <a:r>
                <a:rPr lang="en-AU" sz="1100" i="0">
                  <a:solidFill>
                    <a:schemeClr val="dk1"/>
                  </a:solidFill>
                  <a:effectLst/>
                  <a:latin typeface="+mn-lt"/>
                  <a:ea typeface="+mn-ea"/>
                  <a:cs typeface="+mn-cs"/>
                </a:rPr>
                <a:t>"1+u"  </a:t>
              </a:r>
              <a:r>
                <a:rPr lang="en-AU" sz="1100" i="0">
                  <a:solidFill>
                    <a:schemeClr val="dk1"/>
                  </a:solidFill>
                  <a:effectLst/>
                  <a:latin typeface="Cambria Math" panose="02040503050406030204" pitchFamily="18" charset="0"/>
                  <a:ea typeface="+mn-ea"/>
                  <a:cs typeface="+mn-cs"/>
                </a:rPr>
                <a:t>" </a:t>
              </a:r>
              <a:r>
                <a:rPr lang="en-ZA" sz="1100" i="0">
                  <a:solidFill>
                    <a:schemeClr val="dk1"/>
                  </a:solidFill>
                  <a:effectLst/>
                  <a:latin typeface="+mn-lt"/>
                  <a:ea typeface="+mn-ea"/>
                  <a:cs typeface="+mn-cs"/>
                </a:rPr>
                <a:t>"</a:t>
              </a:r>
              <a:r>
                <a:rPr lang="en-AU" sz="1100">
                  <a:solidFill>
                    <a:schemeClr val="dk1"/>
                  </a:solidFill>
                  <a:effectLst/>
                  <a:latin typeface="+mn-lt"/>
                  <a:ea typeface="+mn-ea"/>
                  <a:cs typeface="+mn-cs"/>
                </a:rPr>
                <a:t>  (2)</a:t>
              </a:r>
              <a:endParaRPr lang="en-ZA" sz="1100">
                <a:solidFill>
                  <a:schemeClr val="dk1"/>
                </a:solidFill>
                <a:effectLst/>
                <a:latin typeface="+mn-lt"/>
                <a:ea typeface="+mn-ea"/>
                <a:cs typeface="+mn-cs"/>
              </a:endParaRPr>
            </a:p>
            <a:p>
              <a:r>
                <a:rPr lang="en-AU"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AU" sz="1100">
                  <a:solidFill>
                    <a:schemeClr val="dk1"/>
                  </a:solidFill>
                  <a:effectLst/>
                  <a:latin typeface="+mn-lt"/>
                  <a:ea typeface="+mn-ea"/>
                  <a:cs typeface="+mn-cs"/>
                </a:rPr>
                <a:t>where </a:t>
              </a:r>
              <a:r>
                <a:rPr lang="en-AU" sz="1100" i="0">
                  <a:solidFill>
                    <a:schemeClr val="dk1"/>
                  </a:solidFill>
                  <a:effectLst/>
                  <a:latin typeface="+mn-lt"/>
                  <a:ea typeface="+mn-ea"/>
                  <a:cs typeface="+mn-cs"/>
                </a:rPr>
                <a:t>ø</a:t>
              </a:r>
              <a:r>
                <a:rPr lang="en-AU" sz="1100">
                  <a:solidFill>
                    <a:schemeClr val="dk1"/>
                  </a:solidFill>
                  <a:effectLst/>
                  <a:latin typeface="+mn-lt"/>
                  <a:ea typeface="+mn-ea"/>
                  <a:cs typeface="+mn-cs"/>
                </a:rPr>
                <a:t> = </a:t>
              </a:r>
              <a:r>
                <a:rPr lang="en-AU" sz="1100" i="1">
                  <a:solidFill>
                    <a:schemeClr val="dk1"/>
                  </a:solidFill>
                  <a:effectLst/>
                  <a:latin typeface="+mn-lt"/>
                  <a:ea typeface="+mn-ea"/>
                  <a:cs typeface="+mn-cs"/>
                </a:rPr>
                <a:t>V</a:t>
              </a:r>
              <a:r>
                <a:rPr lang="en-AU" sz="1100" baseline="-25000">
                  <a:solidFill>
                    <a:schemeClr val="dk1"/>
                  </a:solidFill>
                  <a:effectLst/>
                  <a:latin typeface="+mn-lt"/>
                  <a:ea typeface="+mn-ea"/>
                  <a:cs typeface="+mn-cs"/>
                </a:rPr>
                <a:t>s</a:t>
              </a:r>
              <a:r>
                <a:rPr lang="en-AU" sz="1100">
                  <a:solidFill>
                    <a:schemeClr val="dk1"/>
                  </a:solidFill>
                  <a:effectLst/>
                  <a:latin typeface="+mn-lt"/>
                  <a:ea typeface="+mn-ea"/>
                  <a:cs typeface="+mn-cs"/>
                </a:rPr>
                <a:t>/</a:t>
              </a:r>
              <a:r>
                <a:rPr lang="en-AU" sz="1100" i="1">
                  <a:solidFill>
                    <a:schemeClr val="dk1"/>
                  </a:solidFill>
                  <a:effectLst/>
                  <a:latin typeface="+mn-lt"/>
                  <a:ea typeface="+mn-ea"/>
                  <a:cs typeface="+mn-cs"/>
                </a:rPr>
                <a:t>V</a:t>
              </a:r>
              <a:r>
                <a:rPr lang="en-AU" sz="1100">
                  <a:solidFill>
                    <a:schemeClr val="dk1"/>
                  </a:solidFill>
                  <a:effectLst/>
                  <a:latin typeface="+mn-lt"/>
                  <a:ea typeface="+mn-ea"/>
                  <a:cs typeface="+mn-cs"/>
                </a:rPr>
                <a:t>.  In this investigation, the packing density ø is evaluated either on a dry or wet basis. In a mixture of  water (</a:t>
              </a:r>
              <a:r>
                <a:rPr lang="en-AU" sz="1100" i="1">
                  <a:solidFill>
                    <a:schemeClr val="dk1"/>
                  </a:solidFill>
                  <a:effectLst/>
                  <a:latin typeface="+mn-lt"/>
                  <a:ea typeface="+mn-ea"/>
                  <a:cs typeface="+mn-cs"/>
                </a:rPr>
                <a:t>W</a:t>
              </a:r>
              <a:r>
                <a:rPr lang="en-AU" sz="1100">
                  <a:solidFill>
                    <a:schemeClr val="dk1"/>
                  </a:solidFill>
                  <a:effectLst/>
                  <a:latin typeface="+mn-lt"/>
                  <a:ea typeface="+mn-ea"/>
                  <a:cs typeface="+mn-cs"/>
                </a:rPr>
                <a:t>) and solid particles (</a:t>
              </a:r>
              <a:r>
                <a:rPr lang="en-AU" sz="1100" i="1">
                  <a:solidFill>
                    <a:schemeClr val="dk1"/>
                  </a:solidFill>
                  <a:effectLst/>
                  <a:latin typeface="+mn-lt"/>
                  <a:ea typeface="+mn-ea"/>
                  <a:cs typeface="+mn-cs"/>
                </a:rPr>
                <a:t>S</a:t>
              </a:r>
              <a:r>
                <a:rPr lang="en-AU" sz="1100">
                  <a:solidFill>
                    <a:schemeClr val="dk1"/>
                  </a:solidFill>
                  <a:effectLst/>
                  <a:latin typeface="+mn-lt"/>
                  <a:ea typeface="+mn-ea"/>
                  <a:cs typeface="+mn-cs"/>
                </a:rPr>
                <a:t>), the </a:t>
              </a:r>
              <a:r>
                <a:rPr lang="en-AU" sz="1100" i="1">
                  <a:solidFill>
                    <a:schemeClr val="dk1"/>
                  </a:solidFill>
                  <a:effectLst/>
                  <a:latin typeface="+mn-lt"/>
                  <a:ea typeface="+mn-ea"/>
                  <a:cs typeface="+mn-cs"/>
                </a:rPr>
                <a:t>W</a:t>
              </a:r>
              <a:r>
                <a:rPr lang="en-AU" sz="1100">
                  <a:solidFill>
                    <a:schemeClr val="dk1"/>
                  </a:solidFill>
                  <a:effectLst/>
                  <a:latin typeface="+mn-lt"/>
                  <a:ea typeface="+mn-ea"/>
                  <a:cs typeface="+mn-cs"/>
                </a:rPr>
                <a:t>/</a:t>
              </a:r>
              <a:r>
                <a:rPr lang="en-AU" sz="1100" i="1">
                  <a:solidFill>
                    <a:schemeClr val="dk1"/>
                  </a:solidFill>
                  <a:effectLst/>
                  <a:latin typeface="+mn-lt"/>
                  <a:ea typeface="+mn-ea"/>
                  <a:cs typeface="+mn-cs"/>
                </a:rPr>
                <a:t>S</a:t>
              </a:r>
              <a:r>
                <a:rPr lang="en-AU" sz="1100">
                  <a:solidFill>
                    <a:schemeClr val="dk1"/>
                  </a:solidFill>
                  <a:effectLst/>
                  <a:latin typeface="+mn-lt"/>
                  <a:ea typeface="+mn-ea"/>
                  <a:cs typeface="+mn-cs"/>
                </a:rPr>
                <a:t> ratio by volume determines the concentration of solid particles in the mixture (Li and Kwan, 2014). </a:t>
              </a:r>
              <a:endParaRPr lang="en-ZA" sz="1100" b="1">
                <a:solidFill>
                  <a:schemeClr val="dk1"/>
                </a:solidFill>
                <a:effectLst/>
                <a:latin typeface="+mn-lt"/>
                <a:ea typeface="+mn-ea"/>
                <a:cs typeface="+mn-cs"/>
              </a:endParaRPr>
            </a:p>
            <a:p>
              <a:endParaRPr lang="en-ZA" sz="1100" b="1">
                <a:solidFill>
                  <a:schemeClr val="dk1"/>
                </a:solidFill>
                <a:effectLst/>
                <a:latin typeface="+mn-lt"/>
                <a:ea typeface="+mn-ea"/>
                <a:cs typeface="+mn-cs"/>
              </a:endParaRPr>
            </a:p>
            <a:p>
              <a:r>
                <a:rPr lang="en-ZA" sz="1100" b="1">
                  <a:solidFill>
                    <a:schemeClr val="dk1"/>
                  </a:solidFill>
                  <a:effectLst/>
                  <a:latin typeface="+mn-lt"/>
                  <a:ea typeface="+mn-ea"/>
                  <a:cs typeface="+mn-cs"/>
                </a:rPr>
                <a:t>Dry packing density tests</a:t>
              </a:r>
            </a:p>
            <a:p>
              <a:r>
                <a:rPr lang="en-ZA" sz="1100">
                  <a:solidFill>
                    <a:schemeClr val="dk1"/>
                  </a:solidFill>
                  <a:effectLst/>
                  <a:latin typeface="+mn-lt"/>
                  <a:ea typeface="+mn-ea"/>
                  <a:cs typeface="+mn-cs"/>
                </a:rPr>
                <a:t> </a:t>
              </a:r>
            </a:p>
            <a:p>
              <a:r>
                <a:rPr lang="en-GB" sz="1100">
                  <a:solidFill>
                    <a:schemeClr val="dk1"/>
                  </a:solidFill>
                  <a:effectLst/>
                  <a:latin typeface="+mn-lt"/>
                  <a:ea typeface="+mn-ea"/>
                  <a:cs typeface="+mn-cs"/>
                </a:rPr>
                <a:t>For the dry packing density tests, a cylindrical PVC mould with an aspect ratio of 1 (H = 190 mm, </a:t>
              </a:r>
              <a:r>
                <a:rPr lang="en-GB" sz="1100" i="1">
                  <a:solidFill>
                    <a:schemeClr val="dk1"/>
                  </a:solidFill>
                  <a:effectLst/>
                  <a:latin typeface="+mn-lt"/>
                  <a:ea typeface="+mn-ea"/>
                  <a:cs typeface="+mn-cs"/>
                </a:rPr>
                <a:t>V</a:t>
              </a:r>
              <a:r>
                <a:rPr lang="en-GB" sz="1100">
                  <a:solidFill>
                    <a:schemeClr val="dk1"/>
                  </a:solidFill>
                  <a:effectLst/>
                  <a:latin typeface="+mn-lt"/>
                  <a:ea typeface="+mn-ea"/>
                  <a:cs typeface="+mn-cs"/>
                </a:rPr>
                <a:t> = 5.36 L) was used and calibrated (ASTM:C29/C29M-09, 2009). Two sample packing protocols were practiced. In the assisted packing method, the PVC mould was initially filled partway to one third of its capacity with dry sample and manually levelled. Thereafter, to facilitate settling of the introduced particles, rodding was applied to each layer with a steel rod. The vessel was then further filled to two thirds full and the rodding procedure was repeated. Finally, the mould was filled to overflow, and the rodding procedure was once again applied. The surface of the packed vessel was levelled to limit any projections that exceeded the mould surface. </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In the unassisted packing approach, the PVC mould was filled with dry sample to overflow from a height not exceeding 50 mm above the top surface of the mould. Caution was taken to avoid segregation of the particles when introducing the waste ore to the vessel. The packed sample was thereafter levelled as outlined in the assisted packing approach. In each of these packing procedures, the mass of the packed sample was determined by measuring the weight to the nearest 0.005 kg.</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GB" sz="1100" b="1">
                  <a:solidFill>
                    <a:schemeClr val="dk1"/>
                  </a:solidFill>
                  <a:effectLst/>
                  <a:latin typeface="+mn-lt"/>
                  <a:ea typeface="+mn-ea"/>
                  <a:cs typeface="+mn-cs"/>
                </a:rPr>
                <a:t>Wet packing density tests</a:t>
              </a:r>
              <a:endParaRPr lang="en-ZA" sz="1100" b="1">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In the wet packing method, the approach refined by Wong and Kwan (2008) was used to measure the packing density of  coal waste rock and fine waste blends. The co-mingled samples were initially mixed with pre-defined quantities of water in successive batches to ensure homogeneity in the mixture (Clayton et al., 2003). The co-mingled slurry was then introduced into the PVC mould using the unassisted packing procedure prior to the packing density being assessed. </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GB" sz="1100" b="1">
                  <a:solidFill>
                    <a:schemeClr val="dk1"/>
                  </a:solidFill>
                  <a:effectLst/>
                  <a:latin typeface="+mn-lt"/>
                  <a:ea typeface="+mn-ea"/>
                  <a:cs typeface="+mn-cs"/>
                </a:rPr>
                <a:t>Slump tests</a:t>
              </a:r>
              <a:endParaRPr lang="en-ZA" sz="1100" b="1">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The consistency of each mixed dry sample was monitored using a modified slump testing procedure (ASTM Committee C09.47, 2009; Clayton et al., 2003). Well-mixed samples were placed into the PVC mould which was open on both ends and maintained upright on a flat surface during the packing process. Assisted and unassisted packing protocols were used as comparison in each of these tests. For the slump test, the PVC mould was raised vertically 210 mm in 4 seconds avoiding any lateral or torsional dispersion of the packed contents. Upon release from the mould, the sample was allowed to flow freely until it gradually settled. Thereafter, the diameters of the sample heap were measured in orthogonal directions. These measurements constituted the average spread of the packed ore while the slump height </a:t>
              </a:r>
              <a:r>
                <a:rPr lang="en-GB" sz="1100" i="1">
                  <a:solidFill>
                    <a:schemeClr val="dk1"/>
                  </a:solidFill>
                  <a:effectLst/>
                  <a:latin typeface="+mn-lt"/>
                  <a:ea typeface="+mn-ea"/>
                  <a:cs typeface="+mn-cs"/>
                </a:rPr>
                <a:t>H</a:t>
              </a:r>
              <a:r>
                <a:rPr lang="en-GB" sz="1100">
                  <a:solidFill>
                    <a:schemeClr val="dk1"/>
                  </a:solidFill>
                  <a:effectLst/>
                  <a:latin typeface="+mn-lt"/>
                  <a:ea typeface="+mn-ea"/>
                  <a:cs typeface="+mn-cs"/>
                </a:rPr>
                <a:t> was determined from the difference of the mould internal height (</a:t>
              </a:r>
              <a:r>
                <a:rPr lang="en-GB" sz="1100" i="1">
                  <a:solidFill>
                    <a:schemeClr val="dk1"/>
                  </a:solidFill>
                  <a:effectLst/>
                  <a:latin typeface="+mn-lt"/>
                  <a:ea typeface="+mn-ea"/>
                  <a:cs typeface="+mn-cs"/>
                </a:rPr>
                <a:t>H</a:t>
              </a:r>
              <a:r>
                <a:rPr lang="en-GB" sz="1100" baseline="-25000">
                  <a:solidFill>
                    <a:schemeClr val="dk1"/>
                  </a:solidFill>
                  <a:effectLst/>
                  <a:latin typeface="+mn-lt"/>
                  <a:ea typeface="+mn-ea"/>
                  <a:cs typeface="+mn-cs"/>
                </a:rPr>
                <a:t>mould</a:t>
              </a:r>
              <a:r>
                <a:rPr lang="en-GB" sz="1100">
                  <a:solidFill>
                    <a:schemeClr val="dk1"/>
                  </a:solidFill>
                  <a:effectLst/>
                  <a:latin typeface="+mn-lt"/>
                  <a:ea typeface="+mn-ea"/>
                  <a:cs typeface="+mn-cs"/>
                </a:rPr>
                <a:t>) and the midpoint apex of the heap (</a:t>
              </a:r>
              <a:r>
                <a:rPr lang="en-GB" sz="1100" i="1">
                  <a:solidFill>
                    <a:schemeClr val="dk1"/>
                  </a:solidFill>
                  <a:effectLst/>
                  <a:latin typeface="+mn-lt"/>
                  <a:ea typeface="+mn-ea"/>
                  <a:cs typeface="+mn-cs"/>
                </a:rPr>
                <a:t>H</a:t>
              </a:r>
              <a:r>
                <a:rPr lang="en-GB" sz="1100" baseline="-25000">
                  <a:solidFill>
                    <a:schemeClr val="dk1"/>
                  </a:solidFill>
                  <a:effectLst/>
                  <a:latin typeface="+mn-lt"/>
                  <a:ea typeface="+mn-ea"/>
                  <a:cs typeface="+mn-cs"/>
                </a:rPr>
                <a:t>heap</a:t>
              </a:r>
              <a:r>
                <a:rPr lang="en-GB" sz="1100">
                  <a:solidFill>
                    <a:schemeClr val="dk1"/>
                  </a:solidFill>
                  <a:effectLst/>
                  <a:latin typeface="+mn-lt"/>
                  <a:ea typeface="+mn-ea"/>
                  <a:cs typeface="+mn-cs"/>
                </a:rPr>
                <a:t>) after settlement.</a:t>
              </a:r>
              <a:endParaRPr lang="en-ZA" sz="1100">
                <a:solidFill>
                  <a:schemeClr val="dk1"/>
                </a:solidFill>
                <a:effectLst/>
                <a:latin typeface="+mn-lt"/>
                <a:ea typeface="+mn-ea"/>
                <a:cs typeface="+mn-cs"/>
              </a:endParaRPr>
            </a:p>
            <a:p>
              <a:r>
                <a:rPr lang="en-GB" sz="1100">
                  <a:solidFill>
                    <a:schemeClr val="dk1"/>
                  </a:solidFill>
                  <a:effectLst/>
                  <a:latin typeface="+mn-lt"/>
                  <a:ea typeface="+mn-ea"/>
                  <a:cs typeface="+mn-cs"/>
                </a:rPr>
                <a:t>For the wet sample tests, the</a:t>
              </a:r>
              <a:r>
                <a:rPr lang="en-GB" sz="1100" b="1">
                  <a:solidFill>
                    <a:schemeClr val="dk1"/>
                  </a:solidFill>
                  <a:effectLst/>
                  <a:latin typeface="+mn-lt"/>
                  <a:ea typeface="+mn-ea"/>
                  <a:cs typeface="+mn-cs"/>
                </a:rPr>
                <a:t> </a:t>
              </a:r>
              <a:r>
                <a:rPr lang="en-AU" sz="1100">
                  <a:solidFill>
                    <a:schemeClr val="dk1"/>
                  </a:solidFill>
                  <a:effectLst/>
                  <a:latin typeface="+mn-lt"/>
                  <a:ea typeface="+mn-ea"/>
                  <a:cs typeface="+mn-cs"/>
                </a:rPr>
                <a:t>slump flow test developed by Pashias et al. (1996) was used to assess the consistency of the samples. As with the dry applications, the PVC mould was filled with a wet sample to overfill. The top of the mould was then smoothed over and then lifted slowly and evenly to ensure minimal disturbance upon release. The slump height of each sample was measured four times and the average value was taken as the final slump (Clayton et al., 2003). The diameter of the slumped sample was measured in two perpendicular directions in accordance with standard protocols and averaged to give the mean spread (ASTM Committee C09.47, 2009). Both slump and spread were measured to the nearest 1 mm. </a:t>
              </a:r>
              <a:endParaRPr lang="en-ZA" sz="1100">
                <a:solidFill>
                  <a:schemeClr val="dk1"/>
                </a:solidFill>
                <a:effectLst/>
                <a:latin typeface="+mn-lt"/>
                <a:ea typeface="+mn-ea"/>
                <a:cs typeface="+mn-cs"/>
              </a:endParaRPr>
            </a:p>
            <a:p>
              <a:endParaRPr lang="en-ZA" sz="1100"/>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578924</xdr:colOff>
      <xdr:row>2</xdr:row>
      <xdr:rowOff>34637</xdr:rowOff>
    </xdr:from>
    <xdr:to>
      <xdr:col>15</xdr:col>
      <xdr:colOff>503467</xdr:colOff>
      <xdr:row>27</xdr:row>
      <xdr:rowOff>143493</xdr:rowOff>
    </xdr:to>
    <xdr:graphicFrame macro="">
      <xdr:nvGraphicFramePr>
        <xdr:cNvPr id="4" name="Chart 3">
          <a:extLst>
            <a:ext uri="{FF2B5EF4-FFF2-40B4-BE49-F238E27FC236}">
              <a16:creationId xmlns:a16="http://schemas.microsoft.com/office/drawing/2014/main" id="{77B7B578-9700-4173-BAAB-D38B1642E9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202406</xdr:colOff>
      <xdr:row>3</xdr:row>
      <xdr:rowOff>54236</xdr:rowOff>
    </xdr:from>
    <xdr:to>
      <xdr:col>8</xdr:col>
      <xdr:colOff>561976</xdr:colOff>
      <xdr:row>19</xdr:row>
      <xdr:rowOff>55111</xdr:rowOff>
    </xdr:to>
    <xdr:graphicFrame macro="">
      <xdr:nvGraphicFramePr>
        <xdr:cNvPr id="7" name="Chart 6">
          <a:extLst>
            <a:ext uri="{FF2B5EF4-FFF2-40B4-BE49-F238E27FC236}">
              <a16:creationId xmlns:a16="http://schemas.microsoft.com/office/drawing/2014/main" id="{7111E9D9-AAD6-4772-A418-0A3C7787127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238125</xdr:colOff>
      <xdr:row>21</xdr:row>
      <xdr:rowOff>1</xdr:rowOff>
    </xdr:from>
    <xdr:to>
      <xdr:col>8</xdr:col>
      <xdr:colOff>523875</xdr:colOff>
      <xdr:row>38</xdr:row>
      <xdr:rowOff>357188</xdr:rowOff>
    </xdr:to>
    <xdr:graphicFrame macro="">
      <xdr:nvGraphicFramePr>
        <xdr:cNvPr id="10" name="Chart 9">
          <a:extLst>
            <a:ext uri="{FF2B5EF4-FFF2-40B4-BE49-F238E27FC236}">
              <a16:creationId xmlns:a16="http://schemas.microsoft.com/office/drawing/2014/main" id="{2BA8AC94-8F31-4978-9865-A757214682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166687</xdr:colOff>
      <xdr:row>38</xdr:row>
      <xdr:rowOff>500062</xdr:rowOff>
    </xdr:from>
    <xdr:to>
      <xdr:col>8</xdr:col>
      <xdr:colOff>533136</xdr:colOff>
      <xdr:row>58</xdr:row>
      <xdr:rowOff>15876</xdr:rowOff>
    </xdr:to>
    <xdr:graphicFrame macro="">
      <xdr:nvGraphicFramePr>
        <xdr:cNvPr id="14" name="Chart 13">
          <a:extLst>
            <a:ext uri="{FF2B5EF4-FFF2-40B4-BE49-F238E27FC236}">
              <a16:creationId xmlns:a16="http://schemas.microsoft.com/office/drawing/2014/main" id="{145C0687-C5B2-457D-872F-6C989972EC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404812</xdr:colOff>
      <xdr:row>59</xdr:row>
      <xdr:rowOff>119063</xdr:rowOff>
    </xdr:from>
    <xdr:to>
      <xdr:col>8</xdr:col>
      <xdr:colOff>588695</xdr:colOff>
      <xdr:row>81</xdr:row>
      <xdr:rowOff>14289</xdr:rowOff>
    </xdr:to>
    <xdr:graphicFrame macro="">
      <xdr:nvGraphicFramePr>
        <xdr:cNvPr id="15" name="Chart 14">
          <a:extLst>
            <a:ext uri="{FF2B5EF4-FFF2-40B4-BE49-F238E27FC236}">
              <a16:creationId xmlns:a16="http://schemas.microsoft.com/office/drawing/2014/main" id="{F2E08FFD-9972-4D41-9FB3-B365DBA7D9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82</xdr:row>
      <xdr:rowOff>95251</xdr:rowOff>
    </xdr:from>
    <xdr:to>
      <xdr:col>8</xdr:col>
      <xdr:colOff>542397</xdr:colOff>
      <xdr:row>104</xdr:row>
      <xdr:rowOff>7939</xdr:rowOff>
    </xdr:to>
    <xdr:graphicFrame macro="">
      <xdr:nvGraphicFramePr>
        <xdr:cNvPr id="16" name="Chart 15">
          <a:extLst>
            <a:ext uri="{FF2B5EF4-FFF2-40B4-BE49-F238E27FC236}">
              <a16:creationId xmlns:a16="http://schemas.microsoft.com/office/drawing/2014/main" id="{580F077B-50D3-4D9B-BBA6-8A9031C9C1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EB1E05-5FC1-4D3A-8264-CB245402196C}">
  <dimension ref="A1:U6"/>
  <sheetViews>
    <sheetView workbookViewId="0">
      <selection activeCell="D13" sqref="D13"/>
    </sheetView>
  </sheetViews>
  <sheetFormatPr defaultRowHeight="15" x14ac:dyDescent="0.25"/>
  <sheetData>
    <row r="1" spans="1:21" ht="18.75" x14ac:dyDescent="0.3">
      <c r="A1" s="67" t="s">
        <v>45</v>
      </c>
      <c r="B1" s="67"/>
      <c r="C1" s="67"/>
      <c r="D1" s="67"/>
      <c r="E1" s="67"/>
      <c r="F1" s="67"/>
      <c r="G1" s="67"/>
      <c r="H1" s="67"/>
      <c r="I1" s="67"/>
      <c r="J1" s="67"/>
      <c r="K1" s="67"/>
      <c r="L1" s="67"/>
      <c r="M1" s="67"/>
      <c r="N1" s="67"/>
      <c r="O1" s="67"/>
      <c r="P1" s="67"/>
      <c r="Q1" s="67"/>
      <c r="R1" s="67"/>
      <c r="S1" s="67"/>
      <c r="T1" s="67"/>
      <c r="U1" s="67"/>
    </row>
    <row r="3" spans="1:21" x14ac:dyDescent="0.25">
      <c r="A3" s="1" t="s">
        <v>29</v>
      </c>
      <c r="B3" s="68" t="s">
        <v>40</v>
      </c>
      <c r="C3" s="68"/>
      <c r="D3" s="68"/>
      <c r="E3" s="68"/>
      <c r="F3" s="68"/>
      <c r="G3" s="68"/>
      <c r="H3" s="68"/>
      <c r="I3" s="68"/>
      <c r="J3" s="68"/>
      <c r="K3" s="68"/>
      <c r="L3" s="68"/>
    </row>
    <row r="4" spans="1:21" x14ac:dyDescent="0.25">
      <c r="A4" s="1" t="s">
        <v>30</v>
      </c>
      <c r="B4" s="68" t="s">
        <v>41</v>
      </c>
      <c r="C4" s="68"/>
      <c r="D4" s="68"/>
      <c r="E4" s="68"/>
      <c r="F4" s="68"/>
      <c r="G4" s="68"/>
      <c r="H4" s="68"/>
      <c r="I4" s="68"/>
      <c r="J4" s="68"/>
      <c r="K4" s="68"/>
      <c r="L4" s="68"/>
    </row>
    <row r="5" spans="1:21" x14ac:dyDescent="0.25">
      <c r="A5" s="1" t="s">
        <v>71</v>
      </c>
      <c r="B5" s="68" t="s">
        <v>72</v>
      </c>
      <c r="C5" s="68"/>
      <c r="D5" s="68"/>
      <c r="E5" s="68"/>
      <c r="F5" s="68"/>
      <c r="G5" s="68"/>
      <c r="H5" s="68"/>
      <c r="I5" s="68"/>
      <c r="J5" s="68"/>
      <c r="K5" s="68"/>
      <c r="L5" s="68"/>
    </row>
    <row r="6" spans="1:21" x14ac:dyDescent="0.25">
      <c r="A6" s="1" t="s">
        <v>34</v>
      </c>
      <c r="B6" s="68" t="s">
        <v>73</v>
      </c>
      <c r="C6" s="68"/>
      <c r="D6" s="68"/>
      <c r="E6" s="68"/>
      <c r="F6" s="68"/>
      <c r="G6" s="68"/>
      <c r="H6" s="68"/>
      <c r="I6" s="68"/>
      <c r="J6" s="68"/>
      <c r="K6" s="68"/>
      <c r="L6" s="68"/>
    </row>
  </sheetData>
  <mergeCells count="5">
    <mergeCell ref="A1:U1"/>
    <mergeCell ref="B3:L3"/>
    <mergeCell ref="B4:L4"/>
    <mergeCell ref="B5:L5"/>
    <mergeCell ref="B6:L6"/>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B0745-ED22-4614-A10D-F95CC2EE81E7}">
  <dimension ref="A1:U1"/>
  <sheetViews>
    <sheetView workbookViewId="0">
      <selection activeCell="G4" sqref="G4"/>
    </sheetView>
  </sheetViews>
  <sheetFormatPr defaultRowHeight="15" x14ac:dyDescent="0.25"/>
  <sheetData>
    <row r="1" spans="1:21" ht="18.75" x14ac:dyDescent="0.3">
      <c r="A1" s="67" t="s">
        <v>46</v>
      </c>
      <c r="B1" s="67"/>
      <c r="C1" s="67"/>
      <c r="D1" s="67"/>
      <c r="E1" s="67"/>
      <c r="F1" s="67"/>
      <c r="G1" s="67"/>
      <c r="H1" s="67"/>
      <c r="I1" s="67"/>
      <c r="J1" s="67"/>
      <c r="K1" s="67"/>
      <c r="L1" s="67"/>
      <c r="M1" s="67"/>
      <c r="N1" s="67"/>
      <c r="O1" s="67"/>
      <c r="P1" s="67"/>
      <c r="Q1" s="67"/>
      <c r="R1" s="67"/>
      <c r="S1" s="67"/>
      <c r="T1" s="67"/>
      <c r="U1" s="67"/>
    </row>
  </sheetData>
  <mergeCells count="1">
    <mergeCell ref="A1:U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5EA2F-0473-4105-B8EC-28EBBC718294}">
  <dimension ref="A1:U62"/>
  <sheetViews>
    <sheetView topLeftCell="E1" zoomScale="110" zoomScaleNormal="110" workbookViewId="0">
      <selection activeCell="N32" sqref="N32"/>
    </sheetView>
  </sheetViews>
  <sheetFormatPr defaultRowHeight="14.25" x14ac:dyDescent="0.2"/>
  <cols>
    <col min="1" max="1" width="10.5703125" style="3" customWidth="1"/>
    <col min="2" max="2" width="16.140625" style="3" customWidth="1"/>
    <col min="3" max="3" width="16.5703125" style="3" customWidth="1"/>
    <col min="4" max="4" width="13.42578125" style="3" customWidth="1"/>
    <col min="5" max="5" width="11.140625" style="3" customWidth="1"/>
    <col min="6" max="7" width="9.140625" style="3"/>
    <col min="8" max="8" width="12.140625" style="3" customWidth="1"/>
    <col min="9" max="16384" width="9.140625" style="3"/>
  </cols>
  <sheetData>
    <row r="1" spans="1:21" ht="18" customHeight="1" x14ac:dyDescent="0.25">
      <c r="A1" s="69" t="s">
        <v>47</v>
      </c>
      <c r="B1" s="69"/>
      <c r="C1" s="69"/>
      <c r="D1" s="69"/>
      <c r="E1" s="69"/>
      <c r="F1" s="69"/>
      <c r="G1" s="69"/>
      <c r="H1" s="69"/>
      <c r="I1" s="69"/>
      <c r="J1" s="69"/>
      <c r="K1" s="69"/>
      <c r="L1" s="69"/>
      <c r="M1" s="69"/>
      <c r="N1" s="69"/>
      <c r="O1" s="69"/>
      <c r="P1" s="69"/>
      <c r="Q1" s="69"/>
      <c r="R1" s="69"/>
      <c r="S1" s="69"/>
      <c r="T1" s="69"/>
      <c r="U1" s="69"/>
    </row>
    <row r="3" spans="1:21" x14ac:dyDescent="0.2">
      <c r="A3" s="70" t="s">
        <v>53</v>
      </c>
      <c r="B3" s="70"/>
      <c r="C3" s="70"/>
      <c r="D3" s="70"/>
      <c r="E3" s="70"/>
    </row>
    <row r="4" spans="1:21" ht="27" customHeight="1" x14ac:dyDescent="0.2">
      <c r="A4" s="18" t="s">
        <v>51</v>
      </c>
      <c r="B4" s="18" t="s">
        <v>50</v>
      </c>
      <c r="C4" s="18" t="s">
        <v>56</v>
      </c>
      <c r="D4" s="18" t="s">
        <v>48</v>
      </c>
      <c r="E4" s="18" t="s">
        <v>49</v>
      </c>
      <c r="F4" s="19"/>
    </row>
    <row r="5" spans="1:21" x14ac:dyDescent="0.2">
      <c r="A5" s="20">
        <v>25</v>
      </c>
      <c r="B5" s="21">
        <v>0.48499999999999999</v>
      </c>
      <c r="C5" s="22">
        <f>(B5/B13)*100</f>
        <v>9.0266145542527454</v>
      </c>
      <c r="D5" s="22">
        <f>C5</f>
        <v>9.0266145542527454</v>
      </c>
      <c r="E5" s="22">
        <f>C13-D5</f>
        <v>90.973385445747255</v>
      </c>
      <c r="O5" s="23"/>
    </row>
    <row r="6" spans="1:21" x14ac:dyDescent="0.2">
      <c r="A6" s="20">
        <v>20</v>
      </c>
      <c r="B6" s="21">
        <v>0.58299999999999996</v>
      </c>
      <c r="C6" s="22">
        <f>(B6/B13)*100</f>
        <v>10.850549041503816</v>
      </c>
      <c r="D6" s="22">
        <f>D5+C6</f>
        <v>19.877163595756564</v>
      </c>
      <c r="E6" s="22">
        <f>C13-D6</f>
        <v>80.122836404243429</v>
      </c>
      <c r="O6" s="23"/>
    </row>
    <row r="7" spans="1:21" x14ac:dyDescent="0.2">
      <c r="A7" s="20">
        <v>19</v>
      </c>
      <c r="B7" s="21">
        <v>0.53200000000000003</v>
      </c>
      <c r="C7" s="22">
        <f>(B7/B13)*100</f>
        <v>9.9013586450772397</v>
      </c>
      <c r="D7" s="22">
        <f t="shared" ref="D7:D12" si="0">D6+C7</f>
        <v>29.778522240833802</v>
      </c>
      <c r="E7" s="22">
        <f>C13-D7</f>
        <v>70.221477759166191</v>
      </c>
      <c r="O7" s="23"/>
    </row>
    <row r="8" spans="1:21" x14ac:dyDescent="0.2">
      <c r="A8" s="20">
        <v>14</v>
      </c>
      <c r="B8" s="21">
        <v>0.83799999999999997</v>
      </c>
      <c r="C8" s="22">
        <f>(B8/B13)*100</f>
        <v>15.596501023636703</v>
      </c>
      <c r="D8" s="22">
        <f t="shared" si="0"/>
        <v>45.375023264470506</v>
      </c>
      <c r="E8" s="22">
        <f>C13-D8</f>
        <v>54.624976735529494</v>
      </c>
      <c r="O8" s="23"/>
    </row>
    <row r="9" spans="1:21" x14ac:dyDescent="0.2">
      <c r="A9" s="20">
        <v>12.5</v>
      </c>
      <c r="B9" s="21">
        <v>0.68700000000000006</v>
      </c>
      <c r="C9" s="22">
        <f>(B9/B13)*100</f>
        <v>12.786152987158014</v>
      </c>
      <c r="D9" s="22">
        <f t="shared" si="0"/>
        <v>58.161176251628518</v>
      </c>
      <c r="E9" s="22">
        <f>C13-D9</f>
        <v>41.838823748371482</v>
      </c>
      <c r="O9" s="23"/>
    </row>
    <row r="10" spans="1:21" x14ac:dyDescent="0.2">
      <c r="A10" s="20">
        <v>9</v>
      </c>
      <c r="B10" s="21">
        <v>1.1779999999999999</v>
      </c>
      <c r="C10" s="22">
        <f>(B10/B13)*100</f>
        <v>21.924436999813885</v>
      </c>
      <c r="D10" s="22">
        <f t="shared" si="0"/>
        <v>80.085613251442396</v>
      </c>
      <c r="E10" s="22">
        <f>C13-D10</f>
        <v>19.914386748557604</v>
      </c>
      <c r="O10" s="23"/>
    </row>
    <row r="11" spans="1:21" x14ac:dyDescent="0.2">
      <c r="A11" s="20">
        <v>6.3</v>
      </c>
      <c r="B11" s="21">
        <v>0.47799999999999998</v>
      </c>
      <c r="C11" s="22">
        <f>(B11/B13)*100</f>
        <v>8.8963335194490991</v>
      </c>
      <c r="D11" s="22">
        <f t="shared" si="0"/>
        <v>88.981946770891497</v>
      </c>
      <c r="E11" s="22">
        <f>C13-D11</f>
        <v>11.018053229108503</v>
      </c>
      <c r="O11" s="23"/>
    </row>
    <row r="12" spans="1:21" x14ac:dyDescent="0.2">
      <c r="A12" s="24" t="s">
        <v>13</v>
      </c>
      <c r="B12" s="21">
        <v>0.59199999999999997</v>
      </c>
      <c r="C12" s="22">
        <f>(B12/B13)*100</f>
        <v>11.018053229108506</v>
      </c>
      <c r="D12" s="22">
        <f t="shared" si="0"/>
        <v>100</v>
      </c>
      <c r="E12" s="22">
        <f>C13-D12</f>
        <v>0</v>
      </c>
      <c r="O12" s="23"/>
    </row>
    <row r="13" spans="1:21" x14ac:dyDescent="0.2">
      <c r="A13" s="25" t="s">
        <v>14</v>
      </c>
      <c r="B13" s="21">
        <f>SUM(B5:B12)</f>
        <v>5.3729999999999993</v>
      </c>
      <c r="C13" s="22">
        <f>SUM(C5:C12)</f>
        <v>100</v>
      </c>
      <c r="D13" s="26"/>
      <c r="E13" s="26"/>
    </row>
    <row r="14" spans="1:21" x14ac:dyDescent="0.2">
      <c r="A14" s="27"/>
      <c r="B14" s="28"/>
      <c r="C14" s="29"/>
      <c r="D14" s="27"/>
      <c r="E14" s="27"/>
    </row>
    <row r="15" spans="1:21" x14ac:dyDescent="0.2">
      <c r="A15" s="70" t="s">
        <v>52</v>
      </c>
      <c r="B15" s="70"/>
      <c r="C15" s="70"/>
      <c r="D15" s="70"/>
      <c r="E15" s="70"/>
    </row>
    <row r="16" spans="1:21" ht="25.5" x14ac:dyDescent="0.2">
      <c r="A16" s="18" t="s">
        <v>51</v>
      </c>
      <c r="B16" s="18" t="s">
        <v>50</v>
      </c>
      <c r="C16" s="18" t="s">
        <v>56</v>
      </c>
      <c r="D16" s="18" t="s">
        <v>48</v>
      </c>
      <c r="E16" s="18" t="s">
        <v>49</v>
      </c>
    </row>
    <row r="17" spans="1:20" x14ac:dyDescent="0.2">
      <c r="A17" s="30">
        <v>25</v>
      </c>
      <c r="B17" s="5">
        <v>0.29099999999999998</v>
      </c>
      <c r="C17" s="22">
        <f>(B17/B28)*100</f>
        <v>5.4200037250884705</v>
      </c>
      <c r="D17" s="22">
        <f>C17</f>
        <v>5.4200037250884705</v>
      </c>
      <c r="E17" s="22">
        <f>C28-D17</f>
        <v>94.579996274911537</v>
      </c>
      <c r="O17" s="7"/>
    </row>
    <row r="18" spans="1:20" x14ac:dyDescent="0.2">
      <c r="A18" s="30">
        <v>20</v>
      </c>
      <c r="B18" s="5">
        <v>0.53</v>
      </c>
      <c r="C18" s="22">
        <f>(B18/B28)*100</f>
        <v>9.8714844477556358</v>
      </c>
      <c r="D18" s="22">
        <f>D17+C18</f>
        <v>15.291488172844106</v>
      </c>
      <c r="E18" s="22">
        <f>C28-D18</f>
        <v>84.708511827155888</v>
      </c>
      <c r="O18" s="7"/>
    </row>
    <row r="19" spans="1:20" x14ac:dyDescent="0.2">
      <c r="A19" s="30">
        <v>19</v>
      </c>
      <c r="B19" s="5">
        <v>0.55200000000000005</v>
      </c>
      <c r="C19" s="22">
        <f>(B19/B28)*100</f>
        <v>10.281244179549267</v>
      </c>
      <c r="D19" s="22">
        <f t="shared" ref="D19:D27" si="1">D18+C19</f>
        <v>25.572732352393373</v>
      </c>
      <c r="E19" s="22">
        <f>C28-D19</f>
        <v>74.427267647606627</v>
      </c>
      <c r="O19" s="7"/>
    </row>
    <row r="20" spans="1:20" x14ac:dyDescent="0.2">
      <c r="A20" s="30">
        <v>14</v>
      </c>
      <c r="B20" s="5">
        <v>0.81</v>
      </c>
      <c r="C20" s="22">
        <f>(B20/B28)*100</f>
        <v>15.086608306947291</v>
      </c>
      <c r="D20" s="22">
        <f t="shared" si="1"/>
        <v>40.659340659340664</v>
      </c>
      <c r="E20" s="22">
        <f>C28-D20</f>
        <v>59.340659340659336</v>
      </c>
      <c r="O20" s="7"/>
    </row>
    <row r="21" spans="1:20" x14ac:dyDescent="0.2">
      <c r="A21" s="30">
        <v>12.5</v>
      </c>
      <c r="B21" s="5">
        <v>0.73199999999999998</v>
      </c>
      <c r="C21" s="22">
        <f>(B21/B28)*100</f>
        <v>13.633823803315329</v>
      </c>
      <c r="D21" s="22">
        <f t="shared" si="1"/>
        <v>54.293164462655994</v>
      </c>
      <c r="E21" s="22">
        <f>C28-D21</f>
        <v>45.706835537344006</v>
      </c>
      <c r="O21" s="7"/>
      <c r="T21" s="23"/>
    </row>
    <row r="22" spans="1:20" x14ac:dyDescent="0.2">
      <c r="A22" s="30">
        <v>9</v>
      </c>
      <c r="B22" s="5">
        <v>1.1919999999999999</v>
      </c>
      <c r="C22" s="31">
        <f>(B22/B28)*100</f>
        <v>22.201527286273048</v>
      </c>
      <c r="D22" s="5">
        <f t="shared" si="1"/>
        <v>76.494691748929043</v>
      </c>
      <c r="E22" s="30">
        <f>C28-D22</f>
        <v>23.505308251070957</v>
      </c>
      <c r="O22" s="7"/>
    </row>
    <row r="23" spans="1:20" x14ac:dyDescent="0.2">
      <c r="A23" s="30">
        <v>6.3</v>
      </c>
      <c r="B23" s="5">
        <v>0.58699999999999997</v>
      </c>
      <c r="C23" s="31">
        <f>(B23/B28)*100</f>
        <v>10.933134661948221</v>
      </c>
      <c r="D23" s="5">
        <f t="shared" si="1"/>
        <v>87.427826410877259</v>
      </c>
      <c r="E23" s="30">
        <f>C28-D23</f>
        <v>12.572173589122741</v>
      </c>
      <c r="O23" s="7"/>
    </row>
    <row r="24" spans="1:20" x14ac:dyDescent="0.2">
      <c r="A24" s="30">
        <v>4.5</v>
      </c>
      <c r="B24" s="5">
        <v>0.504</v>
      </c>
      <c r="C24" s="31">
        <f>(B24/B$28)*100</f>
        <v>9.3872229465449806</v>
      </c>
      <c r="D24" s="5">
        <f t="shared" si="1"/>
        <v>96.815049357422239</v>
      </c>
      <c r="E24" s="30">
        <f>C28-D24</f>
        <v>3.1849506425777605</v>
      </c>
      <c r="O24" s="7"/>
    </row>
    <row r="25" spans="1:20" x14ac:dyDescent="0.2">
      <c r="A25" s="30">
        <v>1</v>
      </c>
      <c r="B25" s="5">
        <v>7.0999999999999994E-2</v>
      </c>
      <c r="C25" s="31">
        <f t="shared" ref="C25:C27" si="2">(B25/B$28)*100</f>
        <v>1.3224064071521697</v>
      </c>
      <c r="D25" s="5">
        <f t="shared" si="1"/>
        <v>98.137455764574412</v>
      </c>
      <c r="E25" s="30">
        <f>C28-D25</f>
        <v>1.8625442354255881</v>
      </c>
      <c r="O25" s="7"/>
    </row>
    <row r="26" spans="1:20" x14ac:dyDescent="0.2">
      <c r="A26" s="22">
        <v>0.42499999999999999</v>
      </c>
      <c r="B26" s="5">
        <v>0.08</v>
      </c>
      <c r="C26" s="31">
        <f t="shared" si="2"/>
        <v>1.4900353883404731</v>
      </c>
      <c r="D26" s="5">
        <f t="shared" si="1"/>
        <v>99.627491152914885</v>
      </c>
      <c r="E26" s="30">
        <f>C28-D26</f>
        <v>0.37250884708511478</v>
      </c>
      <c r="O26" s="7"/>
    </row>
    <row r="27" spans="1:20" x14ac:dyDescent="0.2">
      <c r="A27" s="22" t="s">
        <v>42</v>
      </c>
      <c r="B27" s="5">
        <v>0.02</v>
      </c>
      <c r="C27" s="31">
        <f t="shared" si="2"/>
        <v>0.37250884708511828</v>
      </c>
      <c r="D27" s="5">
        <f t="shared" si="1"/>
        <v>100</v>
      </c>
      <c r="E27" s="30">
        <f>C28-D27</f>
        <v>0</v>
      </c>
      <c r="O27" s="7"/>
    </row>
    <row r="28" spans="1:20" x14ac:dyDescent="0.2">
      <c r="A28" s="25" t="s">
        <v>14</v>
      </c>
      <c r="B28" s="5">
        <f>SUM(B17:B27)</f>
        <v>5.3689999999999998</v>
      </c>
      <c r="C28" s="22">
        <f>SUM(C17:C27)</f>
        <v>100</v>
      </c>
      <c r="D28" s="26"/>
      <c r="E28" s="26"/>
      <c r="O28" s="6"/>
    </row>
    <row r="29" spans="1:20" x14ac:dyDescent="0.2">
      <c r="A29" s="32"/>
      <c r="B29" s="7"/>
      <c r="C29" s="33"/>
      <c r="D29" s="34"/>
      <c r="E29" s="34"/>
      <c r="O29" s="6"/>
    </row>
    <row r="30" spans="1:20" x14ac:dyDescent="0.2">
      <c r="A30" s="70" t="s">
        <v>54</v>
      </c>
      <c r="B30" s="70"/>
      <c r="C30" s="70"/>
      <c r="D30" s="70"/>
      <c r="E30" s="70"/>
      <c r="G30" s="6"/>
      <c r="H30" s="6"/>
      <c r="I30" s="6"/>
      <c r="J30" s="6"/>
      <c r="K30" s="6"/>
      <c r="L30" s="6"/>
      <c r="M30" s="6"/>
      <c r="N30" s="6"/>
    </row>
    <row r="31" spans="1:20" ht="25.5" x14ac:dyDescent="0.2">
      <c r="A31" s="18" t="s">
        <v>51</v>
      </c>
      <c r="B31" s="18" t="s">
        <v>50</v>
      </c>
      <c r="C31" s="18" t="s">
        <v>56</v>
      </c>
      <c r="D31" s="18" t="s">
        <v>48</v>
      </c>
      <c r="E31" s="18" t="s">
        <v>49</v>
      </c>
      <c r="F31" s="6"/>
      <c r="G31" s="35"/>
      <c r="H31" s="35"/>
      <c r="I31" s="35"/>
      <c r="J31" s="35"/>
      <c r="K31" s="35"/>
      <c r="L31" s="35"/>
      <c r="M31" s="36"/>
      <c r="N31" s="36"/>
    </row>
    <row r="32" spans="1:20" x14ac:dyDescent="0.2">
      <c r="A32" s="21">
        <v>1</v>
      </c>
      <c r="B32" s="21">
        <v>0.64500000000000002</v>
      </c>
      <c r="C32" s="22">
        <f>(B32/B41)*100</f>
        <v>0.29258733391699593</v>
      </c>
      <c r="D32" s="22">
        <f>C32</f>
        <v>0.29258733391699593</v>
      </c>
      <c r="E32" s="22">
        <f>C41-D32</f>
        <v>99.707412666082988</v>
      </c>
      <c r="F32" s="6"/>
      <c r="G32" s="35"/>
      <c r="H32" s="35"/>
      <c r="I32" s="35"/>
      <c r="J32" s="35"/>
      <c r="K32" s="35"/>
      <c r="L32" s="35"/>
      <c r="M32" s="36"/>
      <c r="N32" s="36"/>
    </row>
    <row r="33" spans="1:14" x14ac:dyDescent="0.2">
      <c r="A33" s="21">
        <v>0.42499999999999999</v>
      </c>
      <c r="B33" s="21">
        <v>2.94</v>
      </c>
      <c r="C33" s="22">
        <f>(B33/B41)*100</f>
        <v>1.3336538941332836</v>
      </c>
      <c r="D33" s="22">
        <f>D32+C33</f>
        <v>1.6262412280502796</v>
      </c>
      <c r="E33" s="22">
        <f>C41-D33</f>
        <v>98.37375877194971</v>
      </c>
      <c r="F33" s="6"/>
      <c r="G33" s="35"/>
      <c r="H33" s="35"/>
      <c r="I33" s="35"/>
      <c r="J33" s="35"/>
      <c r="K33" s="35"/>
      <c r="L33" s="35"/>
      <c r="M33" s="36"/>
      <c r="N33" s="36"/>
    </row>
    <row r="34" spans="1:14" x14ac:dyDescent="0.2">
      <c r="A34" s="21">
        <v>0.21199999999999999</v>
      </c>
      <c r="B34" s="21">
        <v>13.605</v>
      </c>
      <c r="C34" s="22">
        <f>(B34/B41)*100</f>
        <v>6.1715514386677981</v>
      </c>
      <c r="D34" s="22">
        <f t="shared" ref="D34:D38" si="3">D33+C34</f>
        <v>7.7977926667180775</v>
      </c>
      <c r="E34" s="22">
        <f>C41-D34</f>
        <v>92.202207333281905</v>
      </c>
      <c r="F34" s="6"/>
      <c r="G34" s="35"/>
      <c r="H34" s="35"/>
      <c r="I34" s="35"/>
      <c r="J34" s="35"/>
      <c r="K34" s="35"/>
      <c r="L34" s="35"/>
      <c r="M34" s="36"/>
      <c r="N34" s="36"/>
    </row>
    <row r="35" spans="1:14" x14ac:dyDescent="0.2">
      <c r="A35" s="21">
        <v>0.15</v>
      </c>
      <c r="B35" s="21">
        <v>16.125</v>
      </c>
      <c r="C35" s="22">
        <f>(B35/B41)*100</f>
        <v>7.3146833479248983</v>
      </c>
      <c r="D35" s="22">
        <f t="shared" si="3"/>
        <v>15.112476014642976</v>
      </c>
      <c r="E35" s="22">
        <f>C41-D35</f>
        <v>84.887523985357006</v>
      </c>
      <c r="F35" s="6"/>
    </row>
    <row r="36" spans="1:14" x14ac:dyDescent="0.2">
      <c r="A36" s="5">
        <v>0.106</v>
      </c>
      <c r="B36" s="5">
        <v>17.755000000000003</v>
      </c>
      <c r="C36" s="22">
        <f>(B36/B41)*100</f>
        <v>8.0540900987538961</v>
      </c>
      <c r="D36" s="22">
        <f t="shared" si="3"/>
        <v>23.166566113396872</v>
      </c>
      <c r="E36" s="22">
        <f>C41-D36</f>
        <v>76.833433886603117</v>
      </c>
      <c r="F36" s="6"/>
    </row>
    <row r="37" spans="1:14" x14ac:dyDescent="0.2">
      <c r="A37" s="5">
        <v>7.4999999999999997E-2</v>
      </c>
      <c r="B37" s="5">
        <v>27.29</v>
      </c>
      <c r="C37" s="22">
        <f>(B37/B41)*100</f>
        <v>12.379392779216774</v>
      </c>
      <c r="D37" s="5">
        <f t="shared" si="3"/>
        <v>35.545958892613648</v>
      </c>
      <c r="E37" s="30">
        <f>C41-D37</f>
        <v>64.454041107386331</v>
      </c>
      <c r="F37" s="6"/>
    </row>
    <row r="38" spans="1:14" x14ac:dyDescent="0.2">
      <c r="A38" s="5">
        <v>2.5000000000000001E-2</v>
      </c>
      <c r="B38" s="5">
        <v>118.655</v>
      </c>
      <c r="C38" s="22">
        <f>(B38/B41)*100</f>
        <v>53.824728846389377</v>
      </c>
      <c r="D38" s="5">
        <f t="shared" si="3"/>
        <v>89.370687739003017</v>
      </c>
      <c r="E38" s="30">
        <f>C41-D38</f>
        <v>10.629312260996969</v>
      </c>
      <c r="F38" s="6"/>
    </row>
    <row r="39" spans="1:14" x14ac:dyDescent="0.2">
      <c r="A39" s="5">
        <v>2.1000000000000001E-2</v>
      </c>
      <c r="B39" s="5">
        <v>23.215</v>
      </c>
      <c r="C39" s="22">
        <f>(B39/B$41)*100</f>
        <v>10.530875902144279</v>
      </c>
      <c r="D39" s="5">
        <f>D38+C39</f>
        <v>99.901563641147291</v>
      </c>
      <c r="E39" s="30">
        <f>C$41-D39</f>
        <v>9.8436358852694639E-2</v>
      </c>
      <c r="F39" s="6"/>
    </row>
    <row r="40" spans="1:14" x14ac:dyDescent="0.2">
      <c r="A40" s="5" t="s">
        <v>43</v>
      </c>
      <c r="B40" s="5">
        <v>0.217</v>
      </c>
      <c r="C40" s="22">
        <f>(B40/B$41)*100</f>
        <v>9.843635885269475E-2</v>
      </c>
      <c r="D40" s="5">
        <f>D39+C40</f>
        <v>99.999999999999986</v>
      </c>
      <c r="E40" s="30">
        <f>C$41-D40</f>
        <v>0</v>
      </c>
      <c r="F40" s="6"/>
    </row>
    <row r="41" spans="1:14" x14ac:dyDescent="0.2">
      <c r="A41" s="25" t="s">
        <v>14</v>
      </c>
      <c r="B41" s="5">
        <f>SUM(B32:B40)</f>
        <v>220.447</v>
      </c>
      <c r="C41" s="22">
        <f>SUM(C32:C40)</f>
        <v>99.999999999999986</v>
      </c>
      <c r="D41" s="22"/>
      <c r="E41" s="22"/>
      <c r="F41" s="6"/>
    </row>
    <row r="42" spans="1:14" x14ac:dyDescent="0.2">
      <c r="A42" s="32"/>
      <c r="B42" s="7"/>
      <c r="C42" s="33"/>
      <c r="D42" s="33"/>
      <c r="E42" s="33"/>
      <c r="F42" s="6"/>
    </row>
    <row r="43" spans="1:14" x14ac:dyDescent="0.2">
      <c r="A43" s="70" t="s">
        <v>55</v>
      </c>
      <c r="B43" s="70"/>
      <c r="C43" s="70"/>
      <c r="D43" s="70"/>
      <c r="E43" s="70"/>
      <c r="F43" s="6"/>
    </row>
    <row r="44" spans="1:14" ht="30.75" customHeight="1" x14ac:dyDescent="0.2">
      <c r="A44" s="18" t="s">
        <v>51</v>
      </c>
      <c r="B44" s="18" t="s">
        <v>50</v>
      </c>
      <c r="C44" s="18" t="s">
        <v>56</v>
      </c>
      <c r="D44" s="18" t="s">
        <v>48</v>
      </c>
      <c r="E44" s="18" t="s">
        <v>49</v>
      </c>
      <c r="F44" s="6"/>
      <c r="H44" s="6"/>
      <c r="I44" s="6"/>
    </row>
    <row r="45" spans="1:14" x14ac:dyDescent="0.2">
      <c r="A45" s="21">
        <v>1</v>
      </c>
      <c r="B45" s="21">
        <v>0.32100000000000001</v>
      </c>
      <c r="C45" s="22">
        <f>(B45/B56)*100</f>
        <v>0.14552015522149891</v>
      </c>
      <c r="D45" s="22">
        <f>C45</f>
        <v>0.14552015522149891</v>
      </c>
      <c r="E45" s="22">
        <f>C56-D45</f>
        <v>99.85447984477851</v>
      </c>
      <c r="F45" s="6"/>
      <c r="H45" s="6"/>
      <c r="I45" s="6"/>
    </row>
    <row r="46" spans="1:14" x14ac:dyDescent="0.2">
      <c r="A46" s="21">
        <v>0.42499999999999999</v>
      </c>
      <c r="B46" s="21">
        <v>0.60299999999999998</v>
      </c>
      <c r="C46" s="22">
        <f>(B46/B56)*100</f>
        <v>0.27336029158431102</v>
      </c>
      <c r="D46" s="22">
        <f>D45+C46</f>
        <v>0.41888044680580994</v>
      </c>
      <c r="E46" s="22">
        <f>C56-D46</f>
        <v>99.581119553194199</v>
      </c>
      <c r="F46" s="6"/>
      <c r="H46" s="37"/>
      <c r="I46" s="7"/>
    </row>
    <row r="47" spans="1:14" x14ac:dyDescent="0.2">
      <c r="A47" s="21">
        <v>0.21199999999999999</v>
      </c>
      <c r="B47" s="21">
        <v>8.6050000000000004</v>
      </c>
      <c r="C47" s="22">
        <f>(B47/B56)*100</f>
        <v>3.9009374943333279</v>
      </c>
      <c r="D47" s="22">
        <f t="shared" ref="D47:D55" si="4">D46+C47</f>
        <v>4.3198179411391378</v>
      </c>
      <c r="E47" s="22">
        <f>C56-D47</f>
        <v>95.680182058860879</v>
      </c>
      <c r="H47" s="37"/>
      <c r="I47" s="7"/>
    </row>
    <row r="48" spans="1:14" x14ac:dyDescent="0.2">
      <c r="A48" s="21">
        <v>0.15</v>
      </c>
      <c r="B48" s="21">
        <v>5.5650000000000004</v>
      </c>
      <c r="C48" s="22">
        <f>(B48/B56)*100</f>
        <v>2.5228026909895371</v>
      </c>
      <c r="D48" s="22">
        <f t="shared" si="4"/>
        <v>6.8426206321286749</v>
      </c>
      <c r="E48" s="22">
        <f>C56-D48</f>
        <v>93.157379367871343</v>
      </c>
      <c r="H48" s="37"/>
      <c r="I48" s="7"/>
    </row>
    <row r="49" spans="1:9" x14ac:dyDescent="0.2">
      <c r="A49" s="5">
        <v>0.106</v>
      </c>
      <c r="B49" s="5">
        <v>15.329000000000001</v>
      </c>
      <c r="C49" s="22">
        <f>(B49/B56)*100</f>
        <v>6.949154079097684</v>
      </c>
      <c r="D49" s="22">
        <f t="shared" si="4"/>
        <v>13.79177471122636</v>
      </c>
      <c r="E49" s="22">
        <f>C56-D49</f>
        <v>86.208225288773662</v>
      </c>
      <c r="H49" s="37"/>
      <c r="I49" s="7"/>
    </row>
    <row r="50" spans="1:9" x14ac:dyDescent="0.2">
      <c r="A50" s="5">
        <v>7.4999999999999997E-2</v>
      </c>
      <c r="B50" s="5">
        <v>9.2899999999999991</v>
      </c>
      <c r="C50" s="22">
        <f>(B50/B56)*100</f>
        <v>4.2114711589025697</v>
      </c>
      <c r="D50" s="5">
        <f t="shared" si="4"/>
        <v>18.003245870128929</v>
      </c>
      <c r="E50" s="30">
        <f>C56-D50</f>
        <v>81.996754129871078</v>
      </c>
      <c r="H50" s="7"/>
      <c r="I50" s="7"/>
    </row>
    <row r="51" spans="1:9" x14ac:dyDescent="0.2">
      <c r="A51" s="5">
        <v>2.5000000000000001E-2</v>
      </c>
      <c r="B51" s="5">
        <v>55.655000000000001</v>
      </c>
      <c r="C51" s="22">
        <f>(B51/B$56)*100</f>
        <v>25.230293578979818</v>
      </c>
      <c r="D51" s="5">
        <f t="shared" si="4"/>
        <v>43.233539449108747</v>
      </c>
      <c r="E51" s="38">
        <f>C$56-D51</f>
        <v>56.766460550891267</v>
      </c>
      <c r="H51" s="7"/>
      <c r="I51" s="7"/>
    </row>
    <row r="52" spans="1:9" x14ac:dyDescent="0.2">
      <c r="A52" s="5">
        <v>2.1000000000000001E-2</v>
      </c>
      <c r="B52" s="5">
        <v>84.215000000000003</v>
      </c>
      <c r="C52" s="22">
        <f>(B52/B$56)*100</f>
        <v>38.177507389341223</v>
      </c>
      <c r="D52" s="5">
        <f t="shared" si="4"/>
        <v>81.411046838449977</v>
      </c>
      <c r="E52" s="30">
        <f>C$56-D52</f>
        <v>18.588953161550037</v>
      </c>
      <c r="H52" s="7"/>
      <c r="I52" s="7"/>
    </row>
    <row r="53" spans="1:9" x14ac:dyDescent="0.2">
      <c r="A53" s="5">
        <v>1.7999999999999999E-2</v>
      </c>
      <c r="B53" s="5">
        <v>30.12</v>
      </c>
      <c r="C53" s="22">
        <f t="shared" ref="C53:C54" si="5">(B53/B$56)*100</f>
        <v>13.654414564708869</v>
      </c>
      <c r="D53" s="5">
        <f t="shared" si="4"/>
        <v>95.065461403158849</v>
      </c>
      <c r="E53" s="30">
        <f t="shared" ref="E53:E54" si="6">C$56-D53</f>
        <v>4.9345385968411648</v>
      </c>
      <c r="H53" s="7"/>
      <c r="I53" s="7"/>
    </row>
    <row r="54" spans="1:9" x14ac:dyDescent="0.2">
      <c r="A54" s="5">
        <v>1.4999999999999999E-2</v>
      </c>
      <c r="B54" s="5">
        <v>6.67</v>
      </c>
      <c r="C54" s="22">
        <f t="shared" si="5"/>
        <v>3.0237365586523293</v>
      </c>
      <c r="D54" s="5">
        <f t="shared" si="4"/>
        <v>98.08919796181118</v>
      </c>
      <c r="E54" s="30">
        <f t="shared" si="6"/>
        <v>1.9108020381888338</v>
      </c>
      <c r="H54" s="7"/>
      <c r="I54" s="7"/>
    </row>
    <row r="55" spans="1:9" x14ac:dyDescent="0.2">
      <c r="A55" s="5" t="s">
        <v>44</v>
      </c>
      <c r="B55" s="5">
        <v>4.2149999999999999</v>
      </c>
      <c r="C55" s="22">
        <f>(B55/B$56)*100</f>
        <v>1.9108020381888406</v>
      </c>
      <c r="D55" s="5">
        <f t="shared" si="4"/>
        <v>100.00000000000001</v>
      </c>
      <c r="E55" s="30">
        <f>C$56-D55</f>
        <v>0</v>
      </c>
      <c r="H55" s="7"/>
      <c r="I55" s="7"/>
    </row>
    <row r="56" spans="1:9" x14ac:dyDescent="0.2">
      <c r="A56" s="25" t="s">
        <v>14</v>
      </c>
      <c r="B56" s="5">
        <f>SUM(B45:B55)</f>
        <v>220.58799999999999</v>
      </c>
      <c r="C56" s="22">
        <f>SUM(C45:C55)</f>
        <v>100.00000000000001</v>
      </c>
      <c r="D56" s="22"/>
      <c r="E56" s="22"/>
      <c r="H56" s="7"/>
      <c r="I56" s="7"/>
    </row>
    <row r="57" spans="1:9" x14ac:dyDescent="0.2">
      <c r="H57" s="6"/>
      <c r="I57" s="7"/>
    </row>
    <row r="58" spans="1:9" x14ac:dyDescent="0.2">
      <c r="H58" s="6"/>
      <c r="I58" s="6"/>
    </row>
    <row r="59" spans="1:9" x14ac:dyDescent="0.2">
      <c r="H59" s="6"/>
      <c r="I59" s="6"/>
    </row>
    <row r="60" spans="1:9" x14ac:dyDescent="0.2">
      <c r="H60" s="6"/>
      <c r="I60" s="6"/>
    </row>
    <row r="61" spans="1:9" x14ac:dyDescent="0.2">
      <c r="H61" s="6"/>
      <c r="I61" s="6"/>
    </row>
    <row r="62" spans="1:9" x14ac:dyDescent="0.2">
      <c r="H62" s="6"/>
      <c r="I62" s="6"/>
    </row>
  </sheetData>
  <mergeCells count="5">
    <mergeCell ref="A1:U1"/>
    <mergeCell ref="A15:E15"/>
    <mergeCell ref="A3:E3"/>
    <mergeCell ref="A30:E30"/>
    <mergeCell ref="A43:E43"/>
  </mergeCells>
  <pageMargins left="0.7" right="0.7" top="0.75" bottom="0.75" header="0.3" footer="0.3"/>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7CD93-2F71-4784-984D-30A7FAFECA96}">
  <dimension ref="A1:U38"/>
  <sheetViews>
    <sheetView topLeftCell="B1" zoomScale="80" zoomScaleNormal="80" workbookViewId="0">
      <selection activeCell="E4" sqref="E4"/>
    </sheetView>
  </sheetViews>
  <sheetFormatPr defaultRowHeight="12.75" x14ac:dyDescent="0.2"/>
  <cols>
    <col min="1" max="1" width="10.85546875" style="2" customWidth="1"/>
    <col min="2" max="2" width="14.140625" style="2" customWidth="1"/>
    <col min="3" max="3" width="13.140625" style="2" customWidth="1"/>
    <col min="4" max="4" width="14.42578125" style="2" customWidth="1"/>
    <col min="5" max="5" width="14.85546875" style="2" customWidth="1"/>
    <col min="6" max="6" width="14.5703125" style="2" customWidth="1"/>
    <col min="7" max="7" width="12.28515625" style="2" customWidth="1"/>
    <col min="8" max="8" width="13.42578125" style="2" customWidth="1"/>
    <col min="9" max="9" width="13.7109375" style="2" customWidth="1"/>
    <col min="10" max="10" width="14.140625" style="2" customWidth="1"/>
    <col min="11" max="11" width="13.5703125" style="2" customWidth="1"/>
    <col min="12" max="13" width="13.85546875" style="2" customWidth="1"/>
    <col min="14" max="14" width="14.7109375" style="2" customWidth="1"/>
    <col min="15" max="15" width="13.42578125" style="2" customWidth="1"/>
    <col min="16" max="16384" width="9.140625" style="2"/>
  </cols>
  <sheetData>
    <row r="1" spans="1:21" ht="18.75" x14ac:dyDescent="0.3">
      <c r="A1" s="67" t="s">
        <v>69</v>
      </c>
      <c r="B1" s="67"/>
      <c r="C1" s="67"/>
      <c r="D1" s="67"/>
      <c r="E1" s="67"/>
      <c r="F1" s="67"/>
      <c r="G1" s="67"/>
      <c r="H1" s="67"/>
      <c r="I1" s="67"/>
      <c r="J1" s="67"/>
      <c r="K1" s="67"/>
      <c r="L1" s="67"/>
      <c r="M1" s="67"/>
      <c r="N1" s="67"/>
      <c r="O1" s="67"/>
      <c r="P1" s="39"/>
      <c r="Q1" s="39"/>
      <c r="R1" s="39"/>
      <c r="S1" s="39"/>
      <c r="T1" s="39"/>
      <c r="U1" s="39"/>
    </row>
    <row r="3" spans="1:21" x14ac:dyDescent="0.2">
      <c r="A3" s="4"/>
      <c r="B3" s="4"/>
      <c r="C3" s="4"/>
      <c r="D3" s="4"/>
      <c r="E3" s="4"/>
      <c r="F3" s="4"/>
      <c r="G3" s="4"/>
      <c r="H3" s="4"/>
      <c r="I3" s="4"/>
      <c r="J3" s="4"/>
      <c r="K3" s="4"/>
      <c r="L3" s="4"/>
      <c r="M3" s="4"/>
      <c r="N3" s="4"/>
      <c r="O3" s="4"/>
    </row>
    <row r="4" spans="1:21" ht="25.5" x14ac:dyDescent="0.2">
      <c r="A4" s="40" t="s">
        <v>36</v>
      </c>
      <c r="B4" s="40" t="s">
        <v>62</v>
      </c>
      <c r="C4" s="40" t="s">
        <v>37</v>
      </c>
      <c r="D4" s="40" t="s">
        <v>58</v>
      </c>
      <c r="E4" s="40" t="s">
        <v>59</v>
      </c>
      <c r="F4" s="40" t="s">
        <v>60</v>
      </c>
      <c r="G4" s="40" t="s">
        <v>57</v>
      </c>
      <c r="H4" s="40" t="s">
        <v>63</v>
      </c>
      <c r="I4" s="40" t="s">
        <v>64</v>
      </c>
      <c r="J4" s="40" t="s">
        <v>65</v>
      </c>
      <c r="K4" s="40" t="s">
        <v>61</v>
      </c>
      <c r="L4" s="40" t="s">
        <v>66</v>
      </c>
      <c r="M4" s="40" t="s">
        <v>67</v>
      </c>
      <c r="N4" s="40" t="s">
        <v>68</v>
      </c>
      <c r="O4" s="40" t="s">
        <v>39</v>
      </c>
    </row>
    <row r="5" spans="1:21" x14ac:dyDescent="0.2">
      <c r="A5" s="12" t="s">
        <v>29</v>
      </c>
      <c r="B5" s="12" t="s">
        <v>15</v>
      </c>
      <c r="C5" s="12" t="s">
        <v>27</v>
      </c>
      <c r="D5" s="13">
        <v>5.8019999999999996</v>
      </c>
      <c r="E5" s="13">
        <v>5.859</v>
      </c>
      <c r="F5" s="14">
        <v>5.8220000000000001</v>
      </c>
      <c r="G5" s="14">
        <f t="shared" ref="G5:G12" si="0">AVERAGE(D5,E5,F5)</f>
        <v>5.8276666666666666</v>
      </c>
      <c r="H5" s="14">
        <v>0.115</v>
      </c>
      <c r="I5" s="14">
        <v>0.113</v>
      </c>
      <c r="J5" s="14">
        <v>0.11799999999999999</v>
      </c>
      <c r="K5" s="14">
        <f>AVERAGE(H5,I5,J5)</f>
        <v>0.11533333333333333</v>
      </c>
      <c r="L5" s="14">
        <v>0.36</v>
      </c>
      <c r="M5" s="14">
        <v>0.35699999999999998</v>
      </c>
      <c r="N5" s="14">
        <v>0.36199999999999999</v>
      </c>
      <c r="O5" s="14">
        <f>AVERAGE(L5,M5,N5)</f>
        <v>0.35966666666666663</v>
      </c>
    </row>
    <row r="6" spans="1:21" x14ac:dyDescent="0.2">
      <c r="A6" s="12" t="s">
        <v>29</v>
      </c>
      <c r="B6" s="12" t="s">
        <v>15</v>
      </c>
      <c r="C6" s="12" t="s">
        <v>28</v>
      </c>
      <c r="D6" s="13">
        <v>6.016</v>
      </c>
      <c r="E6" s="13">
        <v>6.2140000000000004</v>
      </c>
      <c r="F6" s="14">
        <v>6.2309999999999999</v>
      </c>
      <c r="G6" s="14">
        <f t="shared" si="0"/>
        <v>6.1536666666666662</v>
      </c>
      <c r="H6" s="14">
        <v>0.12</v>
      </c>
      <c r="I6" s="14">
        <v>0.122</v>
      </c>
      <c r="J6" s="14">
        <v>0.121</v>
      </c>
      <c r="K6" s="14">
        <f t="shared" ref="K6:K12" si="1">AVERAGE(H6,I6,J6)</f>
        <v>0.121</v>
      </c>
      <c r="L6" s="14">
        <v>0.41</v>
      </c>
      <c r="M6" s="14">
        <v>0.41199999999999998</v>
      </c>
      <c r="N6" s="14">
        <v>0.41099999999999998</v>
      </c>
      <c r="O6" s="14">
        <f t="shared" ref="O6:O12" si="2">AVERAGE(L6,M6,N6)</f>
        <v>0.41099999999999998</v>
      </c>
    </row>
    <row r="7" spans="1:21" x14ac:dyDescent="0.2">
      <c r="A7" s="12" t="s">
        <v>30</v>
      </c>
      <c r="B7" s="12" t="s">
        <v>15</v>
      </c>
      <c r="C7" s="12" t="s">
        <v>27</v>
      </c>
      <c r="D7" s="13">
        <v>5.4660000000000002</v>
      </c>
      <c r="E7" s="13">
        <v>5.4610000000000003</v>
      </c>
      <c r="F7" s="14">
        <v>5.4649999999999999</v>
      </c>
      <c r="G7" s="14">
        <f t="shared" si="0"/>
        <v>5.4639999999999995</v>
      </c>
      <c r="H7" s="14">
        <v>0.17799999999999999</v>
      </c>
      <c r="I7" s="14">
        <v>0.17499999999999999</v>
      </c>
      <c r="J7" s="14">
        <v>0.17399999999999999</v>
      </c>
      <c r="K7" s="14">
        <f t="shared" si="1"/>
        <v>0.17566666666666664</v>
      </c>
      <c r="L7" s="14">
        <v>0.23200000000000001</v>
      </c>
      <c r="M7" s="14">
        <v>0.23400000000000001</v>
      </c>
      <c r="N7" s="14">
        <v>0.23300000000000001</v>
      </c>
      <c r="O7" s="14">
        <f t="shared" si="2"/>
        <v>0.23300000000000001</v>
      </c>
    </row>
    <row r="8" spans="1:21" x14ac:dyDescent="0.2">
      <c r="A8" s="12" t="s">
        <v>30</v>
      </c>
      <c r="B8" s="12" t="s">
        <v>15</v>
      </c>
      <c r="C8" s="12" t="s">
        <v>28</v>
      </c>
      <c r="D8" s="13">
        <v>5.5810000000000004</v>
      </c>
      <c r="E8" s="13">
        <v>5.5780000000000003</v>
      </c>
      <c r="F8" s="14">
        <v>5.5819999999999999</v>
      </c>
      <c r="G8" s="14">
        <f t="shared" si="0"/>
        <v>5.5803333333333329</v>
      </c>
      <c r="H8" s="14">
        <v>0.186</v>
      </c>
      <c r="I8" s="14">
        <v>0.184</v>
      </c>
      <c r="J8" s="14">
        <v>0.185</v>
      </c>
      <c r="K8" s="14">
        <f t="shared" si="1"/>
        <v>0.18499999999999997</v>
      </c>
      <c r="L8" s="14">
        <v>0.24</v>
      </c>
      <c r="M8" s="14">
        <v>0.24099999999999999</v>
      </c>
      <c r="N8" s="14">
        <v>0.24199999999999999</v>
      </c>
      <c r="O8" s="14">
        <f>AVERAGE(L8,M8,N8)</f>
        <v>0.24099999999999999</v>
      </c>
    </row>
    <row r="9" spans="1:21" x14ac:dyDescent="0.2">
      <c r="A9" s="12" t="s">
        <v>31</v>
      </c>
      <c r="B9" s="12" t="s">
        <v>15</v>
      </c>
      <c r="C9" s="12" t="s">
        <v>27</v>
      </c>
      <c r="D9" s="13">
        <v>5.1920000000000002</v>
      </c>
      <c r="E9" s="13">
        <v>5.1920000000000002</v>
      </c>
      <c r="F9" s="14">
        <v>5.1760000000000002</v>
      </c>
      <c r="G9" s="14">
        <f t="shared" si="0"/>
        <v>5.1866666666666665</v>
      </c>
      <c r="H9" s="14">
        <v>0.16</v>
      </c>
      <c r="I9" s="14">
        <v>0.16200000000000001</v>
      </c>
      <c r="J9" s="14">
        <v>0.16300000000000001</v>
      </c>
      <c r="K9" s="14">
        <f t="shared" si="1"/>
        <v>0.16166666666666665</v>
      </c>
      <c r="L9" s="14">
        <v>0.47</v>
      </c>
      <c r="M9" s="14">
        <v>0.47199999999999998</v>
      </c>
      <c r="N9" s="14">
        <v>0.47199999999999998</v>
      </c>
      <c r="O9" s="14">
        <f t="shared" si="2"/>
        <v>0.47133333333333333</v>
      </c>
    </row>
    <row r="10" spans="1:21" x14ac:dyDescent="0.2">
      <c r="A10" s="12" t="s">
        <v>32</v>
      </c>
      <c r="B10" s="12" t="s">
        <v>15</v>
      </c>
      <c r="C10" s="12" t="s">
        <v>28</v>
      </c>
      <c r="D10" s="13">
        <v>5.6580000000000004</v>
      </c>
      <c r="E10" s="13">
        <v>5.6580000000000004</v>
      </c>
      <c r="F10" s="14">
        <v>5.6420000000000003</v>
      </c>
      <c r="G10" s="14">
        <f t="shared" si="0"/>
        <v>5.6526666666666676</v>
      </c>
      <c r="H10" s="14">
        <v>0.19</v>
      </c>
      <c r="I10" s="14">
        <v>0.189</v>
      </c>
      <c r="J10" s="14">
        <v>0.19</v>
      </c>
      <c r="K10" s="14">
        <f t="shared" si="1"/>
        <v>0.18966666666666665</v>
      </c>
      <c r="L10" s="14">
        <v>0.26</v>
      </c>
      <c r="M10" s="14">
        <v>0.26100000000000001</v>
      </c>
      <c r="N10" s="14">
        <v>0.26200000000000001</v>
      </c>
      <c r="O10" s="14">
        <f t="shared" si="2"/>
        <v>0.26100000000000001</v>
      </c>
    </row>
    <row r="11" spans="1:21" x14ac:dyDescent="0.2">
      <c r="A11" s="12" t="s">
        <v>33</v>
      </c>
      <c r="B11" s="12" t="s">
        <v>15</v>
      </c>
      <c r="C11" s="12" t="s">
        <v>27</v>
      </c>
      <c r="D11" s="13">
        <v>6.3609999999999998</v>
      </c>
      <c r="E11" s="13">
        <v>6.3609999999999998</v>
      </c>
      <c r="F11" s="14">
        <v>6.3659999999999997</v>
      </c>
      <c r="G11" s="14">
        <f t="shared" si="0"/>
        <v>6.3626666666666667</v>
      </c>
      <c r="H11" s="14">
        <v>0.19</v>
      </c>
      <c r="I11" s="14">
        <v>0.188</v>
      </c>
      <c r="J11" s="14">
        <v>0.19</v>
      </c>
      <c r="K11" s="14">
        <f t="shared" si="1"/>
        <v>0.18933333333333335</v>
      </c>
      <c r="L11" s="14">
        <v>0.46800000000000003</v>
      </c>
      <c r="M11" s="14">
        <v>0.46700000000000003</v>
      </c>
      <c r="N11" s="14">
        <v>0.46600000000000003</v>
      </c>
      <c r="O11" s="14">
        <f t="shared" si="2"/>
        <v>0.46700000000000003</v>
      </c>
    </row>
    <row r="12" spans="1:21" x14ac:dyDescent="0.2">
      <c r="A12" s="12" t="s">
        <v>33</v>
      </c>
      <c r="B12" s="12" t="s">
        <v>15</v>
      </c>
      <c r="C12" s="12" t="s">
        <v>28</v>
      </c>
      <c r="D12" s="13">
        <v>6.58</v>
      </c>
      <c r="E12" s="13">
        <v>6.58</v>
      </c>
      <c r="F12" s="14">
        <v>6.5780000000000003</v>
      </c>
      <c r="G12" s="14">
        <f t="shared" si="0"/>
        <v>6.5793333333333335</v>
      </c>
      <c r="H12" s="14">
        <v>0.19</v>
      </c>
      <c r="I12" s="14">
        <v>0.19</v>
      </c>
      <c r="J12" s="14">
        <v>0.19</v>
      </c>
      <c r="K12" s="14">
        <f t="shared" si="1"/>
        <v>0.19000000000000003</v>
      </c>
      <c r="L12" s="14">
        <v>0.24</v>
      </c>
      <c r="M12" s="14">
        <v>0.23799999999999999</v>
      </c>
      <c r="N12" s="14">
        <v>0.24199999999999999</v>
      </c>
      <c r="O12" s="14">
        <f t="shared" si="2"/>
        <v>0.24</v>
      </c>
    </row>
    <row r="13" spans="1:21" x14ac:dyDescent="0.2">
      <c r="A13" s="4"/>
      <c r="B13" s="4"/>
      <c r="C13" s="4"/>
      <c r="D13" s="4"/>
      <c r="E13" s="4"/>
      <c r="F13" s="8"/>
      <c r="G13" s="8"/>
      <c r="H13" s="8"/>
      <c r="I13" s="8"/>
      <c r="J13" s="8"/>
      <c r="K13" s="8"/>
      <c r="L13" s="8"/>
      <c r="M13" s="8"/>
      <c r="N13" s="8"/>
      <c r="O13" s="8"/>
    </row>
    <row r="14" spans="1:21" x14ac:dyDescent="0.2">
      <c r="A14" s="4"/>
      <c r="B14" s="4"/>
      <c r="C14" s="4"/>
      <c r="D14" s="4"/>
      <c r="E14" s="4"/>
      <c r="F14" s="8"/>
      <c r="G14" s="8"/>
      <c r="H14" s="8"/>
      <c r="I14" s="8"/>
      <c r="J14" s="8"/>
      <c r="K14" s="8"/>
      <c r="L14" s="8"/>
      <c r="M14" s="8"/>
      <c r="N14" s="8"/>
      <c r="O14" s="8"/>
    </row>
    <row r="15" spans="1:21" ht="25.5" x14ac:dyDescent="0.2">
      <c r="A15" s="40" t="s">
        <v>36</v>
      </c>
      <c r="B15" s="40" t="s">
        <v>38</v>
      </c>
      <c r="C15" s="40" t="s">
        <v>37</v>
      </c>
      <c r="D15" s="40" t="s">
        <v>58</v>
      </c>
      <c r="E15" s="40" t="s">
        <v>59</v>
      </c>
      <c r="F15" s="40" t="s">
        <v>60</v>
      </c>
      <c r="G15" s="40" t="s">
        <v>57</v>
      </c>
      <c r="H15" s="40" t="s">
        <v>63</v>
      </c>
      <c r="I15" s="40" t="s">
        <v>64</v>
      </c>
      <c r="J15" s="40" t="s">
        <v>65</v>
      </c>
      <c r="K15" s="40" t="s">
        <v>61</v>
      </c>
      <c r="L15" s="40" t="s">
        <v>66</v>
      </c>
      <c r="M15" s="40" t="s">
        <v>67</v>
      </c>
      <c r="N15" s="40" t="s">
        <v>68</v>
      </c>
      <c r="O15" s="40" t="s">
        <v>39</v>
      </c>
    </row>
    <row r="16" spans="1:21" x14ac:dyDescent="0.2">
      <c r="A16" s="12" t="s">
        <v>31</v>
      </c>
      <c r="B16" s="13">
        <v>0.1069232142857143</v>
      </c>
      <c r="C16" s="12" t="s">
        <v>27</v>
      </c>
      <c r="D16" s="13">
        <v>7.1790000000000003</v>
      </c>
      <c r="E16" s="13">
        <v>7.1760000000000002</v>
      </c>
      <c r="F16" s="14">
        <v>7.18</v>
      </c>
      <c r="G16" s="14">
        <f t="shared" ref="G16:G25" si="3">AVERAGE(D16,E16,F16)</f>
        <v>7.1783333333333337</v>
      </c>
      <c r="H16" s="14">
        <v>0.17899999999999999</v>
      </c>
      <c r="I16" s="14">
        <v>0.17799999999999999</v>
      </c>
      <c r="J16" s="14">
        <v>0.18</v>
      </c>
      <c r="K16" s="14">
        <f>AVERAGE(H16,I16,J16)</f>
        <v>0.17899999999999996</v>
      </c>
      <c r="L16" s="14">
        <v>0.28699999999999998</v>
      </c>
      <c r="M16" s="14">
        <v>0.28799999999999998</v>
      </c>
      <c r="N16" s="14">
        <v>0.28599999999999998</v>
      </c>
      <c r="O16" s="14">
        <f t="shared" ref="O16:O25" si="4">AVERAGE(L16,M16,N16)</f>
        <v>0.28699999999999998</v>
      </c>
    </row>
    <row r="17" spans="1:15" x14ac:dyDescent="0.2">
      <c r="A17" s="12" t="s">
        <v>31</v>
      </c>
      <c r="B17" s="13">
        <v>0.2138464285714286</v>
      </c>
      <c r="C17" s="12" t="s">
        <v>27</v>
      </c>
      <c r="D17" s="13">
        <v>7.2229999999999999</v>
      </c>
      <c r="E17" s="13">
        <v>7.2210000000000001</v>
      </c>
      <c r="F17" s="14">
        <v>7.2220000000000004</v>
      </c>
      <c r="G17" s="14">
        <f t="shared" si="3"/>
        <v>7.2220000000000004</v>
      </c>
      <c r="H17" s="14">
        <v>0.18099999999999999</v>
      </c>
      <c r="I17" s="14">
        <v>0.18</v>
      </c>
      <c r="J17" s="14">
        <v>0.182</v>
      </c>
      <c r="K17" s="14">
        <f t="shared" ref="K17:K25" si="5">AVERAGE(H17,I17,J17)</f>
        <v>0.18099999999999997</v>
      </c>
      <c r="L17" s="14">
        <v>0.29799999999999999</v>
      </c>
      <c r="M17" s="14">
        <v>0.29499999999999998</v>
      </c>
      <c r="N17" s="14">
        <v>0.29899999999999999</v>
      </c>
      <c r="O17" s="14">
        <f t="shared" si="4"/>
        <v>0.29733333333333328</v>
      </c>
    </row>
    <row r="18" spans="1:15" x14ac:dyDescent="0.2">
      <c r="A18" s="12" t="s">
        <v>31</v>
      </c>
      <c r="B18" s="13">
        <v>0.32076964285714288</v>
      </c>
      <c r="C18" s="12" t="s">
        <v>27</v>
      </c>
      <c r="D18" s="13">
        <v>7.3920000000000003</v>
      </c>
      <c r="E18" s="13">
        <v>7.39</v>
      </c>
      <c r="F18" s="14">
        <v>7.391</v>
      </c>
      <c r="G18" s="14">
        <f t="shared" si="3"/>
        <v>7.3910000000000009</v>
      </c>
      <c r="H18" s="14">
        <v>0.183</v>
      </c>
      <c r="I18" s="14">
        <v>0.182</v>
      </c>
      <c r="J18" s="14">
        <v>0.18099999999999999</v>
      </c>
      <c r="K18" s="14">
        <f t="shared" si="5"/>
        <v>0.18200000000000002</v>
      </c>
      <c r="L18" s="14">
        <v>0.32400000000000001</v>
      </c>
      <c r="M18" s="14">
        <v>0.32300000000000001</v>
      </c>
      <c r="N18" s="14">
        <v>0.32500000000000001</v>
      </c>
      <c r="O18" s="14">
        <f t="shared" si="4"/>
        <v>0.32400000000000001</v>
      </c>
    </row>
    <row r="19" spans="1:15" x14ac:dyDescent="0.2">
      <c r="A19" s="12" t="s">
        <v>31</v>
      </c>
      <c r="B19" s="13">
        <v>0.42769285714285721</v>
      </c>
      <c r="C19" s="12" t="s">
        <v>27</v>
      </c>
      <c r="D19" s="13">
        <v>7.5209999999999999</v>
      </c>
      <c r="E19" s="13">
        <v>7.5190000000000001</v>
      </c>
      <c r="F19" s="14">
        <v>7.5229999999999997</v>
      </c>
      <c r="G19" s="14">
        <f t="shared" si="3"/>
        <v>7.5209999999999999</v>
      </c>
      <c r="H19" s="14">
        <v>0.184</v>
      </c>
      <c r="I19" s="14">
        <v>0.186</v>
      </c>
      <c r="J19" s="14">
        <v>0.186</v>
      </c>
      <c r="K19" s="14">
        <f t="shared" si="5"/>
        <v>0.18533333333333335</v>
      </c>
      <c r="L19" s="14">
        <v>0.33100000000000002</v>
      </c>
      <c r="M19" s="14">
        <v>0.33</v>
      </c>
      <c r="N19" s="14">
        <v>0.32900000000000001</v>
      </c>
      <c r="O19" s="14">
        <f t="shared" si="4"/>
        <v>0.33</v>
      </c>
    </row>
    <row r="20" spans="1:15" x14ac:dyDescent="0.2">
      <c r="A20" s="12" t="s">
        <v>31</v>
      </c>
      <c r="B20" s="13">
        <v>0.53461607142857148</v>
      </c>
      <c r="C20" s="12" t="s">
        <v>27</v>
      </c>
      <c r="D20" s="13">
        <v>7.8310000000000004</v>
      </c>
      <c r="E20" s="13">
        <v>7.8330000000000002</v>
      </c>
      <c r="F20" s="14">
        <v>7.8319999999999999</v>
      </c>
      <c r="G20" s="14">
        <f t="shared" si="3"/>
        <v>7.8320000000000007</v>
      </c>
      <c r="H20" s="14">
        <v>0.186</v>
      </c>
      <c r="I20" s="14">
        <v>0.186</v>
      </c>
      <c r="J20" s="14">
        <v>0.185</v>
      </c>
      <c r="K20" s="14">
        <f t="shared" si="5"/>
        <v>0.18566666666666665</v>
      </c>
      <c r="L20" s="14">
        <v>0.33900000000000002</v>
      </c>
      <c r="M20" s="14">
        <v>0.34100000000000003</v>
      </c>
      <c r="N20" s="14">
        <v>0.34</v>
      </c>
      <c r="O20" s="14">
        <f t="shared" si="4"/>
        <v>0.34</v>
      </c>
    </row>
    <row r="21" spans="1:15" x14ac:dyDescent="0.2">
      <c r="A21" s="12" t="s">
        <v>31</v>
      </c>
      <c r="B21" s="13">
        <v>0.64153928571428576</v>
      </c>
      <c r="C21" s="12" t="s">
        <v>27</v>
      </c>
      <c r="D21" s="13">
        <v>7.9210000000000003</v>
      </c>
      <c r="E21" s="13">
        <v>7.9219999999999997</v>
      </c>
      <c r="F21" s="14">
        <v>7.92</v>
      </c>
      <c r="G21" s="14">
        <f t="shared" si="3"/>
        <v>7.9209999999999994</v>
      </c>
      <c r="H21" s="14">
        <v>0.188</v>
      </c>
      <c r="I21" s="14">
        <v>0.188</v>
      </c>
      <c r="J21" s="14">
        <v>0.187</v>
      </c>
      <c r="K21" s="14">
        <f t="shared" si="5"/>
        <v>0.18766666666666665</v>
      </c>
      <c r="L21" s="14">
        <v>0.35199999999999998</v>
      </c>
      <c r="M21" s="14">
        <v>0.35099999999999998</v>
      </c>
      <c r="N21" s="14">
        <v>0.35</v>
      </c>
      <c r="O21" s="14">
        <f t="shared" si="4"/>
        <v>0.35099999999999998</v>
      </c>
    </row>
    <row r="22" spans="1:15" x14ac:dyDescent="0.2">
      <c r="A22" s="12" t="s">
        <v>31</v>
      </c>
      <c r="B22" s="13">
        <v>0.74846250000000014</v>
      </c>
      <c r="C22" s="12" t="s">
        <v>27</v>
      </c>
      <c r="D22" s="13">
        <v>7.8289999999999997</v>
      </c>
      <c r="E22" s="13">
        <v>7.8289999999999997</v>
      </c>
      <c r="F22" s="14">
        <v>7.83</v>
      </c>
      <c r="G22" s="14">
        <f t="shared" si="3"/>
        <v>7.8293333333333335</v>
      </c>
      <c r="H22" s="14">
        <v>0.189</v>
      </c>
      <c r="I22" s="14">
        <v>0.189</v>
      </c>
      <c r="J22" s="14">
        <v>0.187</v>
      </c>
      <c r="K22" s="14">
        <f t="shared" si="5"/>
        <v>0.18833333333333332</v>
      </c>
      <c r="L22" s="14">
        <v>0.38400000000000001</v>
      </c>
      <c r="M22" s="14">
        <v>0.39300000000000002</v>
      </c>
      <c r="N22" s="14">
        <v>0.39200000000000002</v>
      </c>
      <c r="O22" s="14">
        <f t="shared" si="4"/>
        <v>0.38966666666666666</v>
      </c>
    </row>
    <row r="23" spans="1:15" x14ac:dyDescent="0.2">
      <c r="A23" s="12" t="s">
        <v>31</v>
      </c>
      <c r="B23" s="13">
        <v>0.85538571428571442</v>
      </c>
      <c r="C23" s="12" t="s">
        <v>27</v>
      </c>
      <c r="D23" s="13">
        <v>7.806</v>
      </c>
      <c r="E23" s="13">
        <v>7.8079999999999998</v>
      </c>
      <c r="F23" s="14">
        <v>7.8070000000000004</v>
      </c>
      <c r="G23" s="14">
        <f t="shared" si="3"/>
        <v>7.8069999999999995</v>
      </c>
      <c r="H23" s="14">
        <v>0.19</v>
      </c>
      <c r="I23" s="14">
        <v>0.19</v>
      </c>
      <c r="J23" s="14">
        <v>0.19</v>
      </c>
      <c r="K23" s="14">
        <f t="shared" si="5"/>
        <v>0.19000000000000003</v>
      </c>
      <c r="L23" s="14">
        <v>0.42</v>
      </c>
      <c r="M23" s="14">
        <v>0.42399999999999999</v>
      </c>
      <c r="N23" s="14">
        <v>0.42199999999999999</v>
      </c>
      <c r="O23" s="14">
        <f t="shared" si="4"/>
        <v>0.42199999999999999</v>
      </c>
    </row>
    <row r="24" spans="1:15" x14ac:dyDescent="0.2">
      <c r="A24" s="12" t="s">
        <v>31</v>
      </c>
      <c r="B24" s="13">
        <v>0.96230892857142858</v>
      </c>
      <c r="C24" s="12" t="s">
        <v>27</v>
      </c>
      <c r="D24" s="13">
        <v>7.7549999999999999</v>
      </c>
      <c r="E24" s="13">
        <v>7.7539999999999996</v>
      </c>
      <c r="F24" s="14">
        <v>7.7519999999999998</v>
      </c>
      <c r="G24" s="14">
        <f t="shared" si="3"/>
        <v>7.7536666666666667</v>
      </c>
      <c r="H24" s="14">
        <v>0.19</v>
      </c>
      <c r="I24" s="14">
        <v>0.19</v>
      </c>
      <c r="J24" s="14">
        <v>0.189</v>
      </c>
      <c r="K24" s="14">
        <f t="shared" si="5"/>
        <v>0.18966666666666665</v>
      </c>
      <c r="L24" s="14">
        <v>0.47099999999999997</v>
      </c>
      <c r="M24" s="14">
        <v>0.47399999999999998</v>
      </c>
      <c r="N24" s="14">
        <v>0.47199999999999998</v>
      </c>
      <c r="O24" s="14">
        <f t="shared" si="4"/>
        <v>0.47233333333333327</v>
      </c>
    </row>
    <row r="25" spans="1:15" x14ac:dyDescent="0.2">
      <c r="A25" s="12" t="s">
        <v>31</v>
      </c>
      <c r="B25" s="13">
        <v>1.069232142857143</v>
      </c>
      <c r="C25" s="12" t="s">
        <v>27</v>
      </c>
      <c r="D25" s="13">
        <v>7.5919999999999996</v>
      </c>
      <c r="E25" s="13">
        <v>7.59</v>
      </c>
      <c r="F25" s="14">
        <v>7.5919999999999996</v>
      </c>
      <c r="G25" s="14">
        <f t="shared" si="3"/>
        <v>7.5913333333333322</v>
      </c>
      <c r="H25" s="14">
        <v>0.189</v>
      </c>
      <c r="I25" s="14">
        <v>0.189</v>
      </c>
      <c r="J25" s="14">
        <v>0.19</v>
      </c>
      <c r="K25" s="14">
        <f t="shared" si="5"/>
        <v>0.18933333333333335</v>
      </c>
      <c r="L25" s="14">
        <v>0.53</v>
      </c>
      <c r="M25" s="14">
        <v>0.53200000000000003</v>
      </c>
      <c r="N25" s="14">
        <v>0.53300000000000003</v>
      </c>
      <c r="O25" s="14">
        <f t="shared" si="4"/>
        <v>0.53166666666666673</v>
      </c>
    </row>
    <row r="26" spans="1:15" x14ac:dyDescent="0.2">
      <c r="A26" s="15"/>
      <c r="B26" s="16"/>
      <c r="C26" s="15"/>
      <c r="D26" s="15"/>
      <c r="E26" s="15"/>
      <c r="F26" s="17"/>
      <c r="G26" s="17"/>
      <c r="H26" s="8"/>
      <c r="I26" s="8"/>
      <c r="J26" s="8"/>
      <c r="K26" s="8"/>
      <c r="L26" s="8"/>
      <c r="M26" s="8"/>
      <c r="N26" s="8"/>
      <c r="O26" s="8"/>
    </row>
    <row r="27" spans="1:15" x14ac:dyDescent="0.2">
      <c r="A27" s="15"/>
      <c r="B27" s="4"/>
      <c r="C27" s="4"/>
      <c r="D27" s="4"/>
      <c r="E27" s="15"/>
      <c r="F27" s="17"/>
      <c r="G27" s="17"/>
      <c r="H27" s="8"/>
      <c r="I27" s="8"/>
      <c r="J27" s="8"/>
      <c r="K27" s="8"/>
      <c r="L27" s="8"/>
      <c r="M27" s="8"/>
      <c r="N27" s="8"/>
      <c r="O27" s="8"/>
    </row>
    <row r="28" spans="1:15" ht="30" customHeight="1" x14ac:dyDescent="0.2">
      <c r="A28" s="40" t="s">
        <v>36</v>
      </c>
      <c r="B28" s="40" t="s">
        <v>38</v>
      </c>
      <c r="C28" s="40" t="s">
        <v>37</v>
      </c>
      <c r="D28" s="40" t="s">
        <v>58</v>
      </c>
      <c r="E28" s="40" t="s">
        <v>59</v>
      </c>
      <c r="F28" s="40" t="s">
        <v>60</v>
      </c>
      <c r="G28" s="40" t="s">
        <v>57</v>
      </c>
      <c r="H28" s="40" t="s">
        <v>63</v>
      </c>
      <c r="I28" s="40" t="s">
        <v>64</v>
      </c>
      <c r="J28" s="40" t="s">
        <v>65</v>
      </c>
      <c r="K28" s="40" t="s">
        <v>61</v>
      </c>
      <c r="L28" s="40" t="s">
        <v>66</v>
      </c>
      <c r="M28" s="40" t="s">
        <v>67</v>
      </c>
      <c r="N28" s="40" t="s">
        <v>68</v>
      </c>
      <c r="O28" s="40" t="s">
        <v>39</v>
      </c>
    </row>
    <row r="29" spans="1:15" x14ac:dyDescent="0.2">
      <c r="A29" s="12" t="s">
        <v>33</v>
      </c>
      <c r="B29" s="13">
        <v>0.1069232142857143</v>
      </c>
      <c r="C29" s="12" t="s">
        <v>27</v>
      </c>
      <c r="D29" s="13">
        <v>7.4119999999999999</v>
      </c>
      <c r="E29" s="13">
        <v>7.4139999999999997</v>
      </c>
      <c r="F29" s="14">
        <v>7.4130000000000003</v>
      </c>
      <c r="G29" s="14">
        <f t="shared" ref="G29:G38" si="6">AVERAGE(D29,E29,F29)</f>
        <v>7.4130000000000003</v>
      </c>
      <c r="H29" s="14">
        <v>0.182</v>
      </c>
      <c r="I29" s="14">
        <v>0.183</v>
      </c>
      <c r="J29" s="14">
        <v>0.18099999999999999</v>
      </c>
      <c r="K29" s="14">
        <f t="shared" ref="K29:K38" si="7">AVERAGE(H29,I29,J29)</f>
        <v>0.18200000000000002</v>
      </c>
      <c r="L29" s="14">
        <v>0.28399999999999997</v>
      </c>
      <c r="M29" s="14">
        <v>0.28499999999999998</v>
      </c>
      <c r="N29" s="14">
        <v>0.28299999999999997</v>
      </c>
      <c r="O29" s="14">
        <f t="shared" ref="O29:O38" si="8">AVERAGE(L29,M29,N29)</f>
        <v>0.28399999999999997</v>
      </c>
    </row>
    <row r="30" spans="1:15" x14ac:dyDescent="0.2">
      <c r="A30" s="12" t="s">
        <v>33</v>
      </c>
      <c r="B30" s="13">
        <v>0.2138464285714286</v>
      </c>
      <c r="C30" s="12" t="s">
        <v>27</v>
      </c>
      <c r="D30" s="13">
        <v>7.423</v>
      </c>
      <c r="E30" s="13">
        <v>7.4240000000000004</v>
      </c>
      <c r="F30" s="14">
        <v>7.4249999999999998</v>
      </c>
      <c r="G30" s="14">
        <f t="shared" si="6"/>
        <v>7.4240000000000004</v>
      </c>
      <c r="H30" s="14">
        <v>0.183</v>
      </c>
      <c r="I30" s="14">
        <v>0.184</v>
      </c>
      <c r="J30" s="14">
        <v>0.182</v>
      </c>
      <c r="K30" s="14">
        <f t="shared" si="7"/>
        <v>0.18299999999999997</v>
      </c>
      <c r="L30" s="14">
        <v>0.28799999999999998</v>
      </c>
      <c r="M30" s="14">
        <v>0.28599999999999998</v>
      </c>
      <c r="N30" s="14">
        <v>0.28899999999999998</v>
      </c>
      <c r="O30" s="14">
        <f t="shared" si="8"/>
        <v>0.28766666666666668</v>
      </c>
    </row>
    <row r="31" spans="1:15" x14ac:dyDescent="0.2">
      <c r="A31" s="12" t="s">
        <v>33</v>
      </c>
      <c r="B31" s="13">
        <v>0.32076964285714288</v>
      </c>
      <c r="C31" s="12" t="s">
        <v>27</v>
      </c>
      <c r="D31" s="13">
        <v>7.5330000000000004</v>
      </c>
      <c r="E31" s="13">
        <v>7.5309999999999997</v>
      </c>
      <c r="F31" s="14">
        <v>7.532</v>
      </c>
      <c r="G31" s="14">
        <f t="shared" si="6"/>
        <v>7.532</v>
      </c>
      <c r="H31" s="14">
        <v>0.184</v>
      </c>
      <c r="I31" s="14">
        <v>0.185</v>
      </c>
      <c r="J31" s="14">
        <v>0.183</v>
      </c>
      <c r="K31" s="14">
        <f t="shared" si="7"/>
        <v>0.18400000000000002</v>
      </c>
      <c r="L31" s="14">
        <v>0.318</v>
      </c>
      <c r="M31" s="14">
        <v>0.315</v>
      </c>
      <c r="N31" s="14">
        <v>0.317</v>
      </c>
      <c r="O31" s="14">
        <f t="shared" si="8"/>
        <v>0.31666666666666665</v>
      </c>
    </row>
    <row r="32" spans="1:15" x14ac:dyDescent="0.2">
      <c r="A32" s="12" t="s">
        <v>33</v>
      </c>
      <c r="B32" s="13">
        <v>0.42769285714285721</v>
      </c>
      <c r="C32" s="12" t="s">
        <v>27</v>
      </c>
      <c r="D32" s="13">
        <v>7.8120000000000003</v>
      </c>
      <c r="E32" s="13">
        <v>7.8129999999999997</v>
      </c>
      <c r="F32" s="14">
        <v>7.8140000000000001</v>
      </c>
      <c r="G32" s="14">
        <f t="shared" si="6"/>
        <v>7.8129999999999997</v>
      </c>
      <c r="H32" s="14">
        <v>0.185</v>
      </c>
      <c r="I32" s="14">
        <v>0.184</v>
      </c>
      <c r="J32" s="14">
        <v>0.186</v>
      </c>
      <c r="K32" s="14">
        <f>AVERAGE(H32,I32,J32)</f>
        <v>0.18499999999999997</v>
      </c>
      <c r="L32" s="14">
        <v>0.33200000000000002</v>
      </c>
      <c r="M32" s="14">
        <v>0.33</v>
      </c>
      <c r="N32" s="14">
        <v>0.33</v>
      </c>
      <c r="O32" s="14">
        <f t="shared" si="8"/>
        <v>0.33066666666666666</v>
      </c>
    </row>
    <row r="33" spans="1:15" x14ac:dyDescent="0.2">
      <c r="A33" s="12" t="s">
        <v>33</v>
      </c>
      <c r="B33" s="13">
        <v>0.53461607142857148</v>
      </c>
      <c r="C33" s="12" t="s">
        <v>27</v>
      </c>
      <c r="D33" s="13">
        <v>7.7889999999999997</v>
      </c>
      <c r="E33" s="13">
        <v>7.79</v>
      </c>
      <c r="F33" s="14">
        <v>7.7880000000000003</v>
      </c>
      <c r="G33" s="14">
        <f t="shared" si="6"/>
        <v>7.7890000000000006</v>
      </c>
      <c r="H33" s="14">
        <v>0.186</v>
      </c>
      <c r="I33" s="14">
        <v>0.187</v>
      </c>
      <c r="J33" s="14">
        <v>0.185</v>
      </c>
      <c r="K33" s="14">
        <f t="shared" si="7"/>
        <v>0.18600000000000003</v>
      </c>
      <c r="L33" s="14">
        <v>0.33600000000000002</v>
      </c>
      <c r="M33" s="14">
        <v>0.33500000000000002</v>
      </c>
      <c r="N33" s="14">
        <v>0.33400000000000002</v>
      </c>
      <c r="O33" s="14">
        <f t="shared" si="8"/>
        <v>0.33500000000000002</v>
      </c>
    </row>
    <row r="34" spans="1:15" x14ac:dyDescent="0.2">
      <c r="A34" s="12" t="s">
        <v>33</v>
      </c>
      <c r="B34" s="13">
        <v>0.64153928571428576</v>
      </c>
      <c r="C34" s="12" t="s">
        <v>27</v>
      </c>
      <c r="D34" s="13">
        <v>7.774</v>
      </c>
      <c r="E34" s="13">
        <v>7.7750000000000004</v>
      </c>
      <c r="F34" s="14">
        <v>7.7759999999999998</v>
      </c>
      <c r="G34" s="14">
        <f t="shared" si="6"/>
        <v>7.7749999999999995</v>
      </c>
      <c r="H34" s="14">
        <v>0.189</v>
      </c>
      <c r="I34" s="14">
        <v>0.188</v>
      </c>
      <c r="J34" s="14">
        <v>0.187</v>
      </c>
      <c r="K34" s="14">
        <f t="shared" si="7"/>
        <v>0.18800000000000003</v>
      </c>
      <c r="L34" s="14">
        <v>0.34599999999999997</v>
      </c>
      <c r="M34" s="14">
        <v>0.34799999999999998</v>
      </c>
      <c r="N34" s="14">
        <v>0.34699999999999998</v>
      </c>
      <c r="O34" s="14">
        <f t="shared" si="8"/>
        <v>0.34699999999999998</v>
      </c>
    </row>
    <row r="35" spans="1:15" x14ac:dyDescent="0.2">
      <c r="A35" s="12" t="s">
        <v>33</v>
      </c>
      <c r="B35" s="13">
        <v>0.74846250000000014</v>
      </c>
      <c r="C35" s="12" t="s">
        <v>27</v>
      </c>
      <c r="D35" s="13">
        <v>7.7149999999999999</v>
      </c>
      <c r="E35" s="13">
        <v>7.7169999999999996</v>
      </c>
      <c r="F35" s="14">
        <v>7.7169999999999996</v>
      </c>
      <c r="G35" s="14">
        <f t="shared" si="6"/>
        <v>7.7163333333333322</v>
      </c>
      <c r="H35" s="14">
        <v>0.19</v>
      </c>
      <c r="I35" s="14">
        <v>0.19</v>
      </c>
      <c r="J35" s="14">
        <v>0.189</v>
      </c>
      <c r="K35" s="14">
        <f t="shared" si="7"/>
        <v>0.18966666666666665</v>
      </c>
      <c r="L35" s="14">
        <v>0.38400000000000001</v>
      </c>
      <c r="M35" s="14">
        <v>0.38200000000000001</v>
      </c>
      <c r="N35" s="14">
        <v>0.38400000000000001</v>
      </c>
      <c r="O35" s="14">
        <f t="shared" si="8"/>
        <v>0.3833333333333333</v>
      </c>
    </row>
    <row r="36" spans="1:15" x14ac:dyDescent="0.2">
      <c r="A36" s="12" t="s">
        <v>33</v>
      </c>
      <c r="B36" s="13">
        <v>0.85538571428571442</v>
      </c>
      <c r="C36" s="12" t="s">
        <v>27</v>
      </c>
      <c r="D36" s="13">
        <v>7.6980000000000004</v>
      </c>
      <c r="E36" s="13">
        <v>7.6989999999999998</v>
      </c>
      <c r="F36" s="14">
        <v>7.6980000000000004</v>
      </c>
      <c r="G36" s="14">
        <f t="shared" si="6"/>
        <v>7.6983333333333333</v>
      </c>
      <c r="H36" s="14">
        <v>0.19</v>
      </c>
      <c r="I36" s="14">
        <v>0.19</v>
      </c>
      <c r="J36" s="14">
        <v>0.189</v>
      </c>
      <c r="K36" s="14">
        <f t="shared" si="7"/>
        <v>0.18966666666666665</v>
      </c>
      <c r="L36" s="14">
        <v>0.41799999999999998</v>
      </c>
      <c r="M36" s="14">
        <v>0.41499999999999998</v>
      </c>
      <c r="N36" s="14">
        <v>0.41599999999999998</v>
      </c>
      <c r="O36" s="14">
        <f t="shared" si="8"/>
        <v>0.41633333333333328</v>
      </c>
    </row>
    <row r="37" spans="1:15" x14ac:dyDescent="0.2">
      <c r="A37" s="12" t="s">
        <v>33</v>
      </c>
      <c r="B37" s="13">
        <v>0.96230892857142858</v>
      </c>
      <c r="C37" s="12" t="s">
        <v>27</v>
      </c>
      <c r="D37" s="13">
        <v>7.665</v>
      </c>
      <c r="E37" s="13">
        <v>7.67</v>
      </c>
      <c r="F37" s="14">
        <v>7.6689999999999996</v>
      </c>
      <c r="G37" s="14">
        <f t="shared" si="6"/>
        <v>7.6680000000000001</v>
      </c>
      <c r="H37" s="14">
        <v>0.189</v>
      </c>
      <c r="I37" s="14">
        <v>0.188</v>
      </c>
      <c r="J37" s="14">
        <v>0.19</v>
      </c>
      <c r="K37" s="14">
        <f t="shared" si="7"/>
        <v>0.18899999999999997</v>
      </c>
      <c r="L37" s="14">
        <v>0.46600000000000003</v>
      </c>
      <c r="M37" s="14">
        <v>0.46300000000000002</v>
      </c>
      <c r="N37" s="14">
        <v>0.46400000000000002</v>
      </c>
      <c r="O37" s="14">
        <f t="shared" si="8"/>
        <v>0.46433333333333332</v>
      </c>
    </row>
    <row r="38" spans="1:15" x14ac:dyDescent="0.2">
      <c r="A38" s="12" t="s">
        <v>33</v>
      </c>
      <c r="B38" s="13">
        <v>1.069232142857143</v>
      </c>
      <c r="C38" s="12" t="s">
        <v>27</v>
      </c>
      <c r="D38" s="13">
        <v>7.5810000000000004</v>
      </c>
      <c r="E38" s="13">
        <v>7.5819999999999999</v>
      </c>
      <c r="F38" s="14">
        <v>7.5830000000000002</v>
      </c>
      <c r="G38" s="14">
        <f t="shared" si="6"/>
        <v>7.5820000000000007</v>
      </c>
      <c r="H38" s="14">
        <v>0.19</v>
      </c>
      <c r="I38" s="14">
        <v>0.19</v>
      </c>
      <c r="J38" s="14">
        <v>0.19</v>
      </c>
      <c r="K38" s="14">
        <f t="shared" si="7"/>
        <v>0.19000000000000003</v>
      </c>
      <c r="L38" s="14">
        <v>0.51400000000000001</v>
      </c>
      <c r="M38" s="14">
        <v>0.51500000000000001</v>
      </c>
      <c r="N38" s="14">
        <v>0.51600000000000001</v>
      </c>
      <c r="O38" s="14">
        <f t="shared" si="8"/>
        <v>0.51500000000000001</v>
      </c>
    </row>
  </sheetData>
  <mergeCells count="1">
    <mergeCell ref="A1:O1"/>
  </mergeCell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91956E-FEC7-48EC-9FBE-0D9AFDE4916C}">
  <dimension ref="A1:AR99"/>
  <sheetViews>
    <sheetView tabSelected="1" zoomScale="60" zoomScaleNormal="60" zoomScaleSheetLayoutView="50" zoomScalePageLayoutView="60" workbookViewId="0">
      <selection activeCell="L19" sqref="L19"/>
    </sheetView>
  </sheetViews>
  <sheetFormatPr defaultRowHeight="12.75" x14ac:dyDescent="0.2"/>
  <cols>
    <col min="1" max="10" width="9.140625" style="2"/>
    <col min="11" max="11" width="12.28515625" style="2" customWidth="1"/>
    <col min="12" max="12" width="12" style="2" customWidth="1"/>
    <col min="13" max="13" width="10.7109375" style="2" customWidth="1"/>
    <col min="14" max="14" width="11.7109375" style="2" customWidth="1"/>
    <col min="15" max="15" width="10.5703125" style="2" customWidth="1"/>
    <col min="16" max="16" width="10.85546875" style="2" customWidth="1"/>
    <col min="17" max="17" width="10.5703125" style="2" customWidth="1"/>
    <col min="18" max="18" width="10.85546875" style="2" customWidth="1"/>
    <col min="19" max="19" width="13.85546875" style="2" customWidth="1"/>
    <col min="20" max="20" width="12.140625" style="2" customWidth="1"/>
    <col min="21" max="21" width="10.140625" style="2" customWidth="1"/>
    <col min="22" max="22" width="11" style="2" customWidth="1"/>
    <col min="23" max="23" width="11.7109375" style="2" customWidth="1"/>
    <col min="24" max="24" width="10.140625" style="2" customWidth="1"/>
    <col min="25" max="25" width="13.28515625" style="2" customWidth="1"/>
    <col min="26" max="26" width="12.28515625" style="2" customWidth="1"/>
    <col min="27" max="27" width="13.5703125" style="2" customWidth="1"/>
    <col min="28" max="28" width="13.85546875" style="2" customWidth="1"/>
    <col min="29" max="29" width="11.7109375" style="2" customWidth="1"/>
    <col min="30" max="32" width="10.42578125" style="2" customWidth="1"/>
    <col min="33" max="33" width="9.85546875" style="2" customWidth="1"/>
    <col min="34" max="34" width="11.140625" style="2" customWidth="1"/>
    <col min="35" max="47" width="9.140625" style="2"/>
    <col min="48" max="48" width="11.85546875" style="2" customWidth="1"/>
    <col min="49" max="16384" width="9.140625" style="2"/>
  </cols>
  <sheetData>
    <row r="1" spans="1:44" ht="18.75" x14ac:dyDescent="0.3">
      <c r="A1" s="67" t="s">
        <v>70</v>
      </c>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9"/>
      <c r="AI1" s="9"/>
      <c r="AJ1" s="9"/>
      <c r="AK1" s="9"/>
      <c r="AL1" s="9"/>
      <c r="AM1" s="9"/>
      <c r="AN1" s="9"/>
      <c r="AO1" s="9"/>
      <c r="AP1" s="9"/>
      <c r="AQ1" s="9"/>
      <c r="AR1" s="9"/>
    </row>
    <row r="2" spans="1:44" x14ac:dyDescent="0.2">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9"/>
    </row>
    <row r="3" spans="1:44" x14ac:dyDescent="0.2">
      <c r="K3" s="41"/>
      <c r="L3" s="41"/>
      <c r="M3" s="41"/>
      <c r="N3" s="41"/>
      <c r="O3" s="41"/>
      <c r="P3" s="41"/>
      <c r="Q3" s="41"/>
      <c r="R3" s="41"/>
      <c r="S3" s="41"/>
      <c r="T3" s="41"/>
      <c r="U3" s="41"/>
      <c r="V3" s="8"/>
      <c r="W3" s="8"/>
      <c r="X3" s="8"/>
      <c r="Y3" s="8"/>
      <c r="Z3" s="8" t="s">
        <v>0</v>
      </c>
      <c r="AA3" s="8"/>
      <c r="AB3" s="8"/>
      <c r="AC3" s="8"/>
      <c r="AD3" s="8"/>
      <c r="AE3" s="8"/>
      <c r="AF3" s="8"/>
      <c r="AG3" s="8"/>
      <c r="AH3" s="8"/>
      <c r="AI3" s="8"/>
      <c r="AJ3" s="8"/>
      <c r="AK3" s="8"/>
      <c r="AL3" s="8"/>
      <c r="AM3" s="8"/>
      <c r="AN3" s="8"/>
      <c r="AO3" s="8"/>
      <c r="AP3" s="8"/>
      <c r="AQ3" s="8"/>
      <c r="AR3" s="9"/>
    </row>
    <row r="4" spans="1:44" ht="62.25" customHeight="1" x14ac:dyDescent="0.2">
      <c r="K4" s="42" t="s">
        <v>85</v>
      </c>
      <c r="L4" s="42" t="s">
        <v>86</v>
      </c>
      <c r="M4" s="42" t="s">
        <v>25</v>
      </c>
      <c r="N4" s="42" t="s">
        <v>4</v>
      </c>
      <c r="O4" s="42" t="s">
        <v>5</v>
      </c>
      <c r="P4" s="42" t="s">
        <v>2</v>
      </c>
      <c r="Q4" s="42" t="s">
        <v>3</v>
      </c>
      <c r="R4" s="42" t="s">
        <v>1</v>
      </c>
      <c r="S4" s="42" t="s">
        <v>74</v>
      </c>
      <c r="T4" s="42" t="s">
        <v>75</v>
      </c>
      <c r="U4" s="42" t="s">
        <v>76</v>
      </c>
      <c r="V4" s="8"/>
      <c r="W4" s="8"/>
      <c r="X4" s="8"/>
      <c r="Y4" s="8"/>
      <c r="Z4" s="8"/>
      <c r="AA4" s="8"/>
      <c r="AB4" s="8"/>
      <c r="AC4" s="8"/>
      <c r="AD4" s="43"/>
      <c r="AE4" s="43"/>
      <c r="AF4" s="43"/>
      <c r="AG4" s="43"/>
      <c r="AH4" s="8"/>
      <c r="AI4" s="8"/>
      <c r="AJ4" s="8"/>
      <c r="AK4" s="8"/>
      <c r="AL4" s="8"/>
      <c r="AM4" s="8"/>
      <c r="AN4" s="8"/>
      <c r="AO4" s="8"/>
      <c r="AP4" s="8"/>
      <c r="AQ4" s="8"/>
      <c r="AR4" s="9"/>
    </row>
    <row r="5" spans="1:44" x14ac:dyDescent="0.2">
      <c r="K5" s="44">
        <v>1</v>
      </c>
      <c r="L5" s="44">
        <v>0</v>
      </c>
      <c r="M5" s="45">
        <v>0.19</v>
      </c>
      <c r="N5" s="45">
        <v>0.19</v>
      </c>
      <c r="O5" s="46">
        <v>5.3600000000000002E-3</v>
      </c>
      <c r="P5" s="45">
        <v>997.95</v>
      </c>
      <c r="Q5" s="47">
        <v>2160</v>
      </c>
      <c r="R5" s="47">
        <f>Q5/P5</f>
        <v>2.1644370960468962</v>
      </c>
      <c r="S5" s="47">
        <v>4.08</v>
      </c>
      <c r="T5" s="47">
        <v>22.16</v>
      </c>
      <c r="U5" s="47">
        <f>T5-S5</f>
        <v>18.079999999999998</v>
      </c>
      <c r="V5" s="8"/>
      <c r="W5" s="8"/>
      <c r="X5" s="8"/>
      <c r="Y5" s="8"/>
      <c r="Z5" s="8"/>
      <c r="AA5" s="8"/>
      <c r="AB5" s="8"/>
      <c r="AC5" s="8"/>
      <c r="AD5" s="48"/>
      <c r="AE5" s="49"/>
      <c r="AF5" s="50"/>
      <c r="AG5" s="50"/>
      <c r="AH5" s="8"/>
      <c r="AI5" s="8"/>
      <c r="AJ5" s="8"/>
      <c r="AK5" s="8"/>
      <c r="AL5" s="8"/>
      <c r="AM5" s="8"/>
      <c r="AN5" s="8"/>
      <c r="AO5" s="8"/>
      <c r="AP5" s="8"/>
      <c r="AQ5" s="8"/>
      <c r="AR5" s="9"/>
    </row>
    <row r="6" spans="1:44" x14ac:dyDescent="0.2">
      <c r="K6" s="44">
        <v>0</v>
      </c>
      <c r="L6" s="44">
        <v>1</v>
      </c>
      <c r="M6" s="45">
        <v>0.19</v>
      </c>
      <c r="N6" s="45">
        <v>0.19</v>
      </c>
      <c r="O6" s="46">
        <v>5.3600000000000002E-3</v>
      </c>
      <c r="P6" s="45">
        <v>997.95</v>
      </c>
      <c r="Q6" s="47">
        <v>1260</v>
      </c>
      <c r="R6" s="47">
        <f>Q6/P6</f>
        <v>1.2625883060273559</v>
      </c>
      <c r="S6" s="47">
        <v>28.3</v>
      </c>
      <c r="T6" s="47">
        <v>39</v>
      </c>
      <c r="U6" s="47">
        <f>T6-S6</f>
        <v>10.7</v>
      </c>
      <c r="V6" s="8"/>
      <c r="W6" s="8"/>
      <c r="X6" s="8"/>
      <c r="Y6" s="8"/>
      <c r="Z6" s="8"/>
      <c r="AA6" s="8"/>
      <c r="AB6" s="8"/>
      <c r="AC6" s="8"/>
      <c r="AD6" s="48"/>
      <c r="AE6" s="49"/>
      <c r="AF6" s="50"/>
      <c r="AG6" s="50"/>
      <c r="AH6" s="8"/>
      <c r="AI6" s="8"/>
      <c r="AJ6" s="8"/>
      <c r="AK6" s="8"/>
      <c r="AL6" s="8"/>
      <c r="AM6" s="8"/>
      <c r="AN6" s="8"/>
      <c r="AO6" s="8"/>
      <c r="AP6" s="8"/>
      <c r="AQ6" s="8"/>
      <c r="AR6" s="9"/>
    </row>
    <row r="7" spans="1:44" x14ac:dyDescent="0.2">
      <c r="K7" s="44">
        <v>2</v>
      </c>
      <c r="L7" s="44">
        <v>3</v>
      </c>
      <c r="M7" s="45">
        <v>0.19</v>
      </c>
      <c r="N7" s="45">
        <v>0.19</v>
      </c>
      <c r="O7" s="46">
        <v>5.3600000000000002E-3</v>
      </c>
      <c r="P7" s="45">
        <v>997.95</v>
      </c>
      <c r="Q7" s="47">
        <v>1680</v>
      </c>
      <c r="R7" s="47">
        <f>Q7/P7</f>
        <v>1.6834510747031413</v>
      </c>
      <c r="S7" s="8"/>
      <c r="T7" s="8"/>
      <c r="U7" s="8"/>
      <c r="V7" s="8"/>
      <c r="W7" s="8"/>
      <c r="X7" s="8"/>
      <c r="Y7" s="8"/>
      <c r="Z7" s="8"/>
      <c r="AA7" s="8"/>
      <c r="AB7" s="8"/>
      <c r="AC7" s="8"/>
      <c r="AD7" s="48"/>
      <c r="AE7" s="49"/>
      <c r="AF7" s="50"/>
      <c r="AG7" s="50"/>
      <c r="AH7" s="8"/>
      <c r="AI7" s="8"/>
      <c r="AJ7" s="8"/>
      <c r="AK7" s="8"/>
      <c r="AL7" s="8"/>
      <c r="AM7" s="8"/>
      <c r="AN7" s="8"/>
      <c r="AO7" s="8"/>
      <c r="AP7" s="8"/>
      <c r="AQ7" s="8"/>
      <c r="AR7" s="9"/>
    </row>
    <row r="8" spans="1:44" x14ac:dyDescent="0.2">
      <c r="K8" s="44">
        <v>3</v>
      </c>
      <c r="L8" s="44">
        <v>2</v>
      </c>
      <c r="M8" s="45">
        <v>0.19</v>
      </c>
      <c r="N8" s="45">
        <v>0.19</v>
      </c>
      <c r="O8" s="46">
        <v>5.3600000000000002E-3</v>
      </c>
      <c r="P8" s="45">
        <v>997.95</v>
      </c>
      <c r="Q8" s="47">
        <v>1512</v>
      </c>
      <c r="R8" s="47">
        <f>Q8/P8</f>
        <v>1.5151059672328273</v>
      </c>
      <c r="S8" s="8"/>
      <c r="T8" s="8"/>
      <c r="U8" s="8"/>
      <c r="V8" s="8"/>
      <c r="W8" s="8"/>
      <c r="X8" s="8"/>
      <c r="Y8" s="8"/>
      <c r="Z8" s="8"/>
      <c r="AA8" s="8"/>
      <c r="AB8" s="8"/>
      <c r="AC8" s="8"/>
      <c r="AD8" s="48"/>
      <c r="AE8" s="49"/>
      <c r="AF8" s="50"/>
      <c r="AG8" s="50"/>
      <c r="AH8" s="8"/>
      <c r="AI8" s="8"/>
      <c r="AJ8" s="8"/>
      <c r="AK8" s="8"/>
      <c r="AL8" s="8"/>
      <c r="AM8" s="8"/>
      <c r="AN8" s="8"/>
      <c r="AO8" s="8"/>
      <c r="AP8" s="8"/>
      <c r="AQ8" s="8"/>
      <c r="AR8" s="9"/>
    </row>
    <row r="9" spans="1:44" x14ac:dyDescent="0.2">
      <c r="K9" s="8"/>
      <c r="L9" s="8"/>
      <c r="M9" s="17"/>
      <c r="N9" s="17"/>
      <c r="O9" s="17"/>
      <c r="P9" s="17"/>
      <c r="Q9" s="51"/>
      <c r="R9" s="51"/>
      <c r="S9" s="51"/>
      <c r="T9" s="51"/>
      <c r="U9" s="51"/>
      <c r="V9" s="51"/>
      <c r="W9" s="50"/>
      <c r="X9" s="50"/>
      <c r="Y9" s="50"/>
      <c r="Z9" s="49"/>
      <c r="AA9" s="50"/>
      <c r="AB9" s="48"/>
      <c r="AC9" s="48"/>
      <c r="AD9" s="48"/>
      <c r="AE9" s="49"/>
      <c r="AF9" s="50"/>
      <c r="AG9" s="17"/>
      <c r="AH9" s="8"/>
      <c r="AI9" s="8"/>
      <c r="AJ9" s="8"/>
      <c r="AK9" s="8"/>
      <c r="AL9" s="8"/>
      <c r="AM9" s="8"/>
      <c r="AN9" s="8"/>
      <c r="AO9" s="8"/>
      <c r="AP9" s="8"/>
      <c r="AQ9" s="8"/>
      <c r="AR9" s="9"/>
    </row>
    <row r="10" spans="1:44" x14ac:dyDescent="0.2">
      <c r="K10" s="8"/>
      <c r="L10" s="8"/>
      <c r="M10" s="17"/>
      <c r="N10" s="17"/>
      <c r="O10" s="17"/>
      <c r="P10" s="17"/>
      <c r="Q10" s="17"/>
      <c r="R10" s="17"/>
      <c r="S10" s="17"/>
      <c r="T10" s="17"/>
      <c r="U10" s="17"/>
      <c r="V10" s="17"/>
      <c r="W10" s="17"/>
      <c r="X10" s="17"/>
      <c r="Y10" s="17"/>
      <c r="Z10" s="17"/>
      <c r="AA10" s="17"/>
      <c r="AB10" s="17"/>
      <c r="AC10" s="17"/>
      <c r="AD10" s="17"/>
      <c r="AE10" s="17"/>
      <c r="AF10" s="17"/>
      <c r="AG10" s="8"/>
      <c r="AH10" s="8"/>
      <c r="AI10" s="8"/>
      <c r="AJ10" s="8"/>
      <c r="AK10" s="8"/>
      <c r="AL10" s="8"/>
      <c r="AM10" s="8"/>
      <c r="AN10" s="8"/>
      <c r="AO10" s="8"/>
      <c r="AP10" s="8"/>
      <c r="AQ10" s="8"/>
      <c r="AR10" s="9"/>
    </row>
    <row r="11" spans="1:44" x14ac:dyDescent="0.2">
      <c r="K11" s="41"/>
      <c r="L11" s="41"/>
      <c r="M11" s="41"/>
      <c r="N11" s="41"/>
      <c r="O11" s="41"/>
      <c r="P11" s="41"/>
      <c r="Q11" s="41"/>
      <c r="R11" s="41"/>
      <c r="S11" s="41"/>
      <c r="T11" s="41"/>
      <c r="U11" s="41"/>
      <c r="V11" s="41"/>
      <c r="W11" s="41"/>
      <c r="X11" s="41"/>
      <c r="Y11" s="41"/>
      <c r="Z11" s="41"/>
      <c r="AA11" s="41"/>
      <c r="AB11" s="41"/>
      <c r="AC11" s="41"/>
      <c r="AD11" s="41"/>
      <c r="AE11" s="41"/>
      <c r="AF11" s="41"/>
      <c r="AG11" s="41"/>
      <c r="AH11" s="52"/>
      <c r="AI11" s="8"/>
      <c r="AJ11" s="8"/>
      <c r="AK11" s="8"/>
      <c r="AL11" s="8"/>
      <c r="AM11" s="8"/>
      <c r="AN11" s="8"/>
      <c r="AO11" s="8"/>
      <c r="AP11" s="8"/>
      <c r="AQ11" s="8"/>
      <c r="AR11" s="9"/>
    </row>
    <row r="12" spans="1:44" ht="64.5" customHeight="1" x14ac:dyDescent="0.2">
      <c r="K12" s="42" t="s">
        <v>84</v>
      </c>
      <c r="L12" s="42" t="s">
        <v>26</v>
      </c>
      <c r="M12" s="42" t="s">
        <v>16</v>
      </c>
      <c r="N12" s="42" t="s">
        <v>6</v>
      </c>
      <c r="O12" s="42" t="s">
        <v>77</v>
      </c>
      <c r="P12" s="42" t="s">
        <v>17</v>
      </c>
      <c r="Q12" s="42" t="s">
        <v>78</v>
      </c>
      <c r="R12" s="42" t="s">
        <v>18</v>
      </c>
      <c r="S12" s="42" t="s">
        <v>24</v>
      </c>
      <c r="T12" s="42" t="s">
        <v>22</v>
      </c>
      <c r="U12" s="42" t="s">
        <v>23</v>
      </c>
      <c r="V12" s="42" t="s">
        <v>21</v>
      </c>
      <c r="W12" s="42" t="s">
        <v>35</v>
      </c>
      <c r="X12" s="42" t="s">
        <v>8</v>
      </c>
      <c r="Y12" s="42" t="s">
        <v>82</v>
      </c>
      <c r="Z12" s="42" t="s">
        <v>81</v>
      </c>
      <c r="AA12" s="42" t="s">
        <v>80</v>
      </c>
      <c r="AB12" s="42" t="s">
        <v>9</v>
      </c>
      <c r="AC12" s="42" t="s">
        <v>83</v>
      </c>
      <c r="AD12" s="42" t="s">
        <v>10</v>
      </c>
      <c r="AE12" s="42" t="s">
        <v>7</v>
      </c>
      <c r="AF12" s="42" t="s">
        <v>11</v>
      </c>
      <c r="AG12" s="42" t="s">
        <v>12</v>
      </c>
      <c r="AH12" s="53"/>
      <c r="AI12" s="8"/>
      <c r="AJ12" s="8"/>
      <c r="AK12" s="8"/>
      <c r="AL12" s="8"/>
      <c r="AM12" s="8"/>
      <c r="AN12" s="8"/>
      <c r="AO12" s="8"/>
      <c r="AP12" s="8"/>
      <c r="AQ12" s="8"/>
      <c r="AR12" s="9"/>
    </row>
    <row r="13" spans="1:44" x14ac:dyDescent="0.2">
      <c r="K13" s="54" t="s">
        <v>29</v>
      </c>
      <c r="L13" s="54" t="s">
        <v>27</v>
      </c>
      <c r="M13" s="46">
        <v>0</v>
      </c>
      <c r="N13" s="46" t="s">
        <v>34</v>
      </c>
      <c r="O13" s="45" t="s">
        <v>34</v>
      </c>
      <c r="P13" s="55">
        <f>W13/Q5</f>
        <v>2.6979938271604938E-3</v>
      </c>
      <c r="Q13" s="45" t="s">
        <v>34</v>
      </c>
      <c r="R13" s="45" t="s">
        <v>34</v>
      </c>
      <c r="S13" s="45" t="s">
        <v>34</v>
      </c>
      <c r="T13" s="45" t="s">
        <v>34</v>
      </c>
      <c r="U13" s="45" t="s">
        <v>34</v>
      </c>
      <c r="V13" s="45" t="s">
        <v>34</v>
      </c>
      <c r="W13" s="45">
        <f>'Slump Tests'!G5</f>
        <v>5.8276666666666666</v>
      </c>
      <c r="X13" s="55">
        <f>O5-P13</f>
        <v>2.6620061728395063E-3</v>
      </c>
      <c r="Y13" s="45">
        <f>X13/P13</f>
        <v>0.9866613281473432</v>
      </c>
      <c r="Z13" s="45">
        <f>Y13/(1+Y13)</f>
        <v>0.49664294269393772</v>
      </c>
      <c r="AA13" s="45" t="s">
        <v>34</v>
      </c>
      <c r="AB13" s="56">
        <f>1-Z13</f>
        <v>0.50335705730606228</v>
      </c>
      <c r="AC13" s="45" t="s">
        <v>34</v>
      </c>
      <c r="AD13" s="57">
        <f>'Slump Tests'!K5</f>
        <v>0.11533333333333333</v>
      </c>
      <c r="AE13" s="57">
        <f>M5-AD13</f>
        <v>7.4666666666666673E-2</v>
      </c>
      <c r="AF13" s="57">
        <f>P13/O5</f>
        <v>0.50335705730606228</v>
      </c>
      <c r="AG13" s="45">
        <f>'Slump Tests'!O5</f>
        <v>0.35966666666666663</v>
      </c>
      <c r="AH13" s="48"/>
      <c r="AI13" s="8"/>
      <c r="AJ13" s="8"/>
      <c r="AK13" s="8"/>
      <c r="AL13" s="8"/>
      <c r="AM13" s="8"/>
      <c r="AN13" s="8"/>
      <c r="AO13" s="8"/>
      <c r="AP13" s="8"/>
      <c r="AQ13" s="8"/>
      <c r="AR13" s="9"/>
    </row>
    <row r="14" spans="1:44" x14ac:dyDescent="0.2">
      <c r="K14" s="54" t="s">
        <v>29</v>
      </c>
      <c r="L14" s="54" t="s">
        <v>28</v>
      </c>
      <c r="M14" s="46">
        <v>0</v>
      </c>
      <c r="N14" s="46" t="s">
        <v>34</v>
      </c>
      <c r="O14" s="45" t="s">
        <v>34</v>
      </c>
      <c r="P14" s="58">
        <f>W14/Q5</f>
        <v>2.8489197530864197E-3</v>
      </c>
      <c r="Q14" s="45" t="s">
        <v>34</v>
      </c>
      <c r="R14" s="45" t="s">
        <v>34</v>
      </c>
      <c r="S14" s="45" t="s">
        <v>34</v>
      </c>
      <c r="T14" s="45" t="s">
        <v>34</v>
      </c>
      <c r="U14" s="45" t="s">
        <v>34</v>
      </c>
      <c r="V14" s="45" t="s">
        <v>34</v>
      </c>
      <c r="W14" s="45">
        <f>'Slump Tests'!G6</f>
        <v>6.1536666666666662</v>
      </c>
      <c r="X14" s="58">
        <f>O5-P14</f>
        <v>2.5110802469135805E-3</v>
      </c>
      <c r="Y14" s="56">
        <f t="shared" ref="Y14:Y20" si="0">X14/P14</f>
        <v>0.88141487460050927</v>
      </c>
      <c r="Z14" s="56">
        <f>Y14/(1+Y14)</f>
        <v>0.46848512069283216</v>
      </c>
      <c r="AA14" s="45" t="s">
        <v>34</v>
      </c>
      <c r="AB14" s="56">
        <f>1-Z14</f>
        <v>0.53151487930716779</v>
      </c>
      <c r="AC14" s="45" t="s">
        <v>34</v>
      </c>
      <c r="AD14" s="57">
        <f>'Slump Tests'!K6</f>
        <v>0.121</v>
      </c>
      <c r="AE14" s="56">
        <f>M5-AD14</f>
        <v>6.9000000000000006E-2</v>
      </c>
      <c r="AF14" s="57">
        <f>P14/O5</f>
        <v>0.53151487930716779</v>
      </c>
      <c r="AG14" s="45">
        <f>'Slump Tests'!O6</f>
        <v>0.41099999999999998</v>
      </c>
      <c r="AH14" s="48"/>
      <c r="AI14" s="8"/>
      <c r="AJ14" s="8"/>
      <c r="AK14" s="8"/>
      <c r="AL14" s="8"/>
      <c r="AM14" s="8"/>
      <c r="AN14" s="8"/>
      <c r="AO14" s="8"/>
      <c r="AP14" s="8"/>
      <c r="AQ14" s="8"/>
      <c r="AR14" s="9"/>
    </row>
    <row r="15" spans="1:44" x14ac:dyDescent="0.2">
      <c r="K15" s="54" t="s">
        <v>30</v>
      </c>
      <c r="L15" s="54" t="s">
        <v>27</v>
      </c>
      <c r="M15" s="46">
        <v>0</v>
      </c>
      <c r="N15" s="46" t="s">
        <v>34</v>
      </c>
      <c r="O15" s="45" t="s">
        <v>34</v>
      </c>
      <c r="P15" s="55">
        <f>W15/Q6</f>
        <v>4.3365079365079362E-3</v>
      </c>
      <c r="Q15" s="45" t="s">
        <v>34</v>
      </c>
      <c r="R15" s="45" t="s">
        <v>34</v>
      </c>
      <c r="S15" s="45" t="s">
        <v>34</v>
      </c>
      <c r="T15" s="45" t="s">
        <v>34</v>
      </c>
      <c r="U15" s="45" t="s">
        <v>34</v>
      </c>
      <c r="V15" s="45" t="s">
        <v>34</v>
      </c>
      <c r="W15" s="45">
        <f>'Slump Tests'!G7</f>
        <v>5.4639999999999995</v>
      </c>
      <c r="X15" s="58">
        <f>O6-P15</f>
        <v>1.023492063492064E-3</v>
      </c>
      <c r="Y15" s="56">
        <f t="shared" si="0"/>
        <v>0.23601756954612019</v>
      </c>
      <c r="Z15" s="56">
        <f t="shared" ref="Z15:Z16" si="1">Y15/(1+Y15)</f>
        <v>0.19095001184553431</v>
      </c>
      <c r="AA15" s="45" t="s">
        <v>34</v>
      </c>
      <c r="AB15" s="56">
        <f>1-Z15</f>
        <v>0.80904998815446572</v>
      </c>
      <c r="AC15" s="45" t="s">
        <v>34</v>
      </c>
      <c r="AD15" s="57">
        <f>'Slump Tests'!K7</f>
        <v>0.17566666666666664</v>
      </c>
      <c r="AE15" s="57">
        <f>M7-AD15</f>
        <v>1.4333333333333365E-2</v>
      </c>
      <c r="AF15" s="57">
        <f>P15/O6</f>
        <v>0.80904998815446572</v>
      </c>
      <c r="AG15" s="45">
        <f>'Slump Tests'!O7</f>
        <v>0.23300000000000001</v>
      </c>
      <c r="AH15" s="48"/>
      <c r="AI15" s="8"/>
      <c r="AJ15" s="8"/>
      <c r="AK15" s="8"/>
      <c r="AL15" s="8"/>
      <c r="AM15" s="8"/>
      <c r="AN15" s="8"/>
      <c r="AO15" s="8"/>
      <c r="AP15" s="8"/>
      <c r="AQ15" s="8"/>
      <c r="AR15" s="9"/>
    </row>
    <row r="16" spans="1:44" x14ac:dyDescent="0.2">
      <c r="K16" s="54" t="s">
        <v>30</v>
      </c>
      <c r="L16" s="54" t="s">
        <v>28</v>
      </c>
      <c r="M16" s="46">
        <v>0</v>
      </c>
      <c r="N16" s="46" t="s">
        <v>34</v>
      </c>
      <c r="O16" s="45" t="s">
        <v>34</v>
      </c>
      <c r="P16" s="55">
        <f>W16/Q6</f>
        <v>4.4288359788359783E-3</v>
      </c>
      <c r="Q16" s="45" t="s">
        <v>34</v>
      </c>
      <c r="R16" s="45" t="s">
        <v>34</v>
      </c>
      <c r="S16" s="45" t="s">
        <v>34</v>
      </c>
      <c r="T16" s="45" t="s">
        <v>34</v>
      </c>
      <c r="U16" s="45" t="s">
        <v>34</v>
      </c>
      <c r="V16" s="45" t="s">
        <v>34</v>
      </c>
      <c r="W16" s="45">
        <f>'Slump Tests'!G8</f>
        <v>5.5803333333333329</v>
      </c>
      <c r="X16" s="58">
        <f>O6-P16</f>
        <v>9.3116402116402187E-4</v>
      </c>
      <c r="Y16" s="56">
        <f t="shared" si="0"/>
        <v>0.21025028373454413</v>
      </c>
      <c r="Z16" s="56">
        <f t="shared" si="1"/>
        <v>0.17372463081418318</v>
      </c>
      <c r="AA16" s="45" t="s">
        <v>34</v>
      </c>
      <c r="AB16" s="56">
        <f>1-Z16</f>
        <v>0.82627536918581679</v>
      </c>
      <c r="AC16" s="45" t="s">
        <v>34</v>
      </c>
      <c r="AD16" s="57">
        <f>'Slump Tests'!K8</f>
        <v>0.18499999999999997</v>
      </c>
      <c r="AE16" s="57">
        <f>M6-AD16</f>
        <v>5.0000000000000322E-3</v>
      </c>
      <c r="AF16" s="57">
        <f>P16/O6</f>
        <v>0.82627536918581679</v>
      </c>
      <c r="AG16" s="45">
        <f>'Slump Tests'!O8</f>
        <v>0.24099999999999999</v>
      </c>
      <c r="AH16" s="48"/>
      <c r="AI16" s="8"/>
      <c r="AJ16" s="8"/>
      <c r="AK16" s="8"/>
      <c r="AL16" s="8"/>
      <c r="AM16" s="8"/>
      <c r="AN16" s="8"/>
      <c r="AO16" s="8"/>
      <c r="AP16" s="8"/>
      <c r="AQ16" s="8"/>
      <c r="AR16" s="9"/>
    </row>
    <row r="17" spans="11:44" x14ac:dyDescent="0.2">
      <c r="K17" s="54" t="s">
        <v>31</v>
      </c>
      <c r="L17" s="54" t="s">
        <v>27</v>
      </c>
      <c r="M17" s="46">
        <v>0</v>
      </c>
      <c r="N17" s="46" t="s">
        <v>34</v>
      </c>
      <c r="O17" s="45" t="s">
        <v>34</v>
      </c>
      <c r="P17" s="55">
        <f>W17/Q7</f>
        <v>3.0873015873015873E-3</v>
      </c>
      <c r="Q17" s="45" t="s">
        <v>34</v>
      </c>
      <c r="R17" s="45" t="s">
        <v>34</v>
      </c>
      <c r="S17" s="45" t="s">
        <v>34</v>
      </c>
      <c r="T17" s="45" t="s">
        <v>34</v>
      </c>
      <c r="U17" s="45" t="s">
        <v>34</v>
      </c>
      <c r="V17" s="45" t="s">
        <v>34</v>
      </c>
      <c r="W17" s="45">
        <f>'Slump Tests'!G9</f>
        <v>5.1866666666666665</v>
      </c>
      <c r="X17" s="55">
        <f>O7-P17</f>
        <v>2.2726984126984128E-3</v>
      </c>
      <c r="Y17" s="45">
        <f t="shared" si="0"/>
        <v>0.73614395886889461</v>
      </c>
      <c r="Z17" s="45">
        <f>Y17/(1+Y17)</f>
        <v>0.42401089789149488</v>
      </c>
      <c r="AA17" s="45" t="s">
        <v>34</v>
      </c>
      <c r="AB17" s="56">
        <f>1-Z17</f>
        <v>0.57598910210850507</v>
      </c>
      <c r="AC17" s="45" t="s">
        <v>34</v>
      </c>
      <c r="AD17" s="57">
        <f>'Slump Tests'!K9</f>
        <v>0.16166666666666665</v>
      </c>
      <c r="AE17" s="57">
        <f>M7-AD17</f>
        <v>2.8333333333333349E-2</v>
      </c>
      <c r="AF17" s="57">
        <f>P17/O7</f>
        <v>0.57598910210850507</v>
      </c>
      <c r="AG17" s="45">
        <f>'Slump Tests'!O9</f>
        <v>0.47133333333333333</v>
      </c>
      <c r="AH17" s="48"/>
      <c r="AI17" s="8"/>
      <c r="AJ17" s="8"/>
      <c r="AK17" s="8"/>
      <c r="AL17" s="8"/>
      <c r="AM17" s="8"/>
      <c r="AN17" s="8"/>
      <c r="AO17" s="8"/>
      <c r="AP17" s="8"/>
      <c r="AQ17" s="8"/>
      <c r="AR17" s="9"/>
    </row>
    <row r="18" spans="11:44" x14ac:dyDescent="0.2">
      <c r="K18" s="54" t="s">
        <v>32</v>
      </c>
      <c r="L18" s="54" t="s">
        <v>28</v>
      </c>
      <c r="M18" s="46">
        <v>0</v>
      </c>
      <c r="N18" s="46" t="s">
        <v>34</v>
      </c>
      <c r="O18" s="45" t="s">
        <v>34</v>
      </c>
      <c r="P18" s="55">
        <f>W18/Q7</f>
        <v>3.3646825396825403E-3</v>
      </c>
      <c r="Q18" s="45" t="s">
        <v>34</v>
      </c>
      <c r="R18" s="45" t="s">
        <v>34</v>
      </c>
      <c r="S18" s="45" t="s">
        <v>34</v>
      </c>
      <c r="T18" s="45" t="s">
        <v>34</v>
      </c>
      <c r="U18" s="45" t="s">
        <v>34</v>
      </c>
      <c r="V18" s="45" t="s">
        <v>34</v>
      </c>
      <c r="W18" s="45">
        <f>'Slump Tests'!G10</f>
        <v>5.6526666666666676</v>
      </c>
      <c r="X18" s="55">
        <f>O7-P18</f>
        <v>1.9953174603174599E-3</v>
      </c>
      <c r="Y18" s="45">
        <f t="shared" si="0"/>
        <v>0.5930180445807286</v>
      </c>
      <c r="Z18" s="45">
        <f t="shared" ref="Z18" si="2">Y18/(1+Y18)</f>
        <v>0.37226072020848128</v>
      </c>
      <c r="AA18" s="45" t="s">
        <v>34</v>
      </c>
      <c r="AB18" s="56">
        <f t="shared" ref="AB18:AB20" si="3">1-Z18</f>
        <v>0.62773927979151867</v>
      </c>
      <c r="AC18" s="45" t="s">
        <v>34</v>
      </c>
      <c r="AD18" s="57">
        <f>'Slump Tests'!K10</f>
        <v>0.18966666666666665</v>
      </c>
      <c r="AE18" s="57">
        <f>M7-AD18</f>
        <v>3.3333333333335213E-4</v>
      </c>
      <c r="AF18" s="57">
        <f>P18/O7</f>
        <v>0.62773927979151867</v>
      </c>
      <c r="AG18" s="45">
        <f>'Slump Tests'!O10</f>
        <v>0.26100000000000001</v>
      </c>
      <c r="AH18" s="48"/>
      <c r="AI18" s="8"/>
      <c r="AJ18" s="8"/>
      <c r="AK18" s="8"/>
      <c r="AL18" s="8"/>
      <c r="AM18" s="8"/>
      <c r="AN18" s="8"/>
      <c r="AO18" s="8"/>
      <c r="AP18" s="8"/>
      <c r="AQ18" s="8"/>
      <c r="AR18" s="9"/>
    </row>
    <row r="19" spans="11:44" x14ac:dyDescent="0.2">
      <c r="K19" s="54" t="s">
        <v>33</v>
      </c>
      <c r="L19" s="54" t="s">
        <v>27</v>
      </c>
      <c r="M19" s="46">
        <v>0</v>
      </c>
      <c r="N19" s="46" t="s">
        <v>34</v>
      </c>
      <c r="O19" s="45" t="s">
        <v>34</v>
      </c>
      <c r="P19" s="55">
        <f>W19/Q8</f>
        <v>4.2081128747795413E-3</v>
      </c>
      <c r="Q19" s="45" t="s">
        <v>34</v>
      </c>
      <c r="R19" s="45" t="s">
        <v>34</v>
      </c>
      <c r="S19" s="45" t="s">
        <v>34</v>
      </c>
      <c r="T19" s="45" t="s">
        <v>34</v>
      </c>
      <c r="U19" s="45" t="s">
        <v>34</v>
      </c>
      <c r="V19" s="45" t="s">
        <v>34</v>
      </c>
      <c r="W19" s="45">
        <f>'Slump Tests'!G11</f>
        <v>6.3626666666666667</v>
      </c>
      <c r="X19" s="55">
        <f>O8-P19</f>
        <v>1.1518871252204589E-3</v>
      </c>
      <c r="Y19" s="45">
        <f t="shared" si="0"/>
        <v>0.27373009220452649</v>
      </c>
      <c r="Z19" s="45">
        <f>Y19/(1+Y19)</f>
        <v>0.21490431440680202</v>
      </c>
      <c r="AA19" s="45" t="s">
        <v>34</v>
      </c>
      <c r="AB19" s="56">
        <f>1-Z19</f>
        <v>0.78509568559319798</v>
      </c>
      <c r="AC19" s="45" t="s">
        <v>34</v>
      </c>
      <c r="AD19" s="57">
        <f>'Slump Tests'!K11</f>
        <v>0.18933333333333335</v>
      </c>
      <c r="AE19" s="57">
        <f>M8-AD19</f>
        <v>6.6666666666664876E-4</v>
      </c>
      <c r="AF19" s="57">
        <f>P19/O8</f>
        <v>0.78509568559319798</v>
      </c>
      <c r="AG19" s="45">
        <f>'Slump Tests'!O11</f>
        <v>0.46700000000000003</v>
      </c>
      <c r="AH19" s="48"/>
      <c r="AI19" s="8"/>
      <c r="AJ19" s="8"/>
      <c r="AK19" s="8"/>
      <c r="AL19" s="8"/>
      <c r="AM19" s="8"/>
      <c r="AN19" s="8"/>
      <c r="AO19" s="8"/>
      <c r="AP19" s="8"/>
      <c r="AQ19" s="8"/>
      <c r="AR19" s="9"/>
    </row>
    <row r="20" spans="11:44" x14ac:dyDescent="0.2">
      <c r="K20" s="54" t="s">
        <v>33</v>
      </c>
      <c r="L20" s="54" t="s">
        <v>28</v>
      </c>
      <c r="M20" s="46">
        <v>0</v>
      </c>
      <c r="N20" s="46" t="s">
        <v>34</v>
      </c>
      <c r="O20" s="45" t="s">
        <v>34</v>
      </c>
      <c r="P20" s="55">
        <f>W20/Q8</f>
        <v>4.3514109347442681E-3</v>
      </c>
      <c r="Q20" s="45" t="s">
        <v>34</v>
      </c>
      <c r="R20" s="45" t="s">
        <v>34</v>
      </c>
      <c r="S20" s="45" t="s">
        <v>34</v>
      </c>
      <c r="T20" s="45" t="s">
        <v>34</v>
      </c>
      <c r="U20" s="45" t="s">
        <v>34</v>
      </c>
      <c r="V20" s="45" t="s">
        <v>34</v>
      </c>
      <c r="W20" s="45">
        <f>'Slump Tests'!G12</f>
        <v>6.5793333333333335</v>
      </c>
      <c r="X20" s="55">
        <f>O8-P20</f>
        <v>1.0085890652557321E-3</v>
      </c>
      <c r="Y20" s="45">
        <f t="shared" si="0"/>
        <v>0.23178437531664814</v>
      </c>
      <c r="Z20" s="45">
        <f>Y20/(1+Y20)</f>
        <v>0.18816960172681568</v>
      </c>
      <c r="AA20" s="45" t="s">
        <v>34</v>
      </c>
      <c r="AB20" s="56">
        <f t="shared" si="3"/>
        <v>0.81183039827318426</v>
      </c>
      <c r="AC20" s="45" t="s">
        <v>34</v>
      </c>
      <c r="AD20" s="57">
        <f>'Slump Tests'!K12</f>
        <v>0.19000000000000003</v>
      </c>
      <c r="AE20" s="57">
        <f>M8-AD20</f>
        <v>0</v>
      </c>
      <c r="AF20" s="57">
        <f>P20/O8</f>
        <v>0.81183039827318437</v>
      </c>
      <c r="AG20" s="45">
        <f>'Slump Tests'!O12</f>
        <v>0.24</v>
      </c>
      <c r="AH20" s="48"/>
      <c r="AI20" s="8"/>
      <c r="AJ20" s="8"/>
      <c r="AK20" s="8"/>
      <c r="AL20" s="8"/>
      <c r="AM20" s="8"/>
      <c r="AN20" s="8"/>
      <c r="AO20" s="8"/>
      <c r="AP20" s="8"/>
      <c r="AQ20" s="8"/>
      <c r="AR20" s="9"/>
    </row>
    <row r="21" spans="11:44" x14ac:dyDescent="0.2">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9"/>
    </row>
    <row r="22" spans="11:44" x14ac:dyDescent="0.2">
      <c r="K22" s="8"/>
      <c r="L22" s="8"/>
      <c r="M22" s="17"/>
      <c r="N22" s="17"/>
      <c r="O22" s="17"/>
      <c r="P22" s="17"/>
      <c r="Q22" s="17"/>
      <c r="R22" s="17"/>
      <c r="S22" s="17"/>
      <c r="T22" s="17"/>
      <c r="U22" s="17"/>
      <c r="V22" s="17"/>
      <c r="W22" s="17"/>
      <c r="X22" s="17"/>
      <c r="Y22" s="17"/>
      <c r="Z22" s="17"/>
      <c r="AA22" s="17"/>
      <c r="AB22" s="17"/>
      <c r="AC22" s="17"/>
      <c r="AD22" s="17"/>
      <c r="AE22" s="17"/>
      <c r="AF22" s="17"/>
      <c r="AG22" s="17"/>
      <c r="AH22" s="17"/>
      <c r="AI22" s="8"/>
      <c r="AJ22" s="8"/>
      <c r="AK22" s="8"/>
      <c r="AL22" s="8"/>
      <c r="AM22" s="8"/>
      <c r="AN22" s="8"/>
      <c r="AO22" s="8"/>
      <c r="AP22" s="8"/>
      <c r="AQ22" s="8"/>
      <c r="AR22" s="9"/>
    </row>
    <row r="23" spans="11:44" x14ac:dyDescent="0.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8"/>
      <c r="AJ23" s="8"/>
      <c r="AK23" s="8"/>
      <c r="AL23" s="8"/>
      <c r="AM23" s="8"/>
      <c r="AN23" s="8"/>
      <c r="AO23" s="8"/>
      <c r="AP23" s="8"/>
      <c r="AQ23" s="8"/>
      <c r="AR23" s="9"/>
    </row>
    <row r="24" spans="11:44" ht="63.75" x14ac:dyDescent="0.2">
      <c r="K24" s="42" t="s">
        <v>84</v>
      </c>
      <c r="L24" s="42" t="s">
        <v>26</v>
      </c>
      <c r="M24" s="42" t="s">
        <v>16</v>
      </c>
      <c r="N24" s="42" t="s">
        <v>6</v>
      </c>
      <c r="O24" s="42" t="s">
        <v>79</v>
      </c>
      <c r="P24" s="42" t="s">
        <v>17</v>
      </c>
      <c r="Q24" s="42" t="s">
        <v>78</v>
      </c>
      <c r="R24" s="42" t="s">
        <v>18</v>
      </c>
      <c r="S24" s="42" t="s">
        <v>24</v>
      </c>
      <c r="T24" s="42" t="s">
        <v>22</v>
      </c>
      <c r="U24" s="42" t="s">
        <v>23</v>
      </c>
      <c r="V24" s="42" t="s">
        <v>21</v>
      </c>
      <c r="W24" s="42" t="s">
        <v>19</v>
      </c>
      <c r="X24" s="42" t="s">
        <v>8</v>
      </c>
      <c r="Y24" s="42" t="s">
        <v>82</v>
      </c>
      <c r="Z24" s="42" t="s">
        <v>81</v>
      </c>
      <c r="AA24" s="42" t="s">
        <v>80</v>
      </c>
      <c r="AB24" s="42" t="s">
        <v>9</v>
      </c>
      <c r="AC24" s="42" t="s">
        <v>83</v>
      </c>
      <c r="AD24" s="42" t="s">
        <v>10</v>
      </c>
      <c r="AE24" s="42" t="s">
        <v>7</v>
      </c>
      <c r="AF24" s="42" t="s">
        <v>11</v>
      </c>
      <c r="AG24" s="42" t="s">
        <v>12</v>
      </c>
      <c r="AH24" s="43"/>
      <c r="AI24" s="8"/>
      <c r="AJ24" s="8"/>
      <c r="AK24" s="8"/>
      <c r="AL24" s="8"/>
      <c r="AM24" s="8"/>
      <c r="AN24" s="8"/>
      <c r="AO24" s="8"/>
      <c r="AP24" s="8"/>
      <c r="AQ24" s="8"/>
      <c r="AR24" s="9"/>
    </row>
    <row r="25" spans="11:44" x14ac:dyDescent="0.2">
      <c r="K25" s="59" t="s">
        <v>32</v>
      </c>
      <c r="L25" s="59" t="s">
        <v>27</v>
      </c>
      <c r="M25" s="56">
        <v>0</v>
      </c>
      <c r="N25" s="59"/>
      <c r="O25" s="59"/>
      <c r="P25" s="60">
        <f>V25/Q7</f>
        <v>3.0904761904761904E-3</v>
      </c>
      <c r="Q25" s="56">
        <v>9</v>
      </c>
      <c r="R25" s="58">
        <f>Q25/Q7</f>
        <v>5.3571428571428572E-3</v>
      </c>
      <c r="S25" s="58"/>
      <c r="T25" s="56"/>
      <c r="U25" s="56">
        <f>T25/P7</f>
        <v>0</v>
      </c>
      <c r="V25" s="56">
        <v>5.1920000000000002</v>
      </c>
      <c r="W25" s="61">
        <v>5.1920000000000002</v>
      </c>
      <c r="X25" s="58">
        <f>O7-P25</f>
        <v>2.2695238095238098E-3</v>
      </c>
      <c r="Y25" s="56">
        <f t="shared" ref="Y25:Y35" si="4">X25/P25</f>
        <v>0.73436055469953787</v>
      </c>
      <c r="Z25" s="56">
        <f>Y25/(1+Y25)</f>
        <v>0.42341862117981521</v>
      </c>
      <c r="AA25" s="56">
        <f t="shared" ref="AA25:AA35" si="5">N25/P25</f>
        <v>0</v>
      </c>
      <c r="AB25" s="56">
        <f>1-Z25</f>
        <v>0.57658137882018479</v>
      </c>
      <c r="AC25" s="59"/>
      <c r="AD25" s="56">
        <v>0.185</v>
      </c>
      <c r="AE25" s="56">
        <f>M7-AD25</f>
        <v>5.0000000000000044E-3</v>
      </c>
      <c r="AF25" s="56">
        <f>P25/O7</f>
        <v>0.57658137882018479</v>
      </c>
      <c r="AG25" s="56">
        <v>0.47</v>
      </c>
      <c r="AH25" s="48"/>
      <c r="AI25" s="8"/>
      <c r="AJ25" s="8"/>
      <c r="AK25" s="8"/>
      <c r="AL25" s="8"/>
      <c r="AM25" s="8"/>
      <c r="AN25" s="8"/>
      <c r="AO25" s="8"/>
      <c r="AP25" s="8"/>
      <c r="AQ25" s="8"/>
      <c r="AR25" s="9"/>
    </row>
    <row r="26" spans="11:44" x14ac:dyDescent="0.2">
      <c r="K26" s="54" t="s">
        <v>31</v>
      </c>
      <c r="L26" s="54" t="s">
        <v>27</v>
      </c>
      <c r="M26" s="45">
        <v>0</v>
      </c>
      <c r="N26" s="62">
        <f>R26*0.02</f>
        <v>1.0714285714285715E-4</v>
      </c>
      <c r="O26" s="63">
        <f>P7*N26</f>
        <v>0.1069232142857143</v>
      </c>
      <c r="P26" s="62">
        <f>V26/Q7</f>
        <v>2.682092710700584E-3</v>
      </c>
      <c r="Q26" s="45">
        <v>9</v>
      </c>
      <c r="R26" s="55">
        <f>Q26/Q7</f>
        <v>5.3571428571428572E-3</v>
      </c>
      <c r="S26" s="55">
        <f>(R7-(U26*R7))/(U26*(1-R7))</f>
        <v>0.62771057636085181</v>
      </c>
      <c r="T26" s="45">
        <f>W26/O7</f>
        <v>1339.2412935323384</v>
      </c>
      <c r="U26" s="45">
        <f>T26/P7</f>
        <v>1.3419923779070477</v>
      </c>
      <c r="V26" s="45">
        <f t="shared" ref="V26:V35" si="6">S26*W26</f>
        <v>4.5059157539769812</v>
      </c>
      <c r="W26" s="14">
        <f>'Slump Tests'!G16</f>
        <v>7.1783333333333337</v>
      </c>
      <c r="X26" s="55">
        <f>O7-P26</f>
        <v>2.6779072892994162E-3</v>
      </c>
      <c r="Y26" s="45">
        <f t="shared" si="4"/>
        <v>0.99843949413662347</v>
      </c>
      <c r="Z26" s="45">
        <f t="shared" ref="Z26:Z35" si="7">Y26/(1+Y26)</f>
        <v>0.49960956889914482</v>
      </c>
      <c r="AA26" s="45">
        <f t="shared" si="5"/>
        <v>3.9947484557635068E-2</v>
      </c>
      <c r="AB26" s="45">
        <f>1-Z26</f>
        <v>0.50039043110085513</v>
      </c>
      <c r="AC26" s="45">
        <f t="shared" ref="AC26:AC35" si="8">O26/V26</f>
        <v>2.3729519175173758E-2</v>
      </c>
      <c r="AD26" s="45">
        <f>'Slump Tests'!K16</f>
        <v>0.17899999999999996</v>
      </c>
      <c r="AE26" s="45">
        <f>M7-AD26</f>
        <v>1.1000000000000038E-2</v>
      </c>
      <c r="AF26" s="45">
        <f>P26/O7</f>
        <v>0.50039043110085524</v>
      </c>
      <c r="AG26" s="45">
        <f>'Slump Tests'!O16</f>
        <v>0.28699999999999998</v>
      </c>
      <c r="AH26" s="48"/>
      <c r="AI26" s="8"/>
      <c r="AJ26" s="8"/>
      <c r="AK26" s="8"/>
      <c r="AL26" s="8"/>
      <c r="AM26" s="8"/>
      <c r="AN26" s="8"/>
      <c r="AO26" s="8"/>
      <c r="AP26" s="8"/>
      <c r="AQ26" s="8"/>
      <c r="AR26" s="9"/>
    </row>
    <row r="27" spans="11:44" x14ac:dyDescent="0.2">
      <c r="K27" s="54" t="s">
        <v>31</v>
      </c>
      <c r="L27" s="54" t="s">
        <v>27</v>
      </c>
      <c r="M27" s="45">
        <v>0</v>
      </c>
      <c r="N27" s="62">
        <f>R27*0.04</f>
        <v>2.142857142857143E-4</v>
      </c>
      <c r="O27" s="63">
        <f>P7*N27</f>
        <v>0.2138464285714286</v>
      </c>
      <c r="P27" s="62">
        <f>V27/Q7</f>
        <v>2.7461153874349378E-3</v>
      </c>
      <c r="Q27" s="45">
        <v>9</v>
      </c>
      <c r="R27" s="55">
        <f>Q27/Q7</f>
        <v>5.3571428571428572E-3</v>
      </c>
      <c r="S27" s="55">
        <f>(R7-(U27*R7))/(U27*(1-R7))</f>
        <v>0.63880834268771747</v>
      </c>
      <c r="T27" s="45">
        <f>W27/O7</f>
        <v>1347.3880597014925</v>
      </c>
      <c r="U27" s="45">
        <f>T27/P7</f>
        <v>1.350155879253963</v>
      </c>
      <c r="V27" s="45">
        <f t="shared" si="6"/>
        <v>4.6134738508906956</v>
      </c>
      <c r="W27" s="14">
        <f>'Slump Tests'!G17</f>
        <v>7.2220000000000004</v>
      </c>
      <c r="X27" s="55">
        <f>O7-P27</f>
        <v>2.6138846125650624E-3</v>
      </c>
      <c r="Y27" s="45">
        <f t="shared" si="4"/>
        <v>0.95184806309490577</v>
      </c>
      <c r="Z27" s="45">
        <f t="shared" si="7"/>
        <v>0.48766503965766089</v>
      </c>
      <c r="AA27" s="45">
        <f t="shared" si="5"/>
        <v>7.8032305294305937E-2</v>
      </c>
      <c r="AB27" s="45">
        <f t="shared" ref="AB27:AB35" si="9">1-Z27</f>
        <v>0.51233496034233905</v>
      </c>
      <c r="AC27" s="45">
        <f t="shared" si="8"/>
        <v>4.6352582778840842E-2</v>
      </c>
      <c r="AD27" s="45">
        <f>'Slump Tests'!K17</f>
        <v>0.18099999999999997</v>
      </c>
      <c r="AE27" s="45">
        <f>M7-AD27</f>
        <v>9.0000000000000357E-3</v>
      </c>
      <c r="AF27" s="45">
        <f>P27/O7</f>
        <v>0.51233496034233916</v>
      </c>
      <c r="AG27" s="45">
        <f>'Slump Tests'!O17</f>
        <v>0.29733333333333328</v>
      </c>
      <c r="AH27" s="48"/>
      <c r="AI27" s="8"/>
      <c r="AJ27" s="8"/>
      <c r="AK27" s="8"/>
      <c r="AL27" s="8"/>
      <c r="AM27" s="8"/>
      <c r="AN27" s="8"/>
      <c r="AO27" s="8"/>
      <c r="AP27" s="8"/>
      <c r="AQ27" s="8"/>
      <c r="AR27" s="9"/>
    </row>
    <row r="28" spans="11:44" x14ac:dyDescent="0.2">
      <c r="K28" s="54" t="s">
        <v>31</v>
      </c>
      <c r="L28" s="54" t="s">
        <v>27</v>
      </c>
      <c r="M28" s="45">
        <v>0</v>
      </c>
      <c r="N28" s="62">
        <f>R28*0.06</f>
        <v>3.2142857142857141E-4</v>
      </c>
      <c r="O28" s="63">
        <f>P7*N28</f>
        <v>0.32076964285714288</v>
      </c>
      <c r="P28" s="62">
        <f>V28/Q7</f>
        <v>2.993897808078589E-3</v>
      </c>
      <c r="Q28" s="45">
        <v>9</v>
      </c>
      <c r="R28" s="55">
        <f>Q28/Q7</f>
        <v>5.3571428571428572E-3</v>
      </c>
      <c r="S28" s="55">
        <f>(R7-(U28*R7))/(U28*(1-R7))</f>
        <v>0.68052338216371655</v>
      </c>
      <c r="T28" s="45">
        <f>W28/O7</f>
        <v>1378.9179104477614</v>
      </c>
      <c r="U28" s="45">
        <f>T28/P7</f>
        <v>1.3817504989706513</v>
      </c>
      <c r="V28" s="45">
        <f t="shared" si="6"/>
        <v>5.0297483175720297</v>
      </c>
      <c r="W28" s="14">
        <f>'Slump Tests'!G18</f>
        <v>7.3910000000000009</v>
      </c>
      <c r="X28" s="55">
        <f>O7-P28</f>
        <v>2.3661021919214112E-3</v>
      </c>
      <c r="Y28" s="45">
        <f t="shared" si="4"/>
        <v>0.79030826821704991</v>
      </c>
      <c r="Z28" s="45">
        <f t="shared" si="7"/>
        <v>0.44143697610474092</v>
      </c>
      <c r="AA28" s="45">
        <f t="shared" si="5"/>
        <v>0.10736123676674739</v>
      </c>
      <c r="AB28" s="45">
        <f t="shared" si="9"/>
        <v>0.55856302389525903</v>
      </c>
      <c r="AC28" s="45">
        <f t="shared" si="8"/>
        <v>6.377449180439021E-2</v>
      </c>
      <c r="AD28" s="45">
        <f>'Slump Tests'!K18</f>
        <v>0.18200000000000002</v>
      </c>
      <c r="AE28" s="45">
        <f>M7-AD28</f>
        <v>7.9999999999999793E-3</v>
      </c>
      <c r="AF28" s="45">
        <f>P28/O7</f>
        <v>0.55856302389525914</v>
      </c>
      <c r="AG28" s="45">
        <f>'Slump Tests'!O18</f>
        <v>0.32400000000000001</v>
      </c>
      <c r="AH28" s="48"/>
      <c r="AI28" s="8"/>
      <c r="AJ28" s="8"/>
      <c r="AK28" s="8"/>
      <c r="AL28" s="8"/>
      <c r="AM28" s="8"/>
      <c r="AN28" s="8"/>
      <c r="AO28" s="8"/>
      <c r="AP28" s="8"/>
      <c r="AQ28" s="8"/>
      <c r="AR28" s="9"/>
    </row>
    <row r="29" spans="11:44" x14ac:dyDescent="0.2">
      <c r="K29" s="54" t="s">
        <v>31</v>
      </c>
      <c r="L29" s="54" t="s">
        <v>27</v>
      </c>
      <c r="M29" s="45">
        <v>0</v>
      </c>
      <c r="N29" s="62">
        <f>R29*0.08</f>
        <v>4.285714285714286E-4</v>
      </c>
      <c r="O29" s="63">
        <f>P7*N29</f>
        <v>0.42769285714285721</v>
      </c>
      <c r="P29" s="62">
        <f>V29/Q7</f>
        <v>3.184499670112161E-3</v>
      </c>
      <c r="Q29" s="45">
        <v>9</v>
      </c>
      <c r="R29" s="55">
        <f>Q29/Q7</f>
        <v>5.3571428571428572E-3</v>
      </c>
      <c r="S29" s="55">
        <f>(R7-(U29*R7))/(U29*(1-R7))</f>
        <v>0.71133618478771843</v>
      </c>
      <c r="T29" s="45">
        <f>W29/O7</f>
        <v>1403.1716417910447</v>
      </c>
      <c r="U29" s="45">
        <f>T29/P7</f>
        <v>1.4060540525988723</v>
      </c>
      <c r="V29" s="45">
        <f t="shared" si="6"/>
        <v>5.3499594457884303</v>
      </c>
      <c r="W29" s="14">
        <f>'Slump Tests'!G19</f>
        <v>7.5209999999999999</v>
      </c>
      <c r="X29" s="55">
        <f>O7-P29</f>
        <v>2.1755003298878392E-3</v>
      </c>
      <c r="Y29" s="45">
        <f t="shared" si="4"/>
        <v>0.68315294559638506</v>
      </c>
      <c r="Z29" s="45">
        <f t="shared" si="7"/>
        <v>0.40587692721788049</v>
      </c>
      <c r="AA29" s="45">
        <f t="shared" si="5"/>
        <v>0.13458045940269603</v>
      </c>
      <c r="AB29" s="45">
        <f t="shared" si="9"/>
        <v>0.59412307278211951</v>
      </c>
      <c r="AC29" s="45">
        <f t="shared" si="8"/>
        <v>7.9943196107690795E-2</v>
      </c>
      <c r="AD29" s="45">
        <f>'Slump Tests'!K19</f>
        <v>0.18533333333333335</v>
      </c>
      <c r="AE29" s="45">
        <f>M7-AD29</f>
        <v>4.6666666666666523E-3</v>
      </c>
      <c r="AF29" s="45">
        <f>P29/O7</f>
        <v>0.59412307278211962</v>
      </c>
      <c r="AG29" s="45">
        <f>'Slump Tests'!O19</f>
        <v>0.33</v>
      </c>
      <c r="AH29" s="48"/>
      <c r="AI29" s="8"/>
      <c r="AJ29" s="8"/>
      <c r="AK29" s="8"/>
      <c r="AL29" s="8"/>
      <c r="AM29" s="8"/>
      <c r="AN29" s="8"/>
      <c r="AO29" s="8"/>
      <c r="AP29" s="8"/>
      <c r="AQ29" s="8"/>
      <c r="AR29" s="9"/>
    </row>
    <row r="30" spans="11:44" x14ac:dyDescent="0.2">
      <c r="K30" s="54" t="s">
        <v>31</v>
      </c>
      <c r="L30" s="54" t="s">
        <v>27</v>
      </c>
      <c r="M30" s="45">
        <v>0</v>
      </c>
      <c r="N30" s="62">
        <f>R30*0.1</f>
        <v>5.3571428571428574E-4</v>
      </c>
      <c r="O30" s="63">
        <f>P7*N30</f>
        <v>0.53461607142857148</v>
      </c>
      <c r="P30" s="62">
        <f>V30/Q7</f>
        <v>3.640477970823253E-3</v>
      </c>
      <c r="Q30" s="45">
        <v>9</v>
      </c>
      <c r="R30" s="55">
        <f>Q30/Q7</f>
        <v>5.3571428571428572E-3</v>
      </c>
      <c r="S30" s="55">
        <f>(R7-(U30*R7))/(U30*(1-R7))</f>
        <v>0.7808992582971227</v>
      </c>
      <c r="T30" s="45">
        <f>W30/O7</f>
        <v>1461.1940298507463</v>
      </c>
      <c r="U30" s="45">
        <f>T30/P7</f>
        <v>1.4641956308940791</v>
      </c>
      <c r="V30" s="45">
        <f t="shared" si="6"/>
        <v>6.1160029909830653</v>
      </c>
      <c r="W30" s="14">
        <f>'Slump Tests'!G20</f>
        <v>7.8320000000000007</v>
      </c>
      <c r="X30" s="55">
        <f>O7-P30</f>
        <v>1.7195220291767472E-3</v>
      </c>
      <c r="Y30" s="45">
        <f t="shared" si="4"/>
        <v>0.47233413935145901</v>
      </c>
      <c r="Z30" s="45">
        <f t="shared" si="7"/>
        <v>0.32080634872700503</v>
      </c>
      <c r="AA30" s="45">
        <f t="shared" si="5"/>
        <v>0.1471549313051165</v>
      </c>
      <c r="AB30" s="45">
        <f t="shared" si="9"/>
        <v>0.67919365127299502</v>
      </c>
      <c r="AC30" s="45">
        <f t="shared" si="8"/>
        <v>8.7412656961869659E-2</v>
      </c>
      <c r="AD30" s="45">
        <f>'Slump Tests'!K20</f>
        <v>0.18566666666666665</v>
      </c>
      <c r="AE30" s="45">
        <f>M7-AD30</f>
        <v>4.3333333333333557E-3</v>
      </c>
      <c r="AF30" s="45">
        <f>P30/O7</f>
        <v>0.67919365127299491</v>
      </c>
      <c r="AG30" s="45">
        <f>'Slump Tests'!O20</f>
        <v>0.34</v>
      </c>
      <c r="AH30" s="48"/>
      <c r="AI30" s="8"/>
      <c r="AJ30" s="8"/>
      <c r="AK30" s="8"/>
      <c r="AL30" s="8"/>
      <c r="AM30" s="8"/>
      <c r="AN30" s="8"/>
      <c r="AO30" s="8"/>
      <c r="AP30" s="8"/>
      <c r="AQ30" s="8"/>
      <c r="AR30" s="9"/>
    </row>
    <row r="31" spans="11:44" x14ac:dyDescent="0.2">
      <c r="K31" s="54" t="s">
        <v>31</v>
      </c>
      <c r="L31" s="54" t="s">
        <v>27</v>
      </c>
      <c r="M31" s="45">
        <v>0</v>
      </c>
      <c r="N31" s="62">
        <f>R31*0.12</f>
        <v>6.4285714285714282E-4</v>
      </c>
      <c r="O31" s="63">
        <f>P7*N31</f>
        <v>0.64153928571428576</v>
      </c>
      <c r="P31" s="62">
        <f>V31/Q7</f>
        <v>3.7709669379077763E-3</v>
      </c>
      <c r="Q31" s="45">
        <v>9</v>
      </c>
      <c r="R31" s="55">
        <f>Q31/Q7</f>
        <v>5.3571428571428572E-3</v>
      </c>
      <c r="S31" s="55">
        <f>(R7-(U31*R7))/(U31*(1-R7))</f>
        <v>0.79980109275155464</v>
      </c>
      <c r="T31" s="45">
        <f>W31/O7</f>
        <v>1477.7985074626863</v>
      </c>
      <c r="U31" s="45">
        <f>T31/P7</f>
        <v>1.4808342176087843</v>
      </c>
      <c r="V31" s="45">
        <f t="shared" si="6"/>
        <v>6.3352244556850641</v>
      </c>
      <c r="W31" s="14">
        <f>'Slump Tests'!G21</f>
        <v>7.9209999999999994</v>
      </c>
      <c r="X31" s="55">
        <f>O7-P31</f>
        <v>1.5890330620922238E-3</v>
      </c>
      <c r="Y31" s="45">
        <f t="shared" si="4"/>
        <v>0.42138610289006084</v>
      </c>
      <c r="Z31" s="45">
        <f t="shared" si="7"/>
        <v>0.29646139218138501</v>
      </c>
      <c r="AA31" s="45">
        <f t="shared" si="5"/>
        <v>0.1704754121270062</v>
      </c>
      <c r="AB31" s="45">
        <f t="shared" si="9"/>
        <v>0.70353860781861499</v>
      </c>
      <c r="AC31" s="45">
        <f t="shared" si="8"/>
        <v>0.10126543900722969</v>
      </c>
      <c r="AD31" s="45">
        <f>'Slump Tests'!K21</f>
        <v>0.18766666666666665</v>
      </c>
      <c r="AE31" s="45">
        <f>M7-AD31</f>
        <v>2.3333333333333539E-3</v>
      </c>
      <c r="AF31" s="45">
        <f>P31/O7</f>
        <v>0.70353860781861499</v>
      </c>
      <c r="AG31" s="45">
        <f>'Slump Tests'!O21</f>
        <v>0.35099999999999998</v>
      </c>
      <c r="AH31" s="48"/>
      <c r="AI31" s="8"/>
      <c r="AJ31" s="8"/>
      <c r="AK31" s="8"/>
      <c r="AL31" s="8"/>
      <c r="AM31" s="8"/>
      <c r="AN31" s="8"/>
      <c r="AO31" s="8"/>
      <c r="AP31" s="8"/>
      <c r="AQ31" s="8"/>
      <c r="AR31" s="9"/>
    </row>
    <row r="32" spans="11:44" x14ac:dyDescent="0.2">
      <c r="K32" s="54" t="s">
        <v>31</v>
      </c>
      <c r="L32" s="54" t="s">
        <v>27</v>
      </c>
      <c r="M32" s="45">
        <v>0</v>
      </c>
      <c r="N32" s="62">
        <f>R32*0.14</f>
        <v>7.5000000000000012E-4</v>
      </c>
      <c r="O32" s="63">
        <f>P7*N32</f>
        <v>0.74846250000000014</v>
      </c>
      <c r="P32" s="62">
        <f>V32/Q7</f>
        <v>3.6365681890379495E-3</v>
      </c>
      <c r="Q32" s="45">
        <v>9</v>
      </c>
      <c r="R32" s="55">
        <f>Q32/Q7</f>
        <v>5.3571428571428572E-3</v>
      </c>
      <c r="S32" s="55">
        <f>(R7-(U32*R7))/(U32*(1-R7))</f>
        <v>0.78032628034533658</v>
      </c>
      <c r="T32" s="45">
        <f>W32/O7</f>
        <v>1460.6965174129352</v>
      </c>
      <c r="U32" s="45">
        <f>T32/P7</f>
        <v>1.4636970964606795</v>
      </c>
      <c r="V32" s="45">
        <f t="shared" si="6"/>
        <v>6.1094345575837554</v>
      </c>
      <c r="W32" s="14">
        <f>'Slump Tests'!G22</f>
        <v>7.8293333333333335</v>
      </c>
      <c r="X32" s="55">
        <f>O7-P32</f>
        <v>1.7234318109620506E-3</v>
      </c>
      <c r="Y32" s="45">
        <f t="shared" si="4"/>
        <v>0.4739170892373622</v>
      </c>
      <c r="Z32" s="45">
        <f t="shared" si="7"/>
        <v>0.32153578562724827</v>
      </c>
      <c r="AA32" s="45">
        <f t="shared" si="5"/>
        <v>0.20623839868060109</v>
      </c>
      <c r="AB32" s="45">
        <f>1-Z32</f>
        <v>0.67846421437275173</v>
      </c>
      <c r="AC32" s="45">
        <f t="shared" si="8"/>
        <v>0.12250929164482491</v>
      </c>
      <c r="AD32" s="45">
        <f>'Slump Tests'!K22</f>
        <v>0.18833333333333332</v>
      </c>
      <c r="AE32" s="45">
        <f>M7-AD32</f>
        <v>1.6666666666666774E-3</v>
      </c>
      <c r="AF32" s="45">
        <f>P32/O7</f>
        <v>0.67846421437275173</v>
      </c>
      <c r="AG32" s="45">
        <f>'Slump Tests'!O22</f>
        <v>0.38966666666666666</v>
      </c>
      <c r="AH32" s="48"/>
      <c r="AI32" s="8"/>
      <c r="AJ32" s="8"/>
      <c r="AK32" s="8"/>
      <c r="AL32" s="8"/>
      <c r="AM32" s="8"/>
      <c r="AN32" s="8"/>
      <c r="AO32" s="8"/>
      <c r="AP32" s="8"/>
      <c r="AQ32" s="8"/>
      <c r="AR32" s="9"/>
    </row>
    <row r="33" spans="11:44" x14ac:dyDescent="0.2">
      <c r="K33" s="54" t="s">
        <v>31</v>
      </c>
      <c r="L33" s="54" t="s">
        <v>27</v>
      </c>
      <c r="M33" s="45">
        <v>0</v>
      </c>
      <c r="N33" s="62">
        <f>R33*0.16</f>
        <v>8.5714285714285721E-4</v>
      </c>
      <c r="O33" s="63">
        <f>P7*N33</f>
        <v>0.85538571428571442</v>
      </c>
      <c r="P33" s="62">
        <f>V33/Q7</f>
        <v>3.6038237665860272E-3</v>
      </c>
      <c r="Q33" s="45">
        <v>9</v>
      </c>
      <c r="R33" s="55">
        <f>Q33/Q7</f>
        <v>5.3571428571428572E-3</v>
      </c>
      <c r="S33" s="55">
        <f>(R7-(U33*R7))/(U33*(1-R7))</f>
        <v>0.77551222337191317</v>
      </c>
      <c r="T33" s="45">
        <f>W33/O7</f>
        <v>1456.5298507462685</v>
      </c>
      <c r="U33" s="45">
        <f>T33/P7</f>
        <v>1.4595218705809594</v>
      </c>
      <c r="V33" s="45">
        <f t="shared" si="6"/>
        <v>6.0544239278645255</v>
      </c>
      <c r="W33" s="14">
        <f>'Slump Tests'!G23</f>
        <v>7.8069999999999995</v>
      </c>
      <c r="X33" s="55">
        <f>O7-P33</f>
        <v>1.756176233413973E-3</v>
      </c>
      <c r="Y33" s="45">
        <f t="shared" si="4"/>
        <v>0.48730913251000424</v>
      </c>
      <c r="Z33" s="45">
        <f>Y33/(1+Y33)</f>
        <v>0.32764481966678599</v>
      </c>
      <c r="AA33" s="45">
        <f t="shared" si="5"/>
        <v>0.23784261180863608</v>
      </c>
      <c r="AB33" s="45">
        <f t="shared" si="9"/>
        <v>0.67235518033321395</v>
      </c>
      <c r="AC33" s="45">
        <f t="shared" si="8"/>
        <v>0.14128275860382644</v>
      </c>
      <c r="AD33" s="45">
        <f>'Slump Tests'!K23</f>
        <v>0.19000000000000003</v>
      </c>
      <c r="AE33" s="45">
        <f>M7-AD33</f>
        <v>0</v>
      </c>
      <c r="AF33" s="45">
        <f>P33/O7</f>
        <v>0.67235518033321406</v>
      </c>
      <c r="AG33" s="45">
        <f>'Slump Tests'!O23</f>
        <v>0.42199999999999999</v>
      </c>
      <c r="AH33" s="48"/>
      <c r="AI33" s="8"/>
      <c r="AJ33" s="8"/>
      <c r="AK33" s="8"/>
      <c r="AL33" s="8"/>
      <c r="AM33" s="8"/>
      <c r="AN33" s="8"/>
      <c r="AO33" s="8"/>
      <c r="AP33" s="8"/>
      <c r="AQ33" s="8"/>
      <c r="AR33" s="9"/>
    </row>
    <row r="34" spans="11:44" x14ac:dyDescent="0.2">
      <c r="K34" s="54" t="s">
        <v>31</v>
      </c>
      <c r="L34" s="54" t="s">
        <v>27</v>
      </c>
      <c r="M34" s="45">
        <v>0</v>
      </c>
      <c r="N34" s="62">
        <f>R34*0.18</f>
        <v>9.6428571428571429E-4</v>
      </c>
      <c r="O34" s="63">
        <f>P7*N34</f>
        <v>0.96230892857142858</v>
      </c>
      <c r="P34" s="62">
        <f>V34/Q7</f>
        <v>3.5256281308799447E-3</v>
      </c>
      <c r="Q34" s="45">
        <v>9</v>
      </c>
      <c r="R34" s="55">
        <f>Q34/Q7</f>
        <v>5.3571428571428572E-3</v>
      </c>
      <c r="S34" s="55">
        <f>(R7-(U34*R7))/(U34*(1-R7))</f>
        <v>0.76390377798181164</v>
      </c>
      <c r="T34" s="45">
        <f>W34/O7</f>
        <v>1446.5796019900497</v>
      </c>
      <c r="U34" s="45">
        <f>T34/P7</f>
        <v>1.4495511819129712</v>
      </c>
      <c r="V34" s="45">
        <f t="shared" si="6"/>
        <v>5.9230552598783071</v>
      </c>
      <c r="W34" s="14">
        <f>'Slump Tests'!G24</f>
        <v>7.7536666666666667</v>
      </c>
      <c r="X34" s="55">
        <f>O7-P34</f>
        <v>1.8343718691200554E-3</v>
      </c>
      <c r="Y34" s="45">
        <f t="shared" si="4"/>
        <v>0.52029646945840069</v>
      </c>
      <c r="Z34" s="45">
        <f>Y34/(1+Y34)</f>
        <v>0.34223355767165214</v>
      </c>
      <c r="AA34" s="45">
        <f t="shared" si="5"/>
        <v>0.27350749383913125</v>
      </c>
      <c r="AB34" s="45">
        <f t="shared" si="9"/>
        <v>0.6577664423283478</v>
      </c>
      <c r="AC34" s="45">
        <f t="shared" si="8"/>
        <v>0.16246833540283395</v>
      </c>
      <c r="AD34" s="45">
        <f>'Slump Tests'!K24</f>
        <v>0.18966666666666665</v>
      </c>
      <c r="AE34" s="45">
        <f>M7-AD34</f>
        <v>3.3333333333335213E-4</v>
      </c>
      <c r="AF34" s="45">
        <f>P34/O7</f>
        <v>0.65776644232834791</v>
      </c>
      <c r="AG34" s="45">
        <f>'Slump Tests'!O24</f>
        <v>0.47233333333333327</v>
      </c>
      <c r="AH34" s="48"/>
      <c r="AI34" s="8"/>
      <c r="AJ34" s="8"/>
      <c r="AK34" s="8"/>
      <c r="AL34" s="8"/>
      <c r="AM34" s="8"/>
      <c r="AN34" s="8"/>
      <c r="AO34" s="8"/>
      <c r="AP34" s="8"/>
      <c r="AQ34" s="8"/>
      <c r="AR34" s="9"/>
    </row>
    <row r="35" spans="11:44" x14ac:dyDescent="0.2">
      <c r="K35" s="54" t="s">
        <v>31</v>
      </c>
      <c r="L35" s="54" t="s">
        <v>27</v>
      </c>
      <c r="M35" s="45">
        <v>0</v>
      </c>
      <c r="N35" s="62">
        <f>R35*0.2</f>
        <v>1.0714285714285715E-3</v>
      </c>
      <c r="O35" s="63">
        <f>P7*N35</f>
        <v>1.069232142857143</v>
      </c>
      <c r="P35" s="62">
        <f>V35/Q7</f>
        <v>3.2876201646995563E-3</v>
      </c>
      <c r="Q35" s="45">
        <v>9</v>
      </c>
      <c r="R35" s="55">
        <f>Q35/Q7</f>
        <v>5.3571428571428572E-3</v>
      </c>
      <c r="S35" s="55">
        <f>(R7-(U35*R7))/(U35*(1-R7))</f>
        <v>0.72756677044374141</v>
      </c>
      <c r="T35" s="45">
        <f>W35/O7</f>
        <v>1416.2935323383083</v>
      </c>
      <c r="U35" s="45">
        <f>T35/P7</f>
        <v>1.4192028982797817</v>
      </c>
      <c r="V35" s="45">
        <f t="shared" si="6"/>
        <v>5.5232018766952544</v>
      </c>
      <c r="W35" s="14">
        <f>'Slump Tests'!G25</f>
        <v>7.5913333333333322</v>
      </c>
      <c r="X35" s="55">
        <f>O7-P35</f>
        <v>2.0723798353004439E-3</v>
      </c>
      <c r="Y35" s="45">
        <f t="shared" si="4"/>
        <v>0.63035865808112024</v>
      </c>
      <c r="Z35" s="45">
        <f t="shared" si="7"/>
        <v>0.38663802897396338</v>
      </c>
      <c r="AA35" s="45">
        <f t="shared" si="5"/>
        <v>0.32589791939254803</v>
      </c>
      <c r="AB35" s="45">
        <f t="shared" si="9"/>
        <v>0.61336197102603662</v>
      </c>
      <c r="AC35" s="45">
        <f t="shared" si="8"/>
        <v>0.19358918372487699</v>
      </c>
      <c r="AD35" s="45">
        <f>'Slump Tests'!K25</f>
        <v>0.18933333333333335</v>
      </c>
      <c r="AE35" s="45">
        <f>M7-AD35</f>
        <v>6.6666666666664876E-4</v>
      </c>
      <c r="AF35" s="45">
        <f>P35/O7</f>
        <v>0.61336197102603662</v>
      </c>
      <c r="AG35" s="45">
        <f>'Slump Tests'!O25</f>
        <v>0.53166666666666673</v>
      </c>
      <c r="AH35" s="48"/>
      <c r="AI35" s="8"/>
      <c r="AJ35" s="8"/>
      <c r="AK35" s="8"/>
      <c r="AL35" s="8"/>
      <c r="AM35" s="8"/>
      <c r="AN35" s="8"/>
      <c r="AO35" s="8"/>
      <c r="AP35" s="8"/>
      <c r="AQ35" s="8"/>
      <c r="AR35" s="9"/>
    </row>
    <row r="36" spans="11:44" x14ac:dyDescent="0.2">
      <c r="K36" s="8"/>
      <c r="L36" s="8"/>
      <c r="M36" s="8"/>
      <c r="N36" s="8"/>
      <c r="O36" s="8"/>
      <c r="P36" s="8"/>
      <c r="Q36" s="8"/>
      <c r="R36" s="8"/>
      <c r="S36" s="8"/>
      <c r="T36" s="8"/>
      <c r="U36" s="8"/>
      <c r="V36" s="8"/>
      <c r="W36" s="8"/>
      <c r="X36" s="8"/>
      <c r="Y36" s="8"/>
      <c r="Z36" s="8"/>
      <c r="AA36" s="8"/>
      <c r="AB36" s="8"/>
      <c r="AC36" s="8"/>
      <c r="AD36" s="8"/>
      <c r="AE36" s="8"/>
      <c r="AF36" s="8"/>
      <c r="AG36" s="50"/>
      <c r="AH36" s="8"/>
      <c r="AI36" s="8"/>
      <c r="AJ36" s="8"/>
      <c r="AK36" s="8"/>
      <c r="AL36" s="8"/>
      <c r="AM36" s="8"/>
      <c r="AN36" s="8"/>
      <c r="AO36" s="8"/>
      <c r="AP36" s="8"/>
      <c r="AQ36" s="8"/>
      <c r="AR36" s="9"/>
    </row>
    <row r="37" spans="11:44" s="11" customFormat="1" x14ac:dyDescent="0.2">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0"/>
    </row>
    <row r="38" spans="11:44" x14ac:dyDescent="0.2">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8"/>
      <c r="AJ38" s="8"/>
      <c r="AK38" s="8"/>
      <c r="AL38" s="8"/>
      <c r="AM38" s="8"/>
      <c r="AN38" s="8"/>
      <c r="AO38" s="8"/>
      <c r="AP38" s="8"/>
      <c r="AQ38" s="8"/>
      <c r="AR38" s="9"/>
    </row>
    <row r="39" spans="11:44" ht="63.75" x14ac:dyDescent="0.2">
      <c r="K39" s="42" t="s">
        <v>84</v>
      </c>
      <c r="L39" s="42" t="s">
        <v>26</v>
      </c>
      <c r="M39" s="42" t="s">
        <v>16</v>
      </c>
      <c r="N39" s="42" t="s">
        <v>6</v>
      </c>
      <c r="O39" s="42" t="s">
        <v>20</v>
      </c>
      <c r="P39" s="42" t="s">
        <v>17</v>
      </c>
      <c r="Q39" s="42" t="s">
        <v>78</v>
      </c>
      <c r="R39" s="42" t="s">
        <v>18</v>
      </c>
      <c r="S39" s="42" t="s">
        <v>24</v>
      </c>
      <c r="T39" s="42" t="s">
        <v>22</v>
      </c>
      <c r="U39" s="42" t="s">
        <v>23</v>
      </c>
      <c r="V39" s="42" t="s">
        <v>21</v>
      </c>
      <c r="W39" s="42" t="s">
        <v>19</v>
      </c>
      <c r="X39" s="42" t="s">
        <v>8</v>
      </c>
      <c r="Y39" s="42" t="s">
        <v>82</v>
      </c>
      <c r="Z39" s="42" t="s">
        <v>81</v>
      </c>
      <c r="AA39" s="42" t="s">
        <v>80</v>
      </c>
      <c r="AB39" s="42" t="s">
        <v>9</v>
      </c>
      <c r="AC39" s="42" t="s">
        <v>83</v>
      </c>
      <c r="AD39" s="42" t="s">
        <v>10</v>
      </c>
      <c r="AE39" s="42" t="s">
        <v>7</v>
      </c>
      <c r="AF39" s="42" t="s">
        <v>11</v>
      </c>
      <c r="AG39" s="42" t="s">
        <v>12</v>
      </c>
      <c r="AH39" s="43"/>
      <c r="AI39" s="8"/>
      <c r="AJ39" s="8"/>
      <c r="AK39" s="8"/>
      <c r="AL39" s="8"/>
      <c r="AM39" s="8"/>
      <c r="AN39" s="8"/>
      <c r="AO39" s="8"/>
      <c r="AP39" s="8"/>
      <c r="AQ39" s="8"/>
      <c r="AR39" s="9"/>
    </row>
    <row r="40" spans="11:44" x14ac:dyDescent="0.2">
      <c r="K40" s="59" t="s">
        <v>33</v>
      </c>
      <c r="L40" s="59" t="s">
        <v>27</v>
      </c>
      <c r="M40" s="56">
        <v>0</v>
      </c>
      <c r="N40" s="59"/>
      <c r="O40" s="59"/>
      <c r="P40" s="60">
        <f>V40/Q8</f>
        <v>4.2076719576719579E-3</v>
      </c>
      <c r="Q40" s="56">
        <v>8.1</v>
      </c>
      <c r="R40" s="58">
        <f>Q40/Q8</f>
        <v>5.3571428571428572E-3</v>
      </c>
      <c r="S40" s="58"/>
      <c r="T40" s="56"/>
      <c r="U40" s="56">
        <f>T40/P8</f>
        <v>0</v>
      </c>
      <c r="V40" s="56">
        <v>6.3620000000000001</v>
      </c>
      <c r="W40" s="61">
        <v>6.3620000000000001</v>
      </c>
      <c r="X40" s="58">
        <f>O8-P40</f>
        <v>1.1523280423280423E-3</v>
      </c>
      <c r="Y40" s="56">
        <f t="shared" ref="Y40:Y50" si="10">X40/P40</f>
        <v>0.27386356491669284</v>
      </c>
      <c r="Z40" s="56">
        <f>Y40/(1+Y40)</f>
        <v>0.21498657506120189</v>
      </c>
      <c r="AA40" s="56">
        <f t="shared" ref="AA40:AA50" si="11">N40/P40</f>
        <v>0</v>
      </c>
      <c r="AB40" s="56">
        <f>1-Z40</f>
        <v>0.78501342493879811</v>
      </c>
      <c r="AC40" s="59"/>
      <c r="AD40" s="56">
        <v>0.186</v>
      </c>
      <c r="AE40" s="56">
        <f>M8-AD40</f>
        <v>4.0000000000000036E-3</v>
      </c>
      <c r="AF40" s="56">
        <f>P40/O8</f>
        <v>0.78501342493879811</v>
      </c>
      <c r="AG40" s="56">
        <v>0.46600000000000003</v>
      </c>
      <c r="AH40" s="48"/>
      <c r="AI40" s="8"/>
      <c r="AJ40" s="8"/>
      <c r="AK40" s="8"/>
      <c r="AL40" s="8"/>
      <c r="AM40" s="8"/>
      <c r="AN40" s="8"/>
      <c r="AO40" s="8"/>
      <c r="AP40" s="8"/>
      <c r="AQ40" s="8"/>
      <c r="AR40" s="9"/>
    </row>
    <row r="41" spans="11:44" x14ac:dyDescent="0.2">
      <c r="K41" s="54" t="s">
        <v>33</v>
      </c>
      <c r="L41" s="54" t="s">
        <v>27</v>
      </c>
      <c r="M41" s="45">
        <v>0</v>
      </c>
      <c r="N41" s="62">
        <f>R41*0.02</f>
        <v>1.0714285714285715E-4</v>
      </c>
      <c r="O41" s="63">
        <f>P8*N41</f>
        <v>0.1069232142857143</v>
      </c>
      <c r="P41" s="62">
        <f>V41/Q8</f>
        <v>4.0151502772103878E-3</v>
      </c>
      <c r="Q41" s="45">
        <v>8.1</v>
      </c>
      <c r="R41" s="55">
        <f>Q41/Q8</f>
        <v>5.3571428571428572E-3</v>
      </c>
      <c r="S41" s="55">
        <f>(R8-(U41*R8))/(U41*(1-R8))</f>
        <v>0.81895416419022071</v>
      </c>
      <c r="T41" s="45">
        <f>W41/O8</f>
        <v>1383.0223880597016</v>
      </c>
      <c r="U41" s="45">
        <f>T41/P8</f>
        <v>1.3858634080461962</v>
      </c>
      <c r="V41" s="45">
        <f t="shared" ref="V41:V50" si="12">S41*W41</f>
        <v>6.0709072191421063</v>
      </c>
      <c r="W41" s="14">
        <f>'Slump Tests'!G29</f>
        <v>7.4130000000000003</v>
      </c>
      <c r="X41" s="55">
        <f>O8-P41</f>
        <v>1.3448497227896124E-3</v>
      </c>
      <c r="Y41" s="45">
        <f t="shared" si="10"/>
        <v>0.33494380781283628</v>
      </c>
      <c r="Z41" s="45">
        <f t="shared" ref="Z41:Z50" si="13">Y41/(1+Y41)</f>
        <v>0.25090479902791279</v>
      </c>
      <c r="AA41" s="45">
        <f t="shared" si="11"/>
        <v>2.6684644345938893E-2</v>
      </c>
      <c r="AB41" s="45">
        <f>1-Z41</f>
        <v>0.74909520097208726</v>
      </c>
      <c r="AC41" s="45">
        <f t="shared" ref="AC41:AC50" si="14">O41/V41</f>
        <v>1.7612394725548756E-2</v>
      </c>
      <c r="AD41" s="45">
        <f>'Slump Tests'!K29</f>
        <v>0.18200000000000002</v>
      </c>
      <c r="AE41" s="45">
        <f>M8-AD41</f>
        <v>7.9999999999999793E-3</v>
      </c>
      <c r="AF41" s="45">
        <f>P41/O8</f>
        <v>0.74909520097208726</v>
      </c>
      <c r="AG41" s="45">
        <f>'Slump Tests'!N29</f>
        <v>0.28299999999999997</v>
      </c>
      <c r="AH41" s="48"/>
      <c r="AI41" s="8"/>
      <c r="AJ41" s="8"/>
      <c r="AK41" s="8"/>
      <c r="AL41" s="8"/>
      <c r="AM41" s="8"/>
      <c r="AN41" s="8"/>
      <c r="AO41" s="8"/>
      <c r="AP41" s="8"/>
      <c r="AQ41" s="8"/>
      <c r="AR41" s="9"/>
    </row>
    <row r="42" spans="11:44" x14ac:dyDescent="0.2">
      <c r="K42" s="54" t="s">
        <v>33</v>
      </c>
      <c r="L42" s="54" t="s">
        <v>27</v>
      </c>
      <c r="M42" s="45">
        <v>0</v>
      </c>
      <c r="N42" s="62">
        <f>R42*0.04</f>
        <v>2.142857142857143E-4</v>
      </c>
      <c r="O42" s="63">
        <f>P8*N42</f>
        <v>0.2138464285714286</v>
      </c>
      <c r="P42" s="62">
        <f>V42/Q8</f>
        <v>4.0365489738352313E-3</v>
      </c>
      <c r="Q42" s="45">
        <v>8.1</v>
      </c>
      <c r="R42" s="55">
        <f>Q42/Q8</f>
        <v>5.3571428571428572E-3</v>
      </c>
      <c r="S42" s="55">
        <f>(R8-(U42*R8))/(U42*(1-R8))</f>
        <v>0.82209887505911494</v>
      </c>
      <c r="T42" s="45">
        <f>W42/O8</f>
        <v>1385.0746268656717</v>
      </c>
      <c r="U42" s="45">
        <f>T42/P8</f>
        <v>1.3879198625839688</v>
      </c>
      <c r="V42" s="45">
        <f t="shared" si="12"/>
        <v>6.1032620484388698</v>
      </c>
      <c r="W42" s="14">
        <f>'Slump Tests'!G30</f>
        <v>7.4240000000000004</v>
      </c>
      <c r="X42" s="55">
        <f>O8-P42</f>
        <v>1.3234510261647689E-3</v>
      </c>
      <c r="Y42" s="45">
        <f t="shared" si="10"/>
        <v>0.32786695633902424</v>
      </c>
      <c r="Z42" s="45">
        <f>Y42/(1+Y42)</f>
        <v>0.24691250488148672</v>
      </c>
      <c r="AA42" s="45">
        <f t="shared" si="11"/>
        <v>5.3086365525280822E-2</v>
      </c>
      <c r="AB42" s="45">
        <f t="shared" ref="AB42:AB46" si="15">1-Z42</f>
        <v>0.75308749511851325</v>
      </c>
      <c r="AC42" s="45">
        <f t="shared" si="14"/>
        <v>3.5038054547588626E-2</v>
      </c>
      <c r="AD42" s="45">
        <f>'Slump Tests'!K30</f>
        <v>0.18299999999999997</v>
      </c>
      <c r="AE42" s="45">
        <f>M8-AD42</f>
        <v>7.000000000000034E-3</v>
      </c>
      <c r="AF42" s="45">
        <f>P42/O8</f>
        <v>0.75308749511851325</v>
      </c>
      <c r="AG42" s="45">
        <f>'Slump Tests'!N30</f>
        <v>0.28899999999999998</v>
      </c>
      <c r="AH42" s="48"/>
      <c r="AI42" s="8"/>
      <c r="AJ42" s="8"/>
      <c r="AK42" s="8"/>
      <c r="AL42" s="8"/>
      <c r="AM42" s="8"/>
      <c r="AN42" s="8"/>
      <c r="AO42" s="8"/>
      <c r="AP42" s="8"/>
      <c r="AQ42" s="8"/>
      <c r="AR42" s="9"/>
    </row>
    <row r="43" spans="11:44" x14ac:dyDescent="0.2">
      <c r="K43" s="54" t="s">
        <v>33</v>
      </c>
      <c r="L43" s="54" t="s">
        <v>27</v>
      </c>
      <c r="M43" s="45">
        <v>0</v>
      </c>
      <c r="N43" s="62">
        <f>R43*0.06</f>
        <v>3.2142857142857141E-4</v>
      </c>
      <c r="O43" s="63">
        <f>P8*N43</f>
        <v>0.32076964285714288</v>
      </c>
      <c r="P43" s="62">
        <f>V43/Q8</f>
        <v>4.2466452679700414E-3</v>
      </c>
      <c r="Q43" s="45">
        <v>8.1</v>
      </c>
      <c r="R43" s="55">
        <f>Q43/Q8</f>
        <v>5.3571428571428572E-3</v>
      </c>
      <c r="S43" s="55">
        <f>(R8-(U43*R8))/(U43*(1-R8))</f>
        <v>0.85248641067056585</v>
      </c>
      <c r="T43" s="45">
        <f>W43/O8</f>
        <v>1405.2238805970148</v>
      </c>
      <c r="U43" s="45">
        <f>T43/P8</f>
        <v>1.4081105071366449</v>
      </c>
      <c r="V43" s="45">
        <f t="shared" si="12"/>
        <v>6.4209276451707025</v>
      </c>
      <c r="W43" s="14">
        <f>'Slump Tests'!G31</f>
        <v>7.532</v>
      </c>
      <c r="X43" s="55">
        <f>O8-P43</f>
        <v>1.1133547320299588E-3</v>
      </c>
      <c r="Y43" s="45">
        <f t="shared" si="10"/>
        <v>0.26217276503581349</v>
      </c>
      <c r="Z43" s="45">
        <f t="shared" si="13"/>
        <v>0.2077154350802162</v>
      </c>
      <c r="AA43" s="45">
        <f t="shared" si="11"/>
        <v>7.5689997903267053E-2</v>
      </c>
      <c r="AB43" s="45">
        <f t="shared" si="15"/>
        <v>0.79228456491978383</v>
      </c>
      <c r="AC43" s="45">
        <f t="shared" si="14"/>
        <v>4.9956900401828951E-2</v>
      </c>
      <c r="AD43" s="45">
        <f>'Slump Tests'!K31</f>
        <v>0.18400000000000002</v>
      </c>
      <c r="AE43" s="45">
        <f>M8-AD43</f>
        <v>5.9999999999999776E-3</v>
      </c>
      <c r="AF43" s="45">
        <f>P43/O8</f>
        <v>0.79228456491978383</v>
      </c>
      <c r="AG43" s="45">
        <f>'Slump Tests'!N31</f>
        <v>0.317</v>
      </c>
      <c r="AH43" s="48"/>
      <c r="AI43" s="8"/>
      <c r="AJ43" s="8"/>
      <c r="AK43" s="8"/>
      <c r="AL43" s="8"/>
      <c r="AM43" s="8"/>
      <c r="AN43" s="8"/>
      <c r="AO43" s="8"/>
      <c r="AP43" s="8"/>
      <c r="AQ43" s="8"/>
      <c r="AR43" s="9"/>
    </row>
    <row r="44" spans="11:44" x14ac:dyDescent="0.2">
      <c r="K44" s="54" t="s">
        <v>33</v>
      </c>
      <c r="L44" s="54" t="s">
        <v>27</v>
      </c>
      <c r="M44" s="45">
        <v>0</v>
      </c>
      <c r="N44" s="62">
        <f>R44*0.08</f>
        <v>4.285714285714286E-4</v>
      </c>
      <c r="O44" s="63">
        <f>P8*N44</f>
        <v>0.42769285714285721</v>
      </c>
      <c r="P44" s="62">
        <f>V44/Q8</f>
        <v>4.7932846999319103E-3</v>
      </c>
      <c r="Q44" s="45">
        <v>8.1</v>
      </c>
      <c r="R44" s="55">
        <f>Q44/Q8</f>
        <v>5.3571428571428572E-3</v>
      </c>
      <c r="S44" s="55">
        <f>(R8-(U44*R8))/(U44*(1-R8))</f>
        <v>0.92761378040407638</v>
      </c>
      <c r="T44" s="45">
        <f>W44/O8</f>
        <v>1457.6492537313432</v>
      </c>
      <c r="U44" s="45">
        <f>T44/P8</f>
        <v>1.460643573056108</v>
      </c>
      <c r="V44" s="45">
        <f t="shared" si="12"/>
        <v>7.2474464662970481</v>
      </c>
      <c r="W44" s="14">
        <f>'Slump Tests'!G32</f>
        <v>7.8129999999999997</v>
      </c>
      <c r="X44" s="55">
        <f>O8-P44</f>
        <v>5.6671530006808992E-4</v>
      </c>
      <c r="Y44" s="45">
        <f t="shared" si="10"/>
        <v>0.11823109528130891</v>
      </c>
      <c r="Z44" s="45">
        <f t="shared" si="13"/>
        <v>0.10573046643061379</v>
      </c>
      <c r="AA44" s="45">
        <f t="shared" si="11"/>
        <v>8.9410801861511915E-2</v>
      </c>
      <c r="AB44" s="45">
        <f t="shared" si="15"/>
        <v>0.89426953356938621</v>
      </c>
      <c r="AC44" s="45">
        <f t="shared" si="14"/>
        <v>5.9012903252444328E-2</v>
      </c>
      <c r="AD44" s="45">
        <f>'Slump Tests'!K32</f>
        <v>0.18499999999999997</v>
      </c>
      <c r="AE44" s="45">
        <f>M8-AD44</f>
        <v>5.0000000000000322E-3</v>
      </c>
      <c r="AF44" s="45">
        <f>P44/O8</f>
        <v>0.89426953356938621</v>
      </c>
      <c r="AG44" s="45">
        <f>'Slump Tests'!N32</f>
        <v>0.33</v>
      </c>
      <c r="AH44" s="48"/>
      <c r="AI44" s="8"/>
      <c r="AJ44" s="8"/>
      <c r="AK44" s="8"/>
      <c r="AL44" s="8"/>
      <c r="AM44" s="8"/>
      <c r="AN44" s="8"/>
      <c r="AO44" s="8"/>
      <c r="AP44" s="8"/>
      <c r="AQ44" s="8"/>
      <c r="AR44" s="9"/>
    </row>
    <row r="45" spans="11:44" x14ac:dyDescent="0.2">
      <c r="K45" s="54" t="s">
        <v>33</v>
      </c>
      <c r="L45" s="54" t="s">
        <v>27</v>
      </c>
      <c r="M45" s="45">
        <v>0</v>
      </c>
      <c r="N45" s="62">
        <f>R45*0.1</f>
        <v>5.3571428571428574E-4</v>
      </c>
      <c r="O45" s="63">
        <f>P8*N45</f>
        <v>0.53461607142857148</v>
      </c>
      <c r="P45" s="62">
        <f>V45/Q8</f>
        <v>4.7465966345686204E-3</v>
      </c>
      <c r="Q45" s="45">
        <v>8.1</v>
      </c>
      <c r="R45" s="55">
        <f>Q45/Q8</f>
        <v>5.3571428571428572E-3</v>
      </c>
      <c r="S45" s="55">
        <f>(R8-(U45*R8))/(U45*(1-R8))</f>
        <v>0.92140892431220367</v>
      </c>
      <c r="T45" s="45">
        <f>W45/O8</f>
        <v>1453.1716417910447</v>
      </c>
      <c r="U45" s="45">
        <f>T45/P8</f>
        <v>1.4561567631555135</v>
      </c>
      <c r="V45" s="45">
        <f t="shared" si="12"/>
        <v>7.1768541114677546</v>
      </c>
      <c r="W45" s="14">
        <f>'Slump Tests'!G33</f>
        <v>7.7890000000000006</v>
      </c>
      <c r="X45" s="55">
        <f>O8-P45</f>
        <v>6.1340336543137981E-4</v>
      </c>
      <c r="Y45" s="45">
        <f t="shared" si="10"/>
        <v>0.12923014375480571</v>
      </c>
      <c r="Z45" s="45">
        <f t="shared" si="13"/>
        <v>0.11444092638645144</v>
      </c>
      <c r="AA45" s="45">
        <f t="shared" si="11"/>
        <v>0.11286282087101603</v>
      </c>
      <c r="AB45" s="45">
        <f t="shared" si="15"/>
        <v>0.88555907361354858</v>
      </c>
      <c r="AC45" s="45">
        <f t="shared" si="14"/>
        <v>7.4491701116554523E-2</v>
      </c>
      <c r="AD45" s="45">
        <f>'Slump Tests'!K33</f>
        <v>0.18600000000000003</v>
      </c>
      <c r="AE45" s="45">
        <f>M8-AD45</f>
        <v>3.9999999999999758E-3</v>
      </c>
      <c r="AF45" s="45">
        <f>P45/O8</f>
        <v>0.88555907361354858</v>
      </c>
      <c r="AG45" s="45">
        <f>'Slump Tests'!N33</f>
        <v>0.33400000000000002</v>
      </c>
      <c r="AH45" s="48"/>
      <c r="AI45" s="8"/>
      <c r="AJ45" s="8"/>
      <c r="AK45" s="8"/>
      <c r="AL45" s="8"/>
      <c r="AM45" s="8"/>
      <c r="AN45" s="8"/>
      <c r="AO45" s="8"/>
      <c r="AP45" s="8"/>
      <c r="AQ45" s="8"/>
      <c r="AR45" s="9"/>
    </row>
    <row r="46" spans="11:44" x14ac:dyDescent="0.2">
      <c r="K46" s="54" t="s">
        <v>33</v>
      </c>
      <c r="L46" s="54" t="s">
        <v>27</v>
      </c>
      <c r="M46" s="45">
        <v>0</v>
      </c>
      <c r="N46" s="62">
        <f>R46*0.12</f>
        <v>6.4285714285714282E-4</v>
      </c>
      <c r="O46" s="63">
        <f>P8*N46</f>
        <v>0.64153928571428576</v>
      </c>
      <c r="P46" s="62">
        <f>V46/Q8</f>
        <v>4.7193619297733668E-3</v>
      </c>
      <c r="Q46" s="45">
        <v>8.1</v>
      </c>
      <c r="R46" s="55">
        <f>Q46/Q8</f>
        <v>5.3571428571428572E-3</v>
      </c>
      <c r="S46" s="55">
        <f>(R8-(U46*R8))/(U46*(1-R8))</f>
        <v>0.91777173476750251</v>
      </c>
      <c r="T46" s="45">
        <f>W46/O8</f>
        <v>1450.5597014925372</v>
      </c>
      <c r="U46" s="45">
        <f>T46/P8</f>
        <v>1.4535394573801665</v>
      </c>
      <c r="V46" s="45">
        <f t="shared" si="12"/>
        <v>7.1356752378173312</v>
      </c>
      <c r="W46" s="14">
        <f>'Slump Tests'!G34</f>
        <v>7.7749999999999995</v>
      </c>
      <c r="X46" s="55">
        <f>O8-P46</f>
        <v>6.4063807022663333E-4</v>
      </c>
      <c r="Y46" s="45">
        <f t="shared" si="10"/>
        <v>0.13574675554866758</v>
      </c>
      <c r="Z46" s="45">
        <f t="shared" si="13"/>
        <v>0.11952202802735697</v>
      </c>
      <c r="AA46" s="45">
        <f t="shared" si="11"/>
        <v>0.13621696161964295</v>
      </c>
      <c r="AB46" s="45">
        <f t="shared" si="15"/>
        <v>0.88047797197264299</v>
      </c>
      <c r="AC46" s="45">
        <f t="shared" si="14"/>
        <v>8.990589738645681E-2</v>
      </c>
      <c r="AD46" s="45">
        <f>'Slump Tests'!K34</f>
        <v>0.18800000000000003</v>
      </c>
      <c r="AE46" s="45">
        <f>M8-AD46</f>
        <v>1.999999999999974E-3</v>
      </c>
      <c r="AF46" s="45">
        <f>P46/O8</f>
        <v>0.88047797197264299</v>
      </c>
      <c r="AG46" s="45">
        <f>'Slump Tests'!N34</f>
        <v>0.34699999999999998</v>
      </c>
      <c r="AH46" s="48"/>
      <c r="AI46" s="8"/>
      <c r="AJ46" s="8"/>
      <c r="AK46" s="8"/>
      <c r="AL46" s="8"/>
      <c r="AM46" s="8"/>
      <c r="AN46" s="8"/>
      <c r="AO46" s="8"/>
      <c r="AP46" s="8"/>
      <c r="AQ46" s="8"/>
      <c r="AR46" s="9"/>
    </row>
    <row r="47" spans="11:44" x14ac:dyDescent="0.2">
      <c r="K47" s="54" t="s">
        <v>33</v>
      </c>
      <c r="L47" s="54" t="s">
        <v>27</v>
      </c>
      <c r="M47" s="45">
        <v>0</v>
      </c>
      <c r="N47" s="62">
        <f>R47*0.14</f>
        <v>7.5000000000000012E-4</v>
      </c>
      <c r="O47" s="63">
        <f>P8*N47</f>
        <v>0.74846250000000014</v>
      </c>
      <c r="P47" s="62">
        <f>V47/Q8</f>
        <v>4.6052355477742071E-3</v>
      </c>
      <c r="Q47" s="45">
        <v>8.1</v>
      </c>
      <c r="R47" s="55">
        <f>Q47/Q8</f>
        <v>5.3571428571428572E-3</v>
      </c>
      <c r="S47" s="55">
        <f>(R8-(U47*R8))/(U47*(1-R8))</f>
        <v>0.90238664498266907</v>
      </c>
      <c r="T47" s="45">
        <f>W47/O8</f>
        <v>1439.6144278606962</v>
      </c>
      <c r="U47" s="45">
        <f>T47/P8</f>
        <v>1.4425716998453793</v>
      </c>
      <c r="V47" s="45">
        <f t="shared" si="12"/>
        <v>6.9631161482346009</v>
      </c>
      <c r="W47" s="14">
        <f>'Slump Tests'!G35</f>
        <v>7.7163333333333322</v>
      </c>
      <c r="X47" s="55">
        <f>O8-P47</f>
        <v>7.5476445222579305E-4</v>
      </c>
      <c r="Y47" s="45">
        <f t="shared" si="10"/>
        <v>0.16389269221866062</v>
      </c>
      <c r="Z47" s="45">
        <f t="shared" si="13"/>
        <v>0.1408142634749614</v>
      </c>
      <c r="AA47" s="45">
        <f t="shared" si="11"/>
        <v>0.1628581192470141</v>
      </c>
      <c r="AB47" s="45">
        <f>1-Z47</f>
        <v>0.8591857365250386</v>
      </c>
      <c r="AC47" s="45">
        <f t="shared" si="14"/>
        <v>0.10748959001491913</v>
      </c>
      <c r="AD47" s="45">
        <f>'Slump Tests'!K35</f>
        <v>0.18966666666666665</v>
      </c>
      <c r="AE47" s="45">
        <f>M8-AD47</f>
        <v>3.3333333333335213E-4</v>
      </c>
      <c r="AF47" s="45">
        <f>P47/O8</f>
        <v>0.8591857365250386</v>
      </c>
      <c r="AG47" s="45">
        <f>'Slump Tests'!N35</f>
        <v>0.38400000000000001</v>
      </c>
      <c r="AH47" s="48"/>
      <c r="AI47" s="8"/>
      <c r="AJ47" s="8"/>
      <c r="AK47" s="8"/>
      <c r="AL47" s="8"/>
      <c r="AM47" s="8"/>
      <c r="AN47" s="8"/>
      <c r="AO47" s="8"/>
      <c r="AP47" s="8"/>
      <c r="AQ47" s="8"/>
      <c r="AR47" s="9"/>
    </row>
    <row r="48" spans="11:44" x14ac:dyDescent="0.2">
      <c r="K48" s="54" t="s">
        <v>33</v>
      </c>
      <c r="L48" s="54" t="s">
        <v>27</v>
      </c>
      <c r="M48" s="45">
        <v>0</v>
      </c>
      <c r="N48" s="62">
        <f>R48*0.16</f>
        <v>8.5714285714285721E-4</v>
      </c>
      <c r="O48" s="63">
        <f>P8*N48</f>
        <v>0.85538571428571442</v>
      </c>
      <c r="P48" s="62">
        <f>V48/Q8</f>
        <v>4.5702194987517417E-3</v>
      </c>
      <c r="Q48" s="45">
        <v>8.1</v>
      </c>
      <c r="R48" s="55">
        <f>Q48/Q8</f>
        <v>5.3571428571428572E-3</v>
      </c>
      <c r="S48" s="55">
        <f>(R8-(U48*R8))/(U48*(1-R8))</f>
        <v>0.89761920962710118</v>
      </c>
      <c r="T48" s="45">
        <f>W48/O8</f>
        <v>1436.2562189054727</v>
      </c>
      <c r="U48" s="45">
        <f>T48/P8</f>
        <v>1.4392065924199335</v>
      </c>
      <c r="V48" s="45">
        <f t="shared" si="12"/>
        <v>6.9101718821126337</v>
      </c>
      <c r="W48" s="14">
        <f>'Slump Tests'!G36</f>
        <v>7.6983333333333333</v>
      </c>
      <c r="X48" s="55">
        <f>O8-P48</f>
        <v>7.8978050124825852E-4</v>
      </c>
      <c r="Y48" s="45">
        <f t="shared" si="10"/>
        <v>0.17281019029041608</v>
      </c>
      <c r="Z48" s="45">
        <f>Y48/(1+Y48)</f>
        <v>0.14734710844183926</v>
      </c>
      <c r="AA48" s="45">
        <f t="shared" si="11"/>
        <v>0.1875496039910047</v>
      </c>
      <c r="AB48" s="45">
        <f t="shared" ref="AB48:AB50" si="16">1-Z48</f>
        <v>0.85265289155816071</v>
      </c>
      <c r="AC48" s="45">
        <f t="shared" si="14"/>
        <v>0.12378645985636452</v>
      </c>
      <c r="AD48" s="45">
        <f>'Slump Tests'!K36</f>
        <v>0.18966666666666665</v>
      </c>
      <c r="AE48" s="45">
        <f>M8-AD48</f>
        <v>3.3333333333335213E-4</v>
      </c>
      <c r="AF48" s="45">
        <f>P48/O8</f>
        <v>0.85265289155816071</v>
      </c>
      <c r="AG48" s="45">
        <f>'Slump Tests'!N36</f>
        <v>0.41599999999999998</v>
      </c>
      <c r="AH48" s="48"/>
      <c r="AI48" s="8"/>
      <c r="AJ48" s="8"/>
      <c r="AK48" s="8"/>
      <c r="AL48" s="8"/>
      <c r="AM48" s="8"/>
      <c r="AN48" s="8"/>
      <c r="AO48" s="8"/>
      <c r="AP48" s="8"/>
      <c r="AQ48" s="8"/>
      <c r="AR48" s="9"/>
    </row>
    <row r="49" spans="11:44" x14ac:dyDescent="0.2">
      <c r="K49" s="54" t="s">
        <v>33</v>
      </c>
      <c r="L49" s="54" t="s">
        <v>27</v>
      </c>
      <c r="M49" s="45">
        <v>0</v>
      </c>
      <c r="N49" s="62">
        <f>R49*0.18</f>
        <v>9.6428571428571429E-4</v>
      </c>
      <c r="O49" s="63">
        <f>P8*N49</f>
        <v>0.96230892857142858</v>
      </c>
      <c r="P49" s="62">
        <f>V49/Q8</f>
        <v>4.5112109716953577E-3</v>
      </c>
      <c r="Q49" s="45">
        <v>8.1</v>
      </c>
      <c r="R49" s="55">
        <f>Q49/Q8</f>
        <v>5.3571428571428572E-3</v>
      </c>
      <c r="S49" s="55">
        <f>(R8-(U49*R8))/(U49*(1-R8))</f>
        <v>0.88953455779908452</v>
      </c>
      <c r="T49" s="45">
        <f>W49/O8</f>
        <v>1430.5970149253731</v>
      </c>
      <c r="U49" s="45">
        <f>T49/P8</f>
        <v>1.433535763240015</v>
      </c>
      <c r="V49" s="45">
        <f t="shared" si="12"/>
        <v>6.8209509892033804</v>
      </c>
      <c r="W49" s="14">
        <f>'Slump Tests'!G37</f>
        <v>7.6680000000000001</v>
      </c>
      <c r="X49" s="55">
        <f>O8-P49</f>
        <v>8.4878902830464245E-4</v>
      </c>
      <c r="Y49" s="45">
        <f t="shared" si="10"/>
        <v>0.18815103829774096</v>
      </c>
      <c r="Z49" s="45">
        <f>Y49/(1+Y49)</f>
        <v>0.15835616199713479</v>
      </c>
      <c r="AA49" s="45">
        <f t="shared" si="11"/>
        <v>0.21375318519482278</v>
      </c>
      <c r="AB49" s="45">
        <f t="shared" si="16"/>
        <v>0.84164383800286524</v>
      </c>
      <c r="AC49" s="45">
        <f t="shared" si="14"/>
        <v>0.14108134336320993</v>
      </c>
      <c r="AD49" s="45">
        <f>'Slump Tests'!K37</f>
        <v>0.18899999999999997</v>
      </c>
      <c r="AE49" s="45">
        <f>M8-AD49</f>
        <v>1.0000000000000286E-3</v>
      </c>
      <c r="AF49" s="45">
        <f>P49/O8</f>
        <v>0.84164383800286524</v>
      </c>
      <c r="AG49" s="45">
        <f>'Slump Tests'!N37</f>
        <v>0.46400000000000002</v>
      </c>
      <c r="AH49" s="48"/>
      <c r="AI49" s="8"/>
      <c r="AJ49" s="8"/>
      <c r="AK49" s="8"/>
      <c r="AL49" s="8"/>
      <c r="AM49" s="8"/>
      <c r="AN49" s="8"/>
      <c r="AO49" s="8"/>
      <c r="AP49" s="8"/>
      <c r="AQ49" s="8"/>
      <c r="AR49" s="9"/>
    </row>
    <row r="50" spans="11:44" x14ac:dyDescent="0.2">
      <c r="K50" s="54" t="s">
        <v>33</v>
      </c>
      <c r="L50" s="54" t="s">
        <v>27</v>
      </c>
      <c r="M50" s="45">
        <v>0</v>
      </c>
      <c r="N50" s="62">
        <f>R50*0.2</f>
        <v>1.0714285714285715E-3</v>
      </c>
      <c r="O50" s="63">
        <f>P8*N50</f>
        <v>1.069232142857143</v>
      </c>
      <c r="P50" s="62">
        <f>V50/Q8</f>
        <v>4.3439120708102328E-3</v>
      </c>
      <c r="Q50" s="45">
        <v>8.1</v>
      </c>
      <c r="R50" s="55">
        <f>Q50/Q8</f>
        <v>5.3571428571428572E-3</v>
      </c>
      <c r="S50" s="55">
        <f>(R8-(U50*R8))/(U50*(1-R8))</f>
        <v>0.8662615472256755</v>
      </c>
      <c r="T50" s="45">
        <f>W50/O8</f>
        <v>1414.5522388059703</v>
      </c>
      <c r="U50" s="45">
        <f>T50/P8</f>
        <v>1.4174580277628841</v>
      </c>
      <c r="V50" s="45">
        <f t="shared" si="12"/>
        <v>6.567995051065072</v>
      </c>
      <c r="W50" s="14">
        <f>'Slump Tests'!G38</f>
        <v>7.5820000000000007</v>
      </c>
      <c r="X50" s="55">
        <f>O8-P50</f>
        <v>1.0160879291897674E-3</v>
      </c>
      <c r="Y50" s="45">
        <f t="shared" si="10"/>
        <v>0.23391079575886653</v>
      </c>
      <c r="Z50" s="45">
        <f t="shared" si="13"/>
        <v>0.18956864350555358</v>
      </c>
      <c r="AA50" s="45">
        <f t="shared" si="11"/>
        <v>0.24665061215862205</v>
      </c>
      <c r="AB50" s="45">
        <f t="shared" si="16"/>
        <v>0.81043135649444642</v>
      </c>
      <c r="AC50" s="45">
        <f t="shared" si="14"/>
        <v>0.16279429788604291</v>
      </c>
      <c r="AD50" s="45">
        <f>'Slump Tests'!K38</f>
        <v>0.19000000000000003</v>
      </c>
      <c r="AE50" s="45">
        <f>M8-AD50</f>
        <v>0</v>
      </c>
      <c r="AF50" s="45">
        <f>P50/O8</f>
        <v>0.81043135649444642</v>
      </c>
      <c r="AG50" s="45">
        <f>'Slump Tests'!N38</f>
        <v>0.51600000000000001</v>
      </c>
      <c r="AH50" s="48"/>
      <c r="AI50" s="8"/>
      <c r="AJ50" s="8"/>
      <c r="AK50" s="8"/>
      <c r="AL50" s="8"/>
      <c r="AM50" s="8"/>
      <c r="AN50" s="8"/>
      <c r="AO50" s="8"/>
      <c r="AP50" s="8"/>
      <c r="AQ50" s="8"/>
      <c r="AR50" s="9"/>
    </row>
    <row r="51" spans="11:44" x14ac:dyDescent="0.2">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c r="AQ51" s="8"/>
      <c r="AR51" s="9"/>
    </row>
    <row r="52" spans="11:44" x14ac:dyDescent="0.2">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9"/>
    </row>
    <row r="53" spans="11:44" x14ac:dyDescent="0.2">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c r="AQ53" s="8"/>
      <c r="AR53" s="9"/>
    </row>
    <row r="54" spans="11:44" x14ac:dyDescent="0.2">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c r="AQ54" s="8"/>
      <c r="AR54" s="9"/>
    </row>
    <row r="55" spans="11:44" x14ac:dyDescent="0.2">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9"/>
    </row>
    <row r="56" spans="11:44" x14ac:dyDescent="0.2">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9"/>
    </row>
    <row r="57" spans="11:44" x14ac:dyDescent="0.2">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9"/>
    </row>
    <row r="58" spans="11:44" x14ac:dyDescent="0.2">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9"/>
    </row>
    <row r="59" spans="11:44" x14ac:dyDescent="0.2">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9"/>
    </row>
    <row r="60" spans="11:44" x14ac:dyDescent="0.2">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9"/>
    </row>
    <row r="61" spans="11:44" x14ac:dyDescent="0.2">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9"/>
    </row>
    <row r="62" spans="11:44" x14ac:dyDescent="0.2">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9"/>
    </row>
    <row r="63" spans="11:44" x14ac:dyDescent="0.2">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1:44" x14ac:dyDescent="0.2">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1:43" x14ac:dyDescent="0.2">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1:43" x14ac:dyDescent="0.2">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1:43" x14ac:dyDescent="0.2">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1:43" x14ac:dyDescent="0.2">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1:43" x14ac:dyDescent="0.2">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1:43" x14ac:dyDescent="0.2">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1:43" x14ac:dyDescent="0.2">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1:43" x14ac:dyDescent="0.2">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1:43" x14ac:dyDescent="0.2">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1:43" x14ac:dyDescent="0.2">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1:43" x14ac:dyDescent="0.2">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83" spans="36:43" x14ac:dyDescent="0.2">
      <c r="AJ83" s="10"/>
      <c r="AK83" s="10"/>
      <c r="AL83" s="10"/>
      <c r="AM83" s="10"/>
      <c r="AN83" s="10"/>
      <c r="AO83" s="10"/>
      <c r="AP83" s="10"/>
      <c r="AQ83" s="10"/>
    </row>
    <row r="84" spans="36:43" x14ac:dyDescent="0.2">
      <c r="AJ84" s="10"/>
      <c r="AK84" s="10"/>
      <c r="AL84" s="10"/>
      <c r="AM84" s="10"/>
      <c r="AN84" s="10"/>
      <c r="AO84" s="10"/>
      <c r="AP84" s="10"/>
      <c r="AQ84" s="10"/>
    </row>
    <row r="85" spans="36:43" x14ac:dyDescent="0.2">
      <c r="AJ85" s="10"/>
      <c r="AK85" s="10"/>
      <c r="AL85" s="10"/>
      <c r="AM85" s="10"/>
      <c r="AN85" s="10"/>
      <c r="AO85" s="10"/>
      <c r="AP85" s="10"/>
      <c r="AQ85" s="10"/>
    </row>
    <row r="86" spans="36:43" x14ac:dyDescent="0.2">
      <c r="AJ86" s="10"/>
      <c r="AK86" s="10"/>
      <c r="AL86" s="10"/>
      <c r="AM86" s="10"/>
      <c r="AN86" s="10"/>
      <c r="AO86" s="10"/>
      <c r="AP86" s="10"/>
      <c r="AQ86" s="10"/>
    </row>
    <row r="87" spans="36:43" x14ac:dyDescent="0.2">
      <c r="AJ87" s="10"/>
      <c r="AK87" s="10"/>
      <c r="AL87" s="10"/>
      <c r="AM87" s="10"/>
      <c r="AN87" s="10"/>
      <c r="AO87" s="10"/>
      <c r="AP87" s="10"/>
      <c r="AQ87" s="10"/>
    </row>
    <row r="88" spans="36:43" x14ac:dyDescent="0.2">
      <c r="AJ88" s="10"/>
      <c r="AK88" s="10"/>
      <c r="AL88" s="65"/>
      <c r="AM88" s="65"/>
      <c r="AN88" s="65"/>
      <c r="AO88" s="65"/>
      <c r="AP88" s="65"/>
      <c r="AQ88" s="10"/>
    </row>
    <row r="89" spans="36:43" x14ac:dyDescent="0.2">
      <c r="AJ89" s="10"/>
      <c r="AK89" s="10"/>
      <c r="AL89" s="10"/>
      <c r="AM89" s="10"/>
      <c r="AN89" s="66"/>
      <c r="AO89" s="66"/>
      <c r="AP89" s="66"/>
      <c r="AQ89" s="10"/>
    </row>
    <row r="90" spans="36:43" x14ac:dyDescent="0.2">
      <c r="AJ90" s="10"/>
      <c r="AK90" s="10"/>
      <c r="AL90" s="10"/>
      <c r="AM90" s="10"/>
      <c r="AN90" s="66"/>
      <c r="AO90" s="66"/>
      <c r="AP90" s="66"/>
      <c r="AQ90" s="10"/>
    </row>
    <row r="91" spans="36:43" x14ac:dyDescent="0.2">
      <c r="AJ91" s="10"/>
      <c r="AK91" s="10"/>
      <c r="AL91" s="10"/>
      <c r="AM91" s="10"/>
      <c r="AN91" s="66"/>
      <c r="AO91" s="66"/>
      <c r="AP91" s="66"/>
      <c r="AQ91" s="10"/>
    </row>
    <row r="92" spans="36:43" x14ac:dyDescent="0.2">
      <c r="AJ92" s="10"/>
      <c r="AK92" s="10"/>
      <c r="AL92" s="10"/>
      <c r="AM92" s="10"/>
      <c r="AN92" s="66"/>
      <c r="AO92" s="66"/>
      <c r="AP92" s="66"/>
      <c r="AQ92" s="10"/>
    </row>
    <row r="93" spans="36:43" x14ac:dyDescent="0.2">
      <c r="AJ93" s="10"/>
      <c r="AK93" s="10"/>
      <c r="AL93" s="10"/>
      <c r="AM93" s="10"/>
      <c r="AN93" s="66"/>
      <c r="AO93" s="66"/>
      <c r="AP93" s="66"/>
      <c r="AQ93" s="10"/>
    </row>
    <row r="94" spans="36:43" x14ac:dyDescent="0.2">
      <c r="AJ94" s="10"/>
      <c r="AK94" s="10"/>
      <c r="AL94" s="10"/>
      <c r="AM94" s="10"/>
      <c r="AN94" s="66"/>
      <c r="AO94" s="66"/>
      <c r="AP94" s="66"/>
      <c r="AQ94" s="10"/>
    </row>
    <row r="95" spans="36:43" x14ac:dyDescent="0.2">
      <c r="AJ95" s="10"/>
      <c r="AK95" s="10"/>
      <c r="AL95" s="10"/>
      <c r="AM95" s="10"/>
      <c r="AN95" s="66"/>
      <c r="AO95" s="66"/>
      <c r="AP95" s="66"/>
      <c r="AQ95" s="10"/>
    </row>
    <row r="96" spans="36:43" x14ac:dyDescent="0.2">
      <c r="AJ96" s="10"/>
      <c r="AK96" s="10"/>
      <c r="AL96" s="10"/>
      <c r="AM96" s="10"/>
      <c r="AN96" s="66"/>
      <c r="AO96" s="66"/>
      <c r="AP96" s="66"/>
      <c r="AQ96" s="10"/>
    </row>
    <row r="97" spans="36:43" x14ac:dyDescent="0.2">
      <c r="AJ97" s="10"/>
      <c r="AK97" s="10"/>
      <c r="AL97" s="10"/>
      <c r="AM97" s="10"/>
      <c r="AN97" s="10"/>
      <c r="AO97" s="10"/>
      <c r="AP97" s="10"/>
      <c r="AQ97" s="10"/>
    </row>
    <row r="98" spans="36:43" x14ac:dyDescent="0.2">
      <c r="AJ98" s="10"/>
      <c r="AK98" s="10"/>
      <c r="AL98" s="10"/>
      <c r="AM98" s="10"/>
      <c r="AN98" s="10"/>
      <c r="AO98" s="10"/>
      <c r="AP98" s="10"/>
      <c r="AQ98" s="10"/>
    </row>
    <row r="99" spans="36:43" x14ac:dyDescent="0.2">
      <c r="AJ99" s="10"/>
      <c r="AK99" s="10"/>
      <c r="AL99" s="10"/>
      <c r="AM99" s="10"/>
      <c r="AN99" s="10"/>
      <c r="AO99" s="10"/>
      <c r="AP99" s="10"/>
      <c r="AQ99" s="10"/>
    </row>
  </sheetData>
  <mergeCells count="1">
    <mergeCell ref="A1:AG1"/>
  </mergeCells>
  <pageMargins left="0.7" right="0.7" top="0.75" bottom="0.75" header="0.3" footer="0.3"/>
  <pageSetup paperSize="8" orientation="landscape" horizontalDpi="1200" verticalDpi="1200" r:id="rId1"/>
  <headerFooter>
    <oddHeader>&amp;CSlump and packing density</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Abbreviations</vt:lpstr>
      <vt:lpstr>Methods</vt:lpstr>
      <vt:lpstr>Sieve Analysis</vt:lpstr>
      <vt:lpstr>Slump Tests</vt:lpstr>
      <vt:lpstr>Packing density tests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MJNDON001@myuct.ac.za</dc:creator>
  <cp:keywords/>
  <dc:description/>
  <cp:lastModifiedBy>Windows User</cp:lastModifiedBy>
  <cp:revision/>
  <cp:lastPrinted>2018-03-24T11:05:57Z</cp:lastPrinted>
  <dcterms:created xsi:type="dcterms:W3CDTF">2018-02-18T10:16:19Z</dcterms:created>
  <dcterms:modified xsi:type="dcterms:W3CDTF">2019-02-24T12:33:19Z</dcterms:modified>
  <cp:category/>
  <cp:contentStatus/>
</cp:coreProperties>
</file>